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zad\Google Drive\DATA ANALYSIS RESULTS\LAB STUDY RESULTS\"/>
    </mc:Choice>
  </mc:AlternateContent>
  <bookViews>
    <workbookView xWindow="0" yWindow="0" windowWidth="28800" windowHeight="12210" activeTab="2"/>
  </bookViews>
  <sheets>
    <sheet name="Raw Data" sheetId="1" r:id="rId1"/>
    <sheet name="Data" sheetId="4" r:id="rId2"/>
    <sheet name="Data (2)" sheetId="5" r:id="rId3"/>
    <sheet name="Standard Curve" sheetId="3" r:id="rId4"/>
  </sheets>
  <calcPr calcId="0"/>
</workbook>
</file>

<file path=xl/calcChain.xml><?xml version="1.0" encoding="utf-8"?>
<calcChain xmlns="http://schemas.openxmlformats.org/spreadsheetml/2006/main">
  <c r="D26" i="5" l="1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25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" i="5"/>
  <c r="B9" i="3" l="1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A1" i="1"/>
  <c r="A2" i="1"/>
  <c r="B2" i="1"/>
  <c r="A3" i="1"/>
  <c r="B3" i="1"/>
  <c r="A4" i="1"/>
  <c r="B4" i="1"/>
  <c r="A5" i="1"/>
  <c r="B5" i="1"/>
  <c r="A6" i="1"/>
  <c r="B6" i="1"/>
  <c r="A8" i="1"/>
  <c r="A9" i="1"/>
  <c r="B9" i="1"/>
  <c r="A10" i="1"/>
  <c r="B10" i="1"/>
  <c r="A11" i="1"/>
  <c r="B11" i="1"/>
  <c r="A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A15" i="1"/>
  <c r="B15" i="1"/>
  <c r="C15" i="1"/>
  <c r="D15" i="1"/>
  <c r="E15" i="1"/>
  <c r="F15" i="1"/>
  <c r="H15" i="1"/>
  <c r="I15" i="1"/>
  <c r="J15" i="1"/>
  <c r="K15" i="1"/>
  <c r="L15" i="1"/>
  <c r="M15" i="1"/>
  <c r="N15" i="1"/>
  <c r="O15" i="1"/>
  <c r="Q15" i="1"/>
  <c r="A16" i="1"/>
  <c r="B16" i="1"/>
  <c r="C16" i="1"/>
  <c r="D16" i="1"/>
  <c r="E16" i="1"/>
  <c r="F16" i="1"/>
  <c r="H16" i="1"/>
  <c r="I16" i="1"/>
  <c r="J16" i="1"/>
  <c r="K16" i="1"/>
  <c r="L16" i="1"/>
  <c r="M16" i="1"/>
  <c r="N16" i="1"/>
  <c r="O16" i="1"/>
  <c r="Q16" i="1"/>
  <c r="A17" i="1"/>
  <c r="B17" i="1"/>
  <c r="C17" i="1"/>
  <c r="D17" i="1"/>
  <c r="E17" i="1"/>
  <c r="F17" i="1"/>
  <c r="H17" i="1"/>
  <c r="I17" i="1"/>
  <c r="J17" i="1"/>
  <c r="K17" i="1"/>
  <c r="L17" i="1"/>
  <c r="M17" i="1"/>
  <c r="N17" i="1"/>
  <c r="O17" i="1"/>
  <c r="Q17" i="1"/>
  <c r="A18" i="1"/>
  <c r="B18" i="1"/>
  <c r="C18" i="1"/>
  <c r="D18" i="1"/>
  <c r="E18" i="1"/>
  <c r="F18" i="1"/>
  <c r="H18" i="1"/>
  <c r="I18" i="1"/>
  <c r="J18" i="1"/>
  <c r="K18" i="1"/>
  <c r="L18" i="1"/>
  <c r="M18" i="1"/>
  <c r="N18" i="1"/>
  <c r="O18" i="1"/>
  <c r="Q18" i="1"/>
  <c r="A19" i="1"/>
  <c r="B19" i="1"/>
  <c r="C19" i="1"/>
  <c r="D19" i="1"/>
  <c r="E19" i="1"/>
  <c r="F19" i="1"/>
  <c r="H19" i="1"/>
  <c r="I19" i="1"/>
  <c r="J19" i="1"/>
  <c r="K19" i="1"/>
  <c r="L19" i="1"/>
  <c r="M19" i="1"/>
  <c r="N19" i="1"/>
  <c r="O19" i="1"/>
  <c r="Q19" i="1"/>
  <c r="A20" i="1"/>
  <c r="B20" i="1"/>
  <c r="C20" i="1"/>
  <c r="D20" i="1"/>
  <c r="E20" i="1"/>
  <c r="F20" i="1"/>
  <c r="H20" i="1"/>
  <c r="I20" i="1"/>
  <c r="J20" i="1"/>
  <c r="K20" i="1"/>
  <c r="L20" i="1"/>
  <c r="M20" i="1"/>
  <c r="N20" i="1"/>
  <c r="O20" i="1"/>
  <c r="Q20" i="1"/>
  <c r="A21" i="1"/>
  <c r="B21" i="1"/>
  <c r="C21" i="1"/>
  <c r="D21" i="1"/>
  <c r="E21" i="1"/>
  <c r="F21" i="1"/>
  <c r="H21" i="1"/>
  <c r="I21" i="1"/>
  <c r="J21" i="1"/>
  <c r="K21" i="1"/>
  <c r="L21" i="1"/>
  <c r="M21" i="1"/>
  <c r="N21" i="1"/>
  <c r="O21" i="1"/>
  <c r="Q21" i="1"/>
  <c r="A22" i="1"/>
  <c r="B22" i="1"/>
  <c r="C22" i="1"/>
  <c r="D22" i="1"/>
  <c r="E22" i="1"/>
  <c r="F22" i="1"/>
  <c r="H22" i="1"/>
  <c r="I22" i="1"/>
  <c r="J22" i="1"/>
  <c r="K22" i="1"/>
  <c r="L22" i="1"/>
  <c r="M22" i="1"/>
  <c r="N22" i="1"/>
  <c r="O22" i="1"/>
  <c r="Q22" i="1"/>
  <c r="A23" i="1"/>
  <c r="B23" i="1"/>
  <c r="C23" i="1"/>
  <c r="D23" i="1"/>
  <c r="E23" i="1"/>
  <c r="F23" i="1"/>
  <c r="H23" i="1"/>
  <c r="I23" i="1"/>
  <c r="J23" i="1"/>
  <c r="K23" i="1"/>
  <c r="L23" i="1"/>
  <c r="M23" i="1"/>
  <c r="N23" i="1"/>
  <c r="O23" i="1"/>
  <c r="Q23" i="1"/>
  <c r="A24" i="1"/>
  <c r="B24" i="1"/>
  <c r="C24" i="1"/>
  <c r="D24" i="1"/>
  <c r="E24" i="1"/>
  <c r="F24" i="1"/>
  <c r="H24" i="1"/>
  <c r="I24" i="1"/>
  <c r="J24" i="1"/>
  <c r="K24" i="1"/>
  <c r="L24" i="1"/>
  <c r="M24" i="1"/>
  <c r="N24" i="1"/>
  <c r="O24" i="1"/>
  <c r="Q24" i="1"/>
  <c r="A25" i="1"/>
  <c r="B25" i="1"/>
  <c r="C25" i="1"/>
  <c r="D25" i="1"/>
  <c r="E25" i="1"/>
  <c r="F25" i="1"/>
  <c r="H25" i="1"/>
  <c r="I25" i="1"/>
  <c r="J25" i="1"/>
  <c r="K25" i="1"/>
  <c r="L25" i="1"/>
  <c r="M25" i="1"/>
  <c r="N25" i="1"/>
  <c r="O25" i="1"/>
  <c r="Q25" i="1"/>
  <c r="A26" i="1"/>
  <c r="B26" i="1"/>
  <c r="C26" i="1"/>
  <c r="D26" i="1"/>
  <c r="E26" i="1"/>
  <c r="F26" i="1"/>
  <c r="H26" i="1"/>
  <c r="I26" i="1"/>
  <c r="J26" i="1"/>
  <c r="K26" i="1"/>
  <c r="L26" i="1"/>
  <c r="M26" i="1"/>
  <c r="N26" i="1"/>
  <c r="O26" i="1"/>
  <c r="Q26" i="1"/>
  <c r="A27" i="1"/>
  <c r="B27" i="1"/>
  <c r="C27" i="1"/>
  <c r="D27" i="1"/>
  <c r="E27" i="1"/>
  <c r="F27" i="1"/>
  <c r="H27" i="1"/>
  <c r="I27" i="1"/>
  <c r="J27" i="1"/>
  <c r="K27" i="1"/>
  <c r="L27" i="1"/>
  <c r="M27" i="1"/>
  <c r="N27" i="1"/>
  <c r="O27" i="1"/>
  <c r="Q27" i="1"/>
  <c r="A28" i="1"/>
  <c r="B28" i="1"/>
  <c r="C28" i="1"/>
  <c r="D28" i="1"/>
  <c r="E28" i="1"/>
  <c r="F28" i="1"/>
  <c r="H28" i="1"/>
  <c r="I28" i="1"/>
  <c r="J28" i="1"/>
  <c r="K28" i="1"/>
  <c r="L28" i="1"/>
  <c r="M28" i="1"/>
  <c r="N28" i="1"/>
  <c r="O28" i="1"/>
  <c r="Q28" i="1"/>
  <c r="A29" i="1"/>
  <c r="B29" i="1"/>
  <c r="C29" i="1"/>
  <c r="D29" i="1"/>
  <c r="E29" i="1"/>
  <c r="F29" i="1"/>
  <c r="H29" i="1"/>
  <c r="I29" i="1"/>
  <c r="J29" i="1"/>
  <c r="K29" i="1"/>
  <c r="L29" i="1"/>
  <c r="M29" i="1"/>
  <c r="N29" i="1"/>
  <c r="O29" i="1"/>
  <c r="Q29" i="1"/>
  <c r="A30" i="1"/>
  <c r="B30" i="1"/>
  <c r="C30" i="1"/>
  <c r="D30" i="1"/>
  <c r="E30" i="1"/>
  <c r="F30" i="1"/>
  <c r="H30" i="1"/>
  <c r="I30" i="1"/>
  <c r="J30" i="1"/>
  <c r="K30" i="1"/>
  <c r="L30" i="1"/>
  <c r="M30" i="1"/>
  <c r="N30" i="1"/>
  <c r="O30" i="1"/>
  <c r="Q30" i="1"/>
  <c r="A31" i="1"/>
  <c r="B31" i="1"/>
  <c r="C31" i="1"/>
  <c r="D31" i="1"/>
  <c r="E31" i="1"/>
  <c r="F31" i="1"/>
  <c r="H31" i="1"/>
  <c r="I31" i="1"/>
  <c r="J31" i="1"/>
  <c r="K31" i="1"/>
  <c r="L31" i="1"/>
  <c r="M31" i="1"/>
  <c r="N31" i="1"/>
  <c r="O31" i="1"/>
  <c r="Q31" i="1"/>
  <c r="A32" i="1"/>
  <c r="B32" i="1"/>
  <c r="C32" i="1"/>
  <c r="D32" i="1"/>
  <c r="E32" i="1"/>
  <c r="F32" i="1"/>
  <c r="H32" i="1"/>
  <c r="I32" i="1"/>
  <c r="J32" i="1"/>
  <c r="K32" i="1"/>
  <c r="L32" i="1"/>
  <c r="M32" i="1"/>
  <c r="N32" i="1"/>
  <c r="O32" i="1"/>
  <c r="Q32" i="1"/>
  <c r="A33" i="1"/>
  <c r="B33" i="1"/>
  <c r="C33" i="1"/>
  <c r="D33" i="1"/>
  <c r="E33" i="1"/>
  <c r="F33" i="1"/>
  <c r="H33" i="1"/>
  <c r="I33" i="1"/>
  <c r="J33" i="1"/>
  <c r="K33" i="1"/>
  <c r="L33" i="1"/>
  <c r="M33" i="1"/>
  <c r="N33" i="1"/>
  <c r="O33" i="1"/>
  <c r="Q33" i="1"/>
  <c r="A34" i="1"/>
  <c r="B34" i="1"/>
  <c r="C34" i="1"/>
  <c r="D34" i="1"/>
  <c r="E34" i="1"/>
  <c r="F34" i="1"/>
  <c r="H34" i="1"/>
  <c r="I34" i="1"/>
  <c r="J34" i="1"/>
  <c r="K34" i="1"/>
  <c r="L34" i="1"/>
  <c r="M34" i="1"/>
  <c r="N34" i="1"/>
  <c r="O34" i="1"/>
  <c r="Q34" i="1"/>
  <c r="A35" i="1"/>
  <c r="B35" i="1"/>
  <c r="C35" i="1"/>
  <c r="D35" i="1"/>
  <c r="E35" i="1"/>
  <c r="F35" i="1"/>
  <c r="H35" i="1"/>
  <c r="I35" i="1"/>
  <c r="J35" i="1"/>
  <c r="K35" i="1"/>
  <c r="L35" i="1"/>
  <c r="M35" i="1"/>
  <c r="N35" i="1"/>
  <c r="O35" i="1"/>
  <c r="Q35" i="1"/>
  <c r="A36" i="1"/>
  <c r="B36" i="1"/>
  <c r="C36" i="1"/>
  <c r="D36" i="1"/>
  <c r="E36" i="1"/>
  <c r="F36" i="1"/>
  <c r="H36" i="1"/>
  <c r="I36" i="1"/>
  <c r="J36" i="1"/>
  <c r="K36" i="1"/>
  <c r="L36" i="1"/>
  <c r="M36" i="1"/>
  <c r="N36" i="1"/>
  <c r="O36" i="1"/>
  <c r="Q36" i="1"/>
  <c r="A37" i="1"/>
  <c r="B37" i="1"/>
  <c r="C37" i="1"/>
  <c r="D37" i="1"/>
  <c r="E37" i="1"/>
  <c r="F37" i="1"/>
  <c r="H37" i="1"/>
  <c r="I37" i="1"/>
  <c r="J37" i="1"/>
  <c r="K37" i="1"/>
  <c r="L37" i="1"/>
  <c r="M37" i="1"/>
  <c r="N37" i="1"/>
  <c r="O37" i="1"/>
  <c r="Q37" i="1"/>
  <c r="A38" i="1"/>
  <c r="B38" i="1"/>
  <c r="C38" i="1"/>
  <c r="D38" i="1"/>
  <c r="E38" i="1"/>
  <c r="F38" i="1"/>
  <c r="H38" i="1"/>
  <c r="I38" i="1"/>
  <c r="J38" i="1"/>
  <c r="K38" i="1"/>
  <c r="L38" i="1"/>
  <c r="M38" i="1"/>
  <c r="N38" i="1"/>
  <c r="O38" i="1"/>
  <c r="Q38" i="1"/>
  <c r="A39" i="1"/>
  <c r="B39" i="1"/>
  <c r="C39" i="1"/>
  <c r="D39" i="1"/>
  <c r="E39" i="1"/>
  <c r="F39" i="1"/>
  <c r="H39" i="1"/>
  <c r="I39" i="1"/>
  <c r="J39" i="1"/>
  <c r="K39" i="1"/>
  <c r="L39" i="1"/>
  <c r="M39" i="1"/>
  <c r="N39" i="1"/>
  <c r="O39" i="1"/>
  <c r="Q39" i="1"/>
  <c r="A40" i="1"/>
  <c r="B40" i="1"/>
  <c r="C40" i="1"/>
  <c r="D40" i="1"/>
  <c r="E40" i="1"/>
  <c r="F40" i="1"/>
  <c r="H40" i="1"/>
  <c r="I40" i="1"/>
  <c r="J40" i="1"/>
  <c r="K40" i="1"/>
  <c r="L40" i="1"/>
  <c r="M40" i="1"/>
  <c r="N40" i="1"/>
  <c r="O40" i="1"/>
  <c r="Q40" i="1"/>
  <c r="A41" i="1"/>
  <c r="B41" i="1"/>
  <c r="C41" i="1"/>
  <c r="D41" i="1"/>
  <c r="E41" i="1"/>
  <c r="F41" i="1"/>
  <c r="H41" i="1"/>
  <c r="I41" i="1"/>
  <c r="J41" i="1"/>
  <c r="K41" i="1"/>
  <c r="L41" i="1"/>
  <c r="M41" i="1"/>
  <c r="N41" i="1"/>
  <c r="O41" i="1"/>
  <c r="Q41" i="1"/>
  <c r="A42" i="1"/>
  <c r="B42" i="1"/>
  <c r="C42" i="1"/>
  <c r="D42" i="1"/>
  <c r="E42" i="1"/>
  <c r="F42" i="1"/>
  <c r="H42" i="1"/>
  <c r="I42" i="1"/>
  <c r="J42" i="1"/>
  <c r="K42" i="1"/>
  <c r="L42" i="1"/>
  <c r="M42" i="1"/>
  <c r="N42" i="1"/>
  <c r="O42" i="1"/>
  <c r="Q42" i="1"/>
  <c r="A43" i="1"/>
  <c r="B43" i="1"/>
  <c r="C43" i="1"/>
  <c r="D43" i="1"/>
  <c r="E43" i="1"/>
  <c r="F43" i="1"/>
  <c r="H43" i="1"/>
  <c r="I43" i="1"/>
  <c r="J43" i="1"/>
  <c r="K43" i="1"/>
  <c r="L43" i="1"/>
  <c r="M43" i="1"/>
  <c r="N43" i="1"/>
  <c r="O43" i="1"/>
  <c r="Q43" i="1"/>
  <c r="A44" i="1"/>
  <c r="B44" i="1"/>
  <c r="C44" i="1"/>
  <c r="D44" i="1"/>
  <c r="E44" i="1"/>
  <c r="F44" i="1"/>
  <c r="H44" i="1"/>
  <c r="I44" i="1"/>
  <c r="J44" i="1"/>
  <c r="K44" i="1"/>
  <c r="L44" i="1"/>
  <c r="M44" i="1"/>
  <c r="N44" i="1"/>
  <c r="O44" i="1"/>
  <c r="Q44" i="1"/>
  <c r="A45" i="1"/>
  <c r="B45" i="1"/>
  <c r="C45" i="1"/>
  <c r="D45" i="1"/>
  <c r="E45" i="1"/>
  <c r="F45" i="1"/>
  <c r="H45" i="1"/>
  <c r="I45" i="1"/>
  <c r="J45" i="1"/>
  <c r="K45" i="1"/>
  <c r="L45" i="1"/>
  <c r="M45" i="1"/>
  <c r="N45" i="1"/>
  <c r="O45" i="1"/>
  <c r="Q45" i="1"/>
  <c r="A46" i="1"/>
  <c r="B46" i="1"/>
  <c r="C46" i="1"/>
  <c r="D46" i="1"/>
  <c r="E46" i="1"/>
  <c r="F46" i="1"/>
  <c r="H46" i="1"/>
  <c r="I46" i="1"/>
  <c r="J46" i="1"/>
  <c r="K46" i="1"/>
  <c r="L46" i="1"/>
  <c r="M46" i="1"/>
  <c r="N46" i="1"/>
  <c r="O46" i="1"/>
  <c r="Q46" i="1"/>
  <c r="A47" i="1"/>
  <c r="B47" i="1"/>
  <c r="C47" i="1"/>
  <c r="D47" i="1"/>
  <c r="E47" i="1"/>
  <c r="F47" i="1"/>
  <c r="H47" i="1"/>
  <c r="I47" i="1"/>
  <c r="J47" i="1"/>
  <c r="K47" i="1"/>
  <c r="L47" i="1"/>
  <c r="M47" i="1"/>
  <c r="N47" i="1"/>
  <c r="O47" i="1"/>
  <c r="Q47" i="1"/>
  <c r="A48" i="1"/>
  <c r="B48" i="1"/>
  <c r="C48" i="1"/>
  <c r="D48" i="1"/>
  <c r="E48" i="1"/>
  <c r="F48" i="1"/>
  <c r="H48" i="1"/>
  <c r="I48" i="1"/>
  <c r="J48" i="1"/>
  <c r="K48" i="1"/>
  <c r="L48" i="1"/>
  <c r="M48" i="1"/>
  <c r="N48" i="1"/>
  <c r="O48" i="1"/>
  <c r="Q48" i="1"/>
  <c r="A49" i="1"/>
  <c r="B49" i="1"/>
  <c r="C49" i="1"/>
  <c r="D49" i="1"/>
  <c r="E49" i="1"/>
  <c r="F49" i="1"/>
  <c r="H49" i="1"/>
  <c r="I49" i="1"/>
  <c r="J49" i="1"/>
  <c r="K49" i="1"/>
  <c r="L49" i="1"/>
  <c r="M49" i="1"/>
  <c r="N49" i="1"/>
  <c r="O49" i="1"/>
  <c r="Q49" i="1"/>
  <c r="A50" i="1"/>
  <c r="B50" i="1"/>
  <c r="C50" i="1"/>
  <c r="D50" i="1"/>
  <c r="E50" i="1"/>
  <c r="F50" i="1"/>
  <c r="H50" i="1"/>
  <c r="I50" i="1"/>
  <c r="J50" i="1"/>
  <c r="K50" i="1"/>
  <c r="L50" i="1"/>
  <c r="M50" i="1"/>
  <c r="N50" i="1"/>
  <c r="O50" i="1"/>
  <c r="Q50" i="1"/>
  <c r="A51" i="1"/>
  <c r="B51" i="1"/>
  <c r="C51" i="1"/>
  <c r="D51" i="1"/>
  <c r="E51" i="1"/>
  <c r="F51" i="1"/>
  <c r="H51" i="1"/>
  <c r="I51" i="1"/>
  <c r="J51" i="1"/>
  <c r="K51" i="1"/>
  <c r="L51" i="1"/>
  <c r="M51" i="1"/>
  <c r="N51" i="1"/>
  <c r="O51" i="1"/>
  <c r="Q51" i="1"/>
  <c r="A52" i="1"/>
  <c r="B52" i="1"/>
  <c r="C52" i="1"/>
  <c r="D52" i="1"/>
  <c r="E52" i="1"/>
  <c r="F52" i="1"/>
  <c r="H52" i="1"/>
  <c r="I52" i="1"/>
  <c r="J52" i="1"/>
  <c r="K52" i="1"/>
  <c r="L52" i="1"/>
  <c r="M52" i="1"/>
  <c r="N52" i="1"/>
  <c r="O52" i="1"/>
  <c r="Q52" i="1"/>
  <c r="A53" i="1"/>
  <c r="B53" i="1"/>
  <c r="C53" i="1"/>
  <c r="D53" i="1"/>
  <c r="E53" i="1"/>
  <c r="F53" i="1"/>
  <c r="H53" i="1"/>
  <c r="I53" i="1"/>
  <c r="J53" i="1"/>
  <c r="K53" i="1"/>
  <c r="L53" i="1"/>
  <c r="M53" i="1"/>
  <c r="N53" i="1"/>
  <c r="O53" i="1"/>
  <c r="Q53" i="1"/>
  <c r="A54" i="1"/>
  <c r="B54" i="1"/>
  <c r="C54" i="1"/>
  <c r="D54" i="1"/>
  <c r="E54" i="1"/>
  <c r="F54" i="1"/>
  <c r="H54" i="1"/>
  <c r="I54" i="1"/>
  <c r="J54" i="1"/>
  <c r="K54" i="1"/>
  <c r="L54" i="1"/>
  <c r="M54" i="1"/>
  <c r="N54" i="1"/>
  <c r="O54" i="1"/>
  <c r="Q54" i="1"/>
  <c r="A55" i="1"/>
  <c r="B55" i="1"/>
  <c r="C55" i="1"/>
  <c r="D55" i="1"/>
  <c r="E55" i="1"/>
  <c r="F55" i="1"/>
  <c r="H55" i="1"/>
  <c r="I55" i="1"/>
  <c r="J55" i="1"/>
  <c r="K55" i="1"/>
  <c r="L55" i="1"/>
  <c r="M55" i="1"/>
  <c r="N55" i="1"/>
  <c r="O55" i="1"/>
  <c r="Q55" i="1"/>
  <c r="A56" i="1"/>
  <c r="B56" i="1"/>
  <c r="C56" i="1"/>
  <c r="D56" i="1"/>
  <c r="E56" i="1"/>
  <c r="F56" i="1"/>
  <c r="H56" i="1"/>
  <c r="I56" i="1"/>
  <c r="J56" i="1"/>
  <c r="K56" i="1"/>
  <c r="L56" i="1"/>
  <c r="M56" i="1"/>
  <c r="N56" i="1"/>
  <c r="O56" i="1"/>
  <c r="Q56" i="1"/>
  <c r="A57" i="1"/>
  <c r="B57" i="1"/>
  <c r="C57" i="1"/>
  <c r="D57" i="1"/>
  <c r="E57" i="1"/>
  <c r="F57" i="1"/>
  <c r="H57" i="1"/>
  <c r="I57" i="1"/>
  <c r="J57" i="1"/>
  <c r="K57" i="1"/>
  <c r="L57" i="1"/>
  <c r="M57" i="1"/>
  <c r="N57" i="1"/>
  <c r="O57" i="1"/>
  <c r="Q57" i="1"/>
  <c r="A58" i="1"/>
  <c r="B58" i="1"/>
  <c r="C58" i="1"/>
  <c r="D58" i="1"/>
  <c r="E58" i="1"/>
  <c r="F58" i="1"/>
  <c r="H58" i="1"/>
  <c r="I58" i="1"/>
  <c r="J58" i="1"/>
  <c r="K58" i="1"/>
  <c r="L58" i="1"/>
  <c r="M58" i="1"/>
  <c r="N58" i="1"/>
  <c r="O58" i="1"/>
  <c r="Q58" i="1"/>
  <c r="A59" i="1"/>
  <c r="B59" i="1"/>
  <c r="C59" i="1"/>
  <c r="D59" i="1"/>
  <c r="E59" i="1"/>
  <c r="F59" i="1"/>
  <c r="H59" i="1"/>
  <c r="I59" i="1"/>
  <c r="J59" i="1"/>
  <c r="K59" i="1"/>
  <c r="L59" i="1"/>
  <c r="M59" i="1"/>
  <c r="N59" i="1"/>
  <c r="O59" i="1"/>
  <c r="Q59" i="1"/>
  <c r="A60" i="1"/>
  <c r="B60" i="1"/>
  <c r="C60" i="1"/>
  <c r="D60" i="1"/>
  <c r="E60" i="1"/>
  <c r="F60" i="1"/>
  <c r="H60" i="1"/>
  <c r="I60" i="1"/>
  <c r="J60" i="1"/>
  <c r="K60" i="1"/>
  <c r="L60" i="1"/>
  <c r="M60" i="1"/>
  <c r="N60" i="1"/>
  <c r="O60" i="1"/>
  <c r="Q60" i="1"/>
  <c r="A61" i="1"/>
  <c r="B61" i="1"/>
  <c r="C61" i="1"/>
  <c r="D61" i="1"/>
  <c r="E61" i="1"/>
  <c r="F61" i="1"/>
  <c r="H61" i="1"/>
  <c r="I61" i="1"/>
  <c r="J61" i="1"/>
  <c r="K61" i="1"/>
  <c r="L61" i="1"/>
  <c r="M61" i="1"/>
  <c r="N61" i="1"/>
  <c r="O61" i="1"/>
  <c r="Q61" i="1"/>
  <c r="A62" i="1"/>
  <c r="B62" i="1"/>
  <c r="C62" i="1"/>
  <c r="D62" i="1"/>
  <c r="E62" i="1"/>
  <c r="F62" i="1"/>
  <c r="H62" i="1"/>
  <c r="I62" i="1"/>
  <c r="J62" i="1"/>
  <c r="K62" i="1"/>
  <c r="L62" i="1"/>
  <c r="M62" i="1"/>
  <c r="N62" i="1"/>
  <c r="O62" i="1"/>
  <c r="Q62" i="1"/>
  <c r="A63" i="1"/>
  <c r="B63" i="1"/>
  <c r="C63" i="1"/>
  <c r="D63" i="1"/>
  <c r="E63" i="1"/>
  <c r="F63" i="1"/>
  <c r="H63" i="1"/>
  <c r="I63" i="1"/>
  <c r="J63" i="1"/>
  <c r="K63" i="1"/>
  <c r="L63" i="1"/>
  <c r="M63" i="1"/>
  <c r="N63" i="1"/>
  <c r="O63" i="1"/>
  <c r="Q63" i="1"/>
  <c r="A64" i="1"/>
  <c r="B64" i="1"/>
  <c r="C64" i="1"/>
  <c r="D64" i="1"/>
  <c r="E64" i="1"/>
  <c r="F64" i="1"/>
  <c r="H64" i="1"/>
  <c r="I64" i="1"/>
  <c r="J64" i="1"/>
  <c r="K64" i="1"/>
  <c r="L64" i="1"/>
  <c r="M64" i="1"/>
  <c r="N64" i="1"/>
  <c r="O64" i="1"/>
  <c r="Q64" i="1"/>
  <c r="A65" i="1"/>
  <c r="B65" i="1"/>
  <c r="C65" i="1"/>
  <c r="D65" i="1"/>
  <c r="E65" i="1"/>
  <c r="F65" i="1"/>
  <c r="H65" i="1"/>
  <c r="I65" i="1"/>
  <c r="J65" i="1"/>
  <c r="K65" i="1"/>
  <c r="L65" i="1"/>
  <c r="M65" i="1"/>
  <c r="N65" i="1"/>
  <c r="O65" i="1"/>
  <c r="Q65" i="1"/>
  <c r="A66" i="1"/>
  <c r="B66" i="1"/>
  <c r="C66" i="1"/>
  <c r="D66" i="1"/>
  <c r="E66" i="1"/>
  <c r="F66" i="1"/>
  <c r="H66" i="1"/>
  <c r="I66" i="1"/>
  <c r="J66" i="1"/>
  <c r="K66" i="1"/>
  <c r="L66" i="1"/>
  <c r="M66" i="1"/>
  <c r="N66" i="1"/>
  <c r="O66" i="1"/>
  <c r="Q66" i="1"/>
  <c r="A67" i="1"/>
  <c r="B67" i="1"/>
  <c r="C67" i="1"/>
  <c r="D67" i="1"/>
  <c r="E67" i="1"/>
  <c r="F67" i="1"/>
  <c r="H67" i="1"/>
  <c r="I67" i="1"/>
  <c r="J67" i="1"/>
  <c r="K67" i="1"/>
  <c r="L67" i="1"/>
  <c r="M67" i="1"/>
  <c r="N67" i="1"/>
  <c r="O67" i="1"/>
  <c r="Q67" i="1"/>
  <c r="A68" i="1"/>
  <c r="B68" i="1"/>
  <c r="C68" i="1"/>
  <c r="D68" i="1"/>
  <c r="E68" i="1"/>
  <c r="F68" i="1"/>
  <c r="H68" i="1"/>
  <c r="I68" i="1"/>
  <c r="J68" i="1"/>
  <c r="K68" i="1"/>
  <c r="L68" i="1"/>
  <c r="M68" i="1"/>
  <c r="N68" i="1"/>
  <c r="O68" i="1"/>
  <c r="Q68" i="1"/>
  <c r="A69" i="1"/>
  <c r="B69" i="1"/>
  <c r="C69" i="1"/>
  <c r="D69" i="1"/>
  <c r="E69" i="1"/>
  <c r="F69" i="1"/>
  <c r="H69" i="1"/>
  <c r="I69" i="1"/>
  <c r="J69" i="1"/>
  <c r="K69" i="1"/>
  <c r="L69" i="1"/>
  <c r="M69" i="1"/>
  <c r="N69" i="1"/>
  <c r="O69" i="1"/>
  <c r="Q69" i="1"/>
  <c r="A70" i="1"/>
  <c r="B70" i="1"/>
  <c r="C70" i="1"/>
  <c r="D70" i="1"/>
  <c r="E70" i="1"/>
  <c r="F70" i="1"/>
  <c r="H70" i="1"/>
  <c r="I70" i="1"/>
  <c r="J70" i="1"/>
  <c r="K70" i="1"/>
  <c r="L70" i="1"/>
  <c r="M70" i="1"/>
  <c r="N70" i="1"/>
  <c r="O70" i="1"/>
  <c r="Q70" i="1"/>
  <c r="A71" i="1"/>
  <c r="B71" i="1"/>
  <c r="C71" i="1"/>
  <c r="D71" i="1"/>
  <c r="E71" i="1"/>
  <c r="F71" i="1"/>
  <c r="H71" i="1"/>
  <c r="I71" i="1"/>
  <c r="J71" i="1"/>
  <c r="K71" i="1"/>
  <c r="L71" i="1"/>
  <c r="M71" i="1"/>
  <c r="N71" i="1"/>
  <c r="O71" i="1"/>
  <c r="Q71" i="1"/>
  <c r="A72" i="1"/>
  <c r="B72" i="1"/>
  <c r="C72" i="1"/>
  <c r="D72" i="1"/>
  <c r="E72" i="1"/>
  <c r="F72" i="1"/>
  <c r="H72" i="1"/>
  <c r="I72" i="1"/>
  <c r="J72" i="1"/>
  <c r="K72" i="1"/>
  <c r="L72" i="1"/>
  <c r="M72" i="1"/>
  <c r="N72" i="1"/>
  <c r="O72" i="1"/>
  <c r="Q72" i="1"/>
  <c r="A73" i="1"/>
  <c r="B73" i="1"/>
  <c r="C73" i="1"/>
  <c r="D73" i="1"/>
  <c r="E73" i="1"/>
  <c r="F73" i="1"/>
  <c r="H73" i="1"/>
  <c r="I73" i="1"/>
  <c r="J73" i="1"/>
  <c r="K73" i="1"/>
  <c r="L73" i="1"/>
  <c r="M73" i="1"/>
  <c r="N73" i="1"/>
  <c r="O73" i="1"/>
  <c r="Q73" i="1"/>
  <c r="A74" i="1"/>
  <c r="B74" i="1"/>
  <c r="C74" i="1"/>
  <c r="D74" i="1"/>
  <c r="E74" i="1"/>
  <c r="F74" i="1"/>
  <c r="H74" i="1"/>
  <c r="I74" i="1"/>
  <c r="J74" i="1"/>
  <c r="K74" i="1"/>
  <c r="L74" i="1"/>
  <c r="M74" i="1"/>
  <c r="N74" i="1"/>
  <c r="O74" i="1"/>
  <c r="Q74" i="1"/>
  <c r="A75" i="1"/>
  <c r="B75" i="1"/>
  <c r="C75" i="1"/>
  <c r="D75" i="1"/>
  <c r="E75" i="1"/>
  <c r="F75" i="1"/>
  <c r="H75" i="1"/>
  <c r="I75" i="1"/>
  <c r="J75" i="1"/>
  <c r="K75" i="1"/>
  <c r="L75" i="1"/>
  <c r="M75" i="1"/>
  <c r="N75" i="1"/>
  <c r="O75" i="1"/>
  <c r="Q75" i="1"/>
  <c r="A76" i="1"/>
  <c r="B76" i="1"/>
  <c r="C76" i="1"/>
  <c r="D76" i="1"/>
  <c r="E76" i="1"/>
  <c r="F76" i="1"/>
  <c r="H76" i="1"/>
  <c r="I76" i="1"/>
  <c r="J76" i="1"/>
  <c r="K76" i="1"/>
  <c r="L76" i="1"/>
  <c r="M76" i="1"/>
  <c r="N76" i="1"/>
  <c r="O76" i="1"/>
  <c r="Q76" i="1"/>
  <c r="A77" i="1"/>
  <c r="B77" i="1"/>
  <c r="C77" i="1"/>
  <c r="D77" i="1"/>
  <c r="E77" i="1"/>
  <c r="F77" i="1"/>
  <c r="H77" i="1"/>
  <c r="I77" i="1"/>
  <c r="J77" i="1"/>
  <c r="K77" i="1"/>
  <c r="L77" i="1"/>
  <c r="M77" i="1"/>
  <c r="N77" i="1"/>
  <c r="O77" i="1"/>
  <c r="Q77" i="1"/>
  <c r="A78" i="1"/>
  <c r="B78" i="1"/>
  <c r="C78" i="1"/>
  <c r="D78" i="1"/>
  <c r="E78" i="1"/>
  <c r="F78" i="1"/>
  <c r="H78" i="1"/>
  <c r="I78" i="1"/>
  <c r="J78" i="1"/>
  <c r="K78" i="1"/>
  <c r="L78" i="1"/>
  <c r="M78" i="1"/>
  <c r="N78" i="1"/>
  <c r="O78" i="1"/>
  <c r="Q78" i="1"/>
  <c r="A79" i="1"/>
  <c r="B79" i="1"/>
  <c r="C79" i="1"/>
  <c r="D79" i="1"/>
  <c r="E79" i="1"/>
  <c r="F79" i="1"/>
  <c r="H79" i="1"/>
  <c r="I79" i="1"/>
  <c r="J79" i="1"/>
  <c r="K79" i="1"/>
  <c r="L79" i="1"/>
  <c r="M79" i="1"/>
  <c r="N79" i="1"/>
  <c r="O79" i="1"/>
  <c r="Q79" i="1"/>
  <c r="A80" i="1"/>
  <c r="B80" i="1"/>
  <c r="C80" i="1"/>
  <c r="D80" i="1"/>
  <c r="E80" i="1"/>
  <c r="F80" i="1"/>
  <c r="H80" i="1"/>
  <c r="I80" i="1"/>
  <c r="J80" i="1"/>
  <c r="K80" i="1"/>
  <c r="L80" i="1"/>
  <c r="M80" i="1"/>
  <c r="N80" i="1"/>
  <c r="O80" i="1"/>
  <c r="Q80" i="1"/>
  <c r="A81" i="1"/>
  <c r="B81" i="1"/>
  <c r="C81" i="1"/>
  <c r="D81" i="1"/>
  <c r="E81" i="1"/>
  <c r="F81" i="1"/>
  <c r="H81" i="1"/>
  <c r="I81" i="1"/>
  <c r="J81" i="1"/>
  <c r="K81" i="1"/>
  <c r="L81" i="1"/>
  <c r="M81" i="1"/>
  <c r="N81" i="1"/>
  <c r="O81" i="1"/>
  <c r="Q81" i="1"/>
  <c r="A82" i="1"/>
  <c r="B82" i="1"/>
  <c r="C82" i="1"/>
  <c r="D82" i="1"/>
  <c r="E82" i="1"/>
  <c r="F82" i="1"/>
  <c r="H82" i="1"/>
  <c r="I82" i="1"/>
  <c r="J82" i="1"/>
  <c r="K82" i="1"/>
  <c r="L82" i="1"/>
  <c r="M82" i="1"/>
  <c r="N82" i="1"/>
  <c r="O82" i="1"/>
  <c r="Q82" i="1"/>
  <c r="A83" i="1"/>
  <c r="B83" i="1"/>
  <c r="C83" i="1"/>
  <c r="D83" i="1"/>
  <c r="E83" i="1"/>
  <c r="F83" i="1"/>
  <c r="H83" i="1"/>
  <c r="I83" i="1"/>
  <c r="J83" i="1"/>
  <c r="K83" i="1"/>
  <c r="L83" i="1"/>
  <c r="M83" i="1"/>
  <c r="N83" i="1"/>
  <c r="O83" i="1"/>
  <c r="Q83" i="1"/>
  <c r="A84" i="1"/>
  <c r="B84" i="1"/>
  <c r="C84" i="1"/>
  <c r="D84" i="1"/>
  <c r="E84" i="1"/>
  <c r="F84" i="1"/>
  <c r="H84" i="1"/>
  <c r="I84" i="1"/>
  <c r="J84" i="1"/>
  <c r="K84" i="1"/>
  <c r="L84" i="1"/>
  <c r="M84" i="1"/>
  <c r="N84" i="1"/>
  <c r="O84" i="1"/>
  <c r="Q84" i="1"/>
  <c r="A85" i="1"/>
  <c r="B85" i="1"/>
  <c r="C85" i="1"/>
  <c r="D85" i="1"/>
  <c r="E85" i="1"/>
  <c r="F85" i="1"/>
  <c r="H85" i="1"/>
  <c r="I85" i="1"/>
  <c r="J85" i="1"/>
  <c r="K85" i="1"/>
  <c r="L85" i="1"/>
  <c r="M85" i="1"/>
  <c r="N85" i="1"/>
  <c r="O85" i="1"/>
  <c r="Q85" i="1"/>
  <c r="A86" i="1"/>
  <c r="B86" i="1"/>
  <c r="C86" i="1"/>
  <c r="D86" i="1"/>
  <c r="E86" i="1"/>
  <c r="F86" i="1"/>
  <c r="H86" i="1"/>
  <c r="I86" i="1"/>
  <c r="J86" i="1"/>
  <c r="K86" i="1"/>
  <c r="L86" i="1"/>
  <c r="M86" i="1"/>
  <c r="N86" i="1"/>
  <c r="O86" i="1"/>
  <c r="Q86" i="1"/>
  <c r="A87" i="1"/>
  <c r="B87" i="1"/>
  <c r="C87" i="1"/>
  <c r="D87" i="1"/>
  <c r="E87" i="1"/>
  <c r="F87" i="1"/>
  <c r="H87" i="1"/>
  <c r="I87" i="1"/>
  <c r="J87" i="1"/>
  <c r="K87" i="1"/>
  <c r="L87" i="1"/>
  <c r="M87" i="1"/>
  <c r="N87" i="1"/>
  <c r="O87" i="1"/>
  <c r="Q87" i="1"/>
  <c r="A88" i="1"/>
  <c r="B88" i="1"/>
  <c r="C88" i="1"/>
  <c r="D88" i="1"/>
  <c r="E88" i="1"/>
  <c r="F88" i="1"/>
  <c r="H88" i="1"/>
  <c r="I88" i="1"/>
  <c r="J88" i="1"/>
  <c r="K88" i="1"/>
  <c r="L88" i="1"/>
  <c r="M88" i="1"/>
  <c r="N88" i="1"/>
  <c r="O88" i="1"/>
  <c r="Q88" i="1"/>
  <c r="A89" i="1"/>
  <c r="B89" i="1"/>
  <c r="C89" i="1"/>
  <c r="D89" i="1"/>
  <c r="E89" i="1"/>
  <c r="F89" i="1"/>
  <c r="H89" i="1"/>
  <c r="I89" i="1"/>
  <c r="J89" i="1"/>
  <c r="K89" i="1"/>
  <c r="L89" i="1"/>
  <c r="M89" i="1"/>
  <c r="N89" i="1"/>
  <c r="O89" i="1"/>
  <c r="Q89" i="1"/>
  <c r="A90" i="1"/>
  <c r="B90" i="1"/>
  <c r="C90" i="1"/>
  <c r="D90" i="1"/>
  <c r="E90" i="1"/>
  <c r="F90" i="1"/>
  <c r="H90" i="1"/>
  <c r="I90" i="1"/>
  <c r="J90" i="1"/>
  <c r="K90" i="1"/>
  <c r="L90" i="1"/>
  <c r="M90" i="1"/>
  <c r="N90" i="1"/>
  <c r="O90" i="1"/>
  <c r="Q90" i="1"/>
  <c r="A91" i="1"/>
  <c r="B91" i="1"/>
  <c r="C91" i="1"/>
  <c r="D91" i="1"/>
  <c r="E91" i="1"/>
  <c r="F91" i="1"/>
  <c r="H91" i="1"/>
  <c r="I91" i="1"/>
  <c r="J91" i="1"/>
  <c r="K91" i="1"/>
  <c r="L91" i="1"/>
  <c r="M91" i="1"/>
  <c r="N91" i="1"/>
  <c r="O91" i="1"/>
  <c r="Q91" i="1"/>
  <c r="A92" i="1"/>
  <c r="B92" i="1"/>
  <c r="C92" i="1"/>
  <c r="D92" i="1"/>
  <c r="E92" i="1"/>
  <c r="F92" i="1"/>
  <c r="H92" i="1"/>
  <c r="I92" i="1"/>
  <c r="J92" i="1"/>
  <c r="K92" i="1"/>
  <c r="L92" i="1"/>
  <c r="M92" i="1"/>
  <c r="N92" i="1"/>
  <c r="O92" i="1"/>
  <c r="Q92" i="1"/>
  <c r="A93" i="1"/>
  <c r="B93" i="1"/>
  <c r="C93" i="1"/>
  <c r="D93" i="1"/>
  <c r="E93" i="1"/>
  <c r="F93" i="1"/>
  <c r="H93" i="1"/>
  <c r="I93" i="1"/>
  <c r="J93" i="1"/>
  <c r="K93" i="1"/>
  <c r="L93" i="1"/>
  <c r="M93" i="1"/>
  <c r="N93" i="1"/>
  <c r="O93" i="1"/>
  <c r="Q93" i="1"/>
  <c r="A94" i="1"/>
  <c r="B94" i="1"/>
  <c r="C94" i="1"/>
  <c r="D94" i="1"/>
  <c r="E94" i="1"/>
  <c r="F94" i="1"/>
  <c r="H94" i="1"/>
  <c r="I94" i="1"/>
  <c r="J94" i="1"/>
  <c r="K94" i="1"/>
  <c r="L94" i="1"/>
  <c r="M94" i="1"/>
  <c r="N94" i="1"/>
  <c r="O94" i="1"/>
  <c r="Q94" i="1"/>
  <c r="A95" i="1"/>
  <c r="B95" i="1"/>
  <c r="C95" i="1"/>
  <c r="D95" i="1"/>
  <c r="E95" i="1"/>
  <c r="F95" i="1"/>
  <c r="H95" i="1"/>
  <c r="I95" i="1"/>
  <c r="J95" i="1"/>
  <c r="K95" i="1"/>
  <c r="L95" i="1"/>
  <c r="M95" i="1"/>
  <c r="N95" i="1"/>
  <c r="O95" i="1"/>
  <c r="Q95" i="1"/>
  <c r="A96" i="1"/>
  <c r="B96" i="1"/>
  <c r="C96" i="1"/>
  <c r="D96" i="1"/>
  <c r="E96" i="1"/>
  <c r="F96" i="1"/>
  <c r="H96" i="1"/>
  <c r="I96" i="1"/>
  <c r="J96" i="1"/>
  <c r="K96" i="1"/>
  <c r="L96" i="1"/>
  <c r="M96" i="1"/>
  <c r="N96" i="1"/>
  <c r="O96" i="1"/>
  <c r="Q96" i="1"/>
  <c r="A97" i="1"/>
  <c r="B97" i="1"/>
  <c r="C97" i="1"/>
  <c r="D97" i="1"/>
  <c r="E97" i="1"/>
  <c r="F97" i="1"/>
  <c r="H97" i="1"/>
  <c r="I97" i="1"/>
  <c r="J97" i="1"/>
  <c r="K97" i="1"/>
  <c r="L97" i="1"/>
  <c r="M97" i="1"/>
  <c r="N97" i="1"/>
  <c r="O97" i="1"/>
  <c r="Q97" i="1"/>
  <c r="A98" i="1"/>
  <c r="B98" i="1"/>
  <c r="C98" i="1"/>
  <c r="D98" i="1"/>
  <c r="E98" i="1"/>
  <c r="F98" i="1"/>
  <c r="H98" i="1"/>
  <c r="I98" i="1"/>
  <c r="J98" i="1"/>
  <c r="K98" i="1"/>
  <c r="L98" i="1"/>
  <c r="M98" i="1"/>
  <c r="N98" i="1"/>
  <c r="O98" i="1"/>
  <c r="Q98" i="1"/>
  <c r="A99" i="1"/>
  <c r="B99" i="1"/>
  <c r="C99" i="1"/>
  <c r="D99" i="1"/>
  <c r="E99" i="1"/>
  <c r="F99" i="1"/>
  <c r="H99" i="1"/>
  <c r="I99" i="1"/>
  <c r="J99" i="1"/>
  <c r="K99" i="1"/>
  <c r="L99" i="1"/>
  <c r="M99" i="1"/>
  <c r="N99" i="1"/>
  <c r="O99" i="1"/>
  <c r="Q99" i="1"/>
  <c r="A100" i="1"/>
  <c r="B100" i="1"/>
  <c r="C100" i="1"/>
  <c r="D100" i="1"/>
  <c r="E100" i="1"/>
  <c r="F100" i="1"/>
  <c r="H100" i="1"/>
  <c r="I100" i="1"/>
  <c r="J100" i="1"/>
  <c r="K100" i="1"/>
  <c r="L100" i="1"/>
  <c r="M100" i="1"/>
  <c r="N100" i="1"/>
  <c r="O100" i="1"/>
  <c r="Q100" i="1"/>
  <c r="A101" i="1"/>
  <c r="B101" i="1"/>
  <c r="C101" i="1"/>
  <c r="D101" i="1"/>
  <c r="E101" i="1"/>
  <c r="F101" i="1"/>
  <c r="H101" i="1"/>
  <c r="I101" i="1"/>
  <c r="J101" i="1"/>
  <c r="K101" i="1"/>
  <c r="L101" i="1"/>
  <c r="M101" i="1"/>
  <c r="N101" i="1"/>
  <c r="O101" i="1"/>
  <c r="Q101" i="1"/>
  <c r="A102" i="1"/>
  <c r="B102" i="1"/>
  <c r="C102" i="1"/>
  <c r="D102" i="1"/>
  <c r="E102" i="1"/>
  <c r="F102" i="1"/>
  <c r="H102" i="1"/>
  <c r="I102" i="1"/>
  <c r="J102" i="1"/>
  <c r="K102" i="1"/>
  <c r="L102" i="1"/>
  <c r="M102" i="1"/>
  <c r="N102" i="1"/>
  <c r="O102" i="1"/>
  <c r="Q102" i="1"/>
  <c r="A103" i="1"/>
  <c r="B103" i="1"/>
  <c r="C103" i="1"/>
  <c r="D103" i="1"/>
  <c r="E103" i="1"/>
  <c r="F103" i="1"/>
  <c r="H103" i="1"/>
  <c r="I103" i="1"/>
  <c r="J103" i="1"/>
  <c r="K103" i="1"/>
  <c r="L103" i="1"/>
  <c r="M103" i="1"/>
  <c r="N103" i="1"/>
  <c r="O103" i="1"/>
  <c r="Q103" i="1"/>
  <c r="A104" i="1"/>
  <c r="B104" i="1"/>
  <c r="C104" i="1"/>
  <c r="D104" i="1"/>
  <c r="E104" i="1"/>
  <c r="F104" i="1"/>
  <c r="H104" i="1"/>
  <c r="I104" i="1"/>
  <c r="J104" i="1"/>
  <c r="K104" i="1"/>
  <c r="L104" i="1"/>
  <c r="M104" i="1"/>
  <c r="N104" i="1"/>
  <c r="O104" i="1"/>
  <c r="Q104" i="1"/>
  <c r="A105" i="1"/>
  <c r="B105" i="1"/>
  <c r="C105" i="1"/>
  <c r="D105" i="1"/>
  <c r="E105" i="1"/>
  <c r="F105" i="1"/>
  <c r="H105" i="1"/>
  <c r="I105" i="1"/>
  <c r="J105" i="1"/>
  <c r="K105" i="1"/>
  <c r="L105" i="1"/>
  <c r="M105" i="1"/>
  <c r="N105" i="1"/>
  <c r="O105" i="1"/>
  <c r="Q105" i="1"/>
  <c r="A106" i="1"/>
  <c r="B106" i="1"/>
  <c r="C106" i="1"/>
  <c r="D106" i="1"/>
  <c r="E106" i="1"/>
  <c r="F106" i="1"/>
  <c r="H106" i="1"/>
  <c r="I106" i="1"/>
  <c r="J106" i="1"/>
  <c r="K106" i="1"/>
  <c r="L106" i="1"/>
  <c r="M106" i="1"/>
  <c r="N106" i="1"/>
  <c r="O106" i="1"/>
  <c r="Q106" i="1"/>
  <c r="A107" i="1"/>
  <c r="B107" i="1"/>
  <c r="C107" i="1"/>
  <c r="D107" i="1"/>
  <c r="E107" i="1"/>
  <c r="F107" i="1"/>
  <c r="H107" i="1"/>
  <c r="I107" i="1"/>
  <c r="J107" i="1"/>
  <c r="K107" i="1"/>
  <c r="L107" i="1"/>
  <c r="M107" i="1"/>
  <c r="N107" i="1"/>
  <c r="O107" i="1"/>
  <c r="Q107" i="1"/>
  <c r="A108" i="1"/>
  <c r="B108" i="1"/>
  <c r="C108" i="1"/>
  <c r="D108" i="1"/>
  <c r="E108" i="1"/>
  <c r="F108" i="1"/>
  <c r="H108" i="1"/>
  <c r="I108" i="1"/>
  <c r="J108" i="1"/>
  <c r="K108" i="1"/>
  <c r="L108" i="1"/>
  <c r="M108" i="1"/>
  <c r="N108" i="1"/>
  <c r="O108" i="1"/>
  <c r="Q108" i="1"/>
  <c r="A109" i="1"/>
  <c r="B109" i="1"/>
  <c r="C109" i="1"/>
  <c r="D109" i="1"/>
  <c r="E109" i="1"/>
  <c r="F109" i="1"/>
  <c r="H109" i="1"/>
  <c r="I109" i="1"/>
  <c r="J109" i="1"/>
  <c r="K109" i="1"/>
  <c r="L109" i="1"/>
  <c r="M109" i="1"/>
  <c r="N109" i="1"/>
  <c r="O109" i="1"/>
  <c r="Q109" i="1"/>
  <c r="A110" i="1"/>
  <c r="B110" i="1"/>
  <c r="C110" i="1"/>
  <c r="D110" i="1"/>
  <c r="E110" i="1"/>
  <c r="F110" i="1"/>
  <c r="H110" i="1"/>
  <c r="I110" i="1"/>
  <c r="J110" i="1"/>
  <c r="K110" i="1"/>
  <c r="L110" i="1"/>
  <c r="M110" i="1"/>
  <c r="N110" i="1"/>
  <c r="O110" i="1"/>
  <c r="Q110" i="1"/>
  <c r="A111" i="1"/>
  <c r="B111" i="1"/>
  <c r="C111" i="1"/>
  <c r="D111" i="1"/>
  <c r="E111" i="1"/>
  <c r="F111" i="1"/>
  <c r="H111" i="1"/>
  <c r="I111" i="1"/>
  <c r="J111" i="1"/>
  <c r="K111" i="1"/>
  <c r="L111" i="1"/>
  <c r="M111" i="1"/>
  <c r="N111" i="1"/>
  <c r="O111" i="1"/>
  <c r="Q111" i="1"/>
  <c r="A112" i="1"/>
  <c r="B112" i="1"/>
  <c r="C112" i="1"/>
  <c r="D112" i="1"/>
  <c r="E112" i="1"/>
  <c r="F112" i="1"/>
  <c r="H112" i="1"/>
  <c r="I112" i="1"/>
  <c r="J112" i="1"/>
  <c r="K112" i="1"/>
  <c r="L112" i="1"/>
  <c r="M112" i="1"/>
  <c r="N112" i="1"/>
  <c r="O112" i="1"/>
  <c r="Q112" i="1"/>
  <c r="A113" i="1"/>
  <c r="B113" i="1"/>
  <c r="C113" i="1"/>
  <c r="D113" i="1"/>
  <c r="E113" i="1"/>
  <c r="F113" i="1"/>
  <c r="H113" i="1"/>
  <c r="I113" i="1"/>
  <c r="J113" i="1"/>
  <c r="K113" i="1"/>
  <c r="L113" i="1"/>
  <c r="M113" i="1"/>
  <c r="N113" i="1"/>
  <c r="O113" i="1"/>
  <c r="Q113" i="1"/>
  <c r="A114" i="1"/>
  <c r="B114" i="1"/>
  <c r="C114" i="1"/>
  <c r="D114" i="1"/>
  <c r="E114" i="1"/>
  <c r="F114" i="1"/>
  <c r="H114" i="1"/>
  <c r="I114" i="1"/>
  <c r="J114" i="1"/>
  <c r="K114" i="1"/>
  <c r="L114" i="1"/>
  <c r="M114" i="1"/>
  <c r="N114" i="1"/>
  <c r="O114" i="1"/>
  <c r="Q114" i="1"/>
  <c r="A115" i="1"/>
  <c r="B115" i="1"/>
  <c r="C115" i="1"/>
  <c r="D115" i="1"/>
  <c r="E115" i="1"/>
  <c r="F115" i="1"/>
  <c r="H115" i="1"/>
  <c r="I115" i="1"/>
  <c r="J115" i="1"/>
  <c r="K115" i="1"/>
  <c r="L115" i="1"/>
  <c r="M115" i="1"/>
  <c r="N115" i="1"/>
  <c r="O115" i="1"/>
  <c r="Q115" i="1"/>
  <c r="A116" i="1"/>
  <c r="B116" i="1"/>
  <c r="C116" i="1"/>
  <c r="D116" i="1"/>
  <c r="E116" i="1"/>
  <c r="F116" i="1"/>
  <c r="H116" i="1"/>
  <c r="I116" i="1"/>
  <c r="J116" i="1"/>
  <c r="K116" i="1"/>
  <c r="L116" i="1"/>
  <c r="M116" i="1"/>
  <c r="N116" i="1"/>
  <c r="O116" i="1"/>
  <c r="Q116" i="1"/>
  <c r="A117" i="1"/>
  <c r="B117" i="1"/>
  <c r="C117" i="1"/>
  <c r="D117" i="1"/>
  <c r="E117" i="1"/>
  <c r="F117" i="1"/>
  <c r="H117" i="1"/>
  <c r="I117" i="1"/>
  <c r="J117" i="1"/>
  <c r="K117" i="1"/>
  <c r="L117" i="1"/>
  <c r="M117" i="1"/>
  <c r="N117" i="1"/>
  <c r="O117" i="1"/>
  <c r="Q117" i="1"/>
  <c r="A118" i="1"/>
  <c r="B118" i="1"/>
  <c r="C118" i="1"/>
  <c r="D118" i="1"/>
  <c r="E118" i="1"/>
  <c r="F118" i="1"/>
  <c r="H118" i="1"/>
  <c r="I118" i="1"/>
  <c r="J118" i="1"/>
  <c r="K118" i="1"/>
  <c r="L118" i="1"/>
  <c r="M118" i="1"/>
  <c r="N118" i="1"/>
  <c r="O118" i="1"/>
  <c r="Q118" i="1"/>
  <c r="A119" i="1"/>
  <c r="B119" i="1"/>
  <c r="C119" i="1"/>
  <c r="D119" i="1"/>
  <c r="E119" i="1"/>
  <c r="F119" i="1"/>
  <c r="H119" i="1"/>
  <c r="I119" i="1"/>
  <c r="J119" i="1"/>
  <c r="K119" i="1"/>
  <c r="L119" i="1"/>
  <c r="M119" i="1"/>
  <c r="N119" i="1"/>
  <c r="O119" i="1"/>
  <c r="Q119" i="1"/>
  <c r="A120" i="1"/>
  <c r="B120" i="1"/>
  <c r="C120" i="1"/>
  <c r="D120" i="1"/>
  <c r="E120" i="1"/>
  <c r="F120" i="1"/>
  <c r="H120" i="1"/>
  <c r="I120" i="1"/>
  <c r="J120" i="1"/>
  <c r="K120" i="1"/>
  <c r="L120" i="1"/>
  <c r="M120" i="1"/>
  <c r="N120" i="1"/>
  <c r="O120" i="1"/>
  <c r="Q120" i="1"/>
  <c r="A121" i="1"/>
  <c r="B121" i="1"/>
  <c r="C121" i="1"/>
  <c r="D121" i="1"/>
  <c r="E121" i="1"/>
  <c r="F121" i="1"/>
  <c r="H121" i="1"/>
  <c r="I121" i="1"/>
  <c r="J121" i="1"/>
  <c r="K121" i="1"/>
  <c r="L121" i="1"/>
  <c r="M121" i="1"/>
  <c r="N121" i="1"/>
  <c r="O121" i="1"/>
  <c r="Q121" i="1"/>
  <c r="A122" i="1"/>
  <c r="B122" i="1"/>
  <c r="C122" i="1"/>
  <c r="D122" i="1"/>
  <c r="E122" i="1"/>
  <c r="F122" i="1"/>
  <c r="H122" i="1"/>
  <c r="I122" i="1"/>
  <c r="J122" i="1"/>
  <c r="K122" i="1"/>
  <c r="L122" i="1"/>
  <c r="M122" i="1"/>
  <c r="N122" i="1"/>
  <c r="O122" i="1"/>
  <c r="Q122" i="1"/>
  <c r="A123" i="1"/>
  <c r="B123" i="1"/>
  <c r="C123" i="1"/>
  <c r="D123" i="1"/>
  <c r="E123" i="1"/>
  <c r="F123" i="1"/>
  <c r="H123" i="1"/>
  <c r="I123" i="1"/>
  <c r="J123" i="1"/>
  <c r="K123" i="1"/>
  <c r="L123" i="1"/>
  <c r="M123" i="1"/>
  <c r="N123" i="1"/>
  <c r="O123" i="1"/>
  <c r="Q123" i="1"/>
  <c r="A124" i="1"/>
  <c r="B124" i="1"/>
  <c r="C124" i="1"/>
  <c r="D124" i="1"/>
  <c r="E124" i="1"/>
  <c r="F124" i="1"/>
  <c r="H124" i="1"/>
  <c r="I124" i="1"/>
  <c r="J124" i="1"/>
  <c r="K124" i="1"/>
  <c r="L124" i="1"/>
  <c r="M124" i="1"/>
  <c r="N124" i="1"/>
  <c r="O124" i="1"/>
  <c r="Q124" i="1"/>
  <c r="A125" i="1"/>
  <c r="B125" i="1"/>
  <c r="C125" i="1"/>
  <c r="D125" i="1"/>
  <c r="E125" i="1"/>
  <c r="F125" i="1"/>
  <c r="H125" i="1"/>
  <c r="I125" i="1"/>
  <c r="J125" i="1"/>
  <c r="K125" i="1"/>
  <c r="L125" i="1"/>
  <c r="M125" i="1"/>
  <c r="N125" i="1"/>
  <c r="O125" i="1"/>
  <c r="Q125" i="1"/>
  <c r="A126" i="1"/>
  <c r="B126" i="1"/>
  <c r="C126" i="1"/>
  <c r="D126" i="1"/>
  <c r="E126" i="1"/>
  <c r="F126" i="1"/>
  <c r="H126" i="1"/>
  <c r="I126" i="1"/>
  <c r="J126" i="1"/>
  <c r="K126" i="1"/>
  <c r="L126" i="1"/>
  <c r="M126" i="1"/>
  <c r="N126" i="1"/>
  <c r="O126" i="1"/>
  <c r="Q126" i="1"/>
  <c r="A127" i="1"/>
  <c r="B127" i="1"/>
  <c r="C127" i="1"/>
  <c r="D127" i="1"/>
  <c r="E127" i="1"/>
  <c r="F127" i="1"/>
  <c r="H127" i="1"/>
  <c r="I127" i="1"/>
  <c r="J127" i="1"/>
  <c r="K127" i="1"/>
  <c r="L127" i="1"/>
  <c r="M127" i="1"/>
  <c r="N127" i="1"/>
  <c r="O127" i="1"/>
  <c r="Q127" i="1"/>
  <c r="A128" i="1"/>
  <c r="B128" i="1"/>
  <c r="C128" i="1"/>
  <c r="D128" i="1"/>
  <c r="E128" i="1"/>
  <c r="F128" i="1"/>
  <c r="H128" i="1"/>
  <c r="I128" i="1"/>
  <c r="J128" i="1"/>
  <c r="K128" i="1"/>
  <c r="L128" i="1"/>
  <c r="M128" i="1"/>
  <c r="N128" i="1"/>
  <c r="O128" i="1"/>
  <c r="Q128" i="1"/>
  <c r="A129" i="1"/>
  <c r="B129" i="1"/>
  <c r="C129" i="1"/>
  <c r="D129" i="1"/>
  <c r="E129" i="1"/>
  <c r="F129" i="1"/>
  <c r="H129" i="1"/>
  <c r="I129" i="1"/>
  <c r="J129" i="1"/>
  <c r="K129" i="1"/>
  <c r="L129" i="1"/>
  <c r="M129" i="1"/>
  <c r="N129" i="1"/>
  <c r="O129" i="1"/>
  <c r="Q129" i="1"/>
  <c r="A130" i="1"/>
  <c r="B130" i="1"/>
  <c r="C130" i="1"/>
  <c r="D130" i="1"/>
  <c r="E130" i="1"/>
  <c r="F130" i="1"/>
  <c r="H130" i="1"/>
  <c r="I130" i="1"/>
  <c r="J130" i="1"/>
  <c r="K130" i="1"/>
  <c r="L130" i="1"/>
  <c r="M130" i="1"/>
  <c r="N130" i="1"/>
  <c r="O130" i="1"/>
  <c r="Q130" i="1"/>
  <c r="A131" i="1"/>
  <c r="B131" i="1"/>
  <c r="C131" i="1"/>
  <c r="D131" i="1"/>
  <c r="E131" i="1"/>
  <c r="F131" i="1"/>
  <c r="H131" i="1"/>
  <c r="I131" i="1"/>
  <c r="J131" i="1"/>
  <c r="K131" i="1"/>
  <c r="L131" i="1"/>
  <c r="M131" i="1"/>
  <c r="N131" i="1"/>
  <c r="O131" i="1"/>
  <c r="Q131" i="1"/>
  <c r="A132" i="1"/>
  <c r="B132" i="1"/>
  <c r="C132" i="1"/>
  <c r="D132" i="1"/>
  <c r="E132" i="1"/>
  <c r="F132" i="1"/>
  <c r="H132" i="1"/>
  <c r="I132" i="1"/>
  <c r="J132" i="1"/>
  <c r="K132" i="1"/>
  <c r="L132" i="1"/>
  <c r="M132" i="1"/>
  <c r="N132" i="1"/>
  <c r="O132" i="1"/>
  <c r="Q132" i="1"/>
  <c r="A133" i="1"/>
  <c r="B133" i="1"/>
  <c r="C133" i="1"/>
  <c r="D133" i="1"/>
  <c r="E133" i="1"/>
  <c r="F133" i="1"/>
  <c r="H133" i="1"/>
  <c r="I133" i="1"/>
  <c r="J133" i="1"/>
  <c r="K133" i="1"/>
  <c r="L133" i="1"/>
  <c r="M133" i="1"/>
  <c r="N133" i="1"/>
  <c r="O133" i="1"/>
  <c r="Q133" i="1"/>
  <c r="A134" i="1"/>
  <c r="B134" i="1"/>
  <c r="C134" i="1"/>
  <c r="D134" i="1"/>
  <c r="E134" i="1"/>
  <c r="F134" i="1"/>
  <c r="H134" i="1"/>
  <c r="I134" i="1"/>
  <c r="J134" i="1"/>
  <c r="K134" i="1"/>
  <c r="L134" i="1"/>
  <c r="M134" i="1"/>
  <c r="N134" i="1"/>
  <c r="O134" i="1"/>
  <c r="Q134" i="1"/>
  <c r="A135" i="1"/>
  <c r="B135" i="1"/>
  <c r="C135" i="1"/>
  <c r="D135" i="1"/>
  <c r="E135" i="1"/>
  <c r="F135" i="1"/>
  <c r="H135" i="1"/>
  <c r="I135" i="1"/>
  <c r="J135" i="1"/>
  <c r="K135" i="1"/>
  <c r="L135" i="1"/>
  <c r="M135" i="1"/>
  <c r="N135" i="1"/>
  <c r="O135" i="1"/>
  <c r="Q135" i="1"/>
  <c r="A136" i="1"/>
  <c r="B136" i="1"/>
  <c r="C136" i="1"/>
  <c r="D136" i="1"/>
  <c r="E136" i="1"/>
  <c r="F136" i="1"/>
  <c r="H136" i="1"/>
  <c r="I136" i="1"/>
  <c r="J136" i="1"/>
  <c r="K136" i="1"/>
  <c r="L136" i="1"/>
  <c r="M136" i="1"/>
  <c r="N136" i="1"/>
  <c r="O136" i="1"/>
  <c r="Q136" i="1"/>
  <c r="A137" i="1"/>
  <c r="B137" i="1"/>
  <c r="C137" i="1"/>
  <c r="D137" i="1"/>
  <c r="E137" i="1"/>
  <c r="F137" i="1"/>
  <c r="H137" i="1"/>
  <c r="I137" i="1"/>
  <c r="J137" i="1"/>
  <c r="K137" i="1"/>
  <c r="L137" i="1"/>
  <c r="M137" i="1"/>
  <c r="N137" i="1"/>
  <c r="O137" i="1"/>
  <c r="Q137" i="1"/>
  <c r="A138" i="1"/>
  <c r="B138" i="1"/>
  <c r="C138" i="1"/>
  <c r="D138" i="1"/>
  <c r="E138" i="1"/>
  <c r="F138" i="1"/>
  <c r="H138" i="1"/>
  <c r="I138" i="1"/>
  <c r="J138" i="1"/>
  <c r="K138" i="1"/>
  <c r="L138" i="1"/>
  <c r="M138" i="1"/>
  <c r="N138" i="1"/>
  <c r="O138" i="1"/>
  <c r="Q138" i="1"/>
  <c r="A139" i="1"/>
  <c r="B139" i="1"/>
  <c r="C139" i="1"/>
  <c r="D139" i="1"/>
  <c r="E139" i="1"/>
  <c r="F139" i="1"/>
  <c r="H139" i="1"/>
  <c r="I139" i="1"/>
  <c r="J139" i="1"/>
  <c r="K139" i="1"/>
  <c r="L139" i="1"/>
  <c r="M139" i="1"/>
  <c r="N139" i="1"/>
  <c r="O139" i="1"/>
  <c r="Q139" i="1"/>
  <c r="A140" i="1"/>
  <c r="B140" i="1"/>
  <c r="C140" i="1"/>
  <c r="D140" i="1"/>
  <c r="E140" i="1"/>
  <c r="F140" i="1"/>
  <c r="H140" i="1"/>
  <c r="I140" i="1"/>
  <c r="J140" i="1"/>
  <c r="K140" i="1"/>
  <c r="L140" i="1"/>
  <c r="M140" i="1"/>
  <c r="N140" i="1"/>
  <c r="O140" i="1"/>
  <c r="Q140" i="1"/>
  <c r="A141" i="1"/>
  <c r="B141" i="1"/>
  <c r="C141" i="1"/>
  <c r="D141" i="1"/>
  <c r="E141" i="1"/>
  <c r="F141" i="1"/>
  <c r="H141" i="1"/>
  <c r="I141" i="1"/>
  <c r="J141" i="1"/>
  <c r="K141" i="1"/>
  <c r="L141" i="1"/>
  <c r="M141" i="1"/>
  <c r="N141" i="1"/>
  <c r="O141" i="1"/>
  <c r="Q141" i="1"/>
</calcChain>
</file>

<file path=xl/sharedStrings.xml><?xml version="1.0" encoding="utf-8"?>
<sst xmlns="http://schemas.openxmlformats.org/spreadsheetml/2006/main" count="223" uniqueCount="98">
  <si>
    <t>Area</t>
  </si>
  <si>
    <t>Conc</t>
  </si>
  <si>
    <t>Row Labels</t>
  </si>
  <si>
    <t>Vial 10</t>
  </si>
  <si>
    <t>Vial 11</t>
  </si>
  <si>
    <t>Vial 12</t>
  </si>
  <si>
    <t>Vial 13</t>
  </si>
  <si>
    <t>Vial 14</t>
  </si>
  <si>
    <t>Vial 15</t>
  </si>
  <si>
    <t>Vial 16</t>
  </si>
  <si>
    <t>Vial 17</t>
  </si>
  <si>
    <t>Vial 18</t>
  </si>
  <si>
    <t>Vial 19</t>
  </si>
  <si>
    <t>Vial 20</t>
  </si>
  <si>
    <t>Vial 21</t>
  </si>
  <si>
    <t>Vial 22</t>
  </si>
  <si>
    <t>Vial 23</t>
  </si>
  <si>
    <t>Vial 24</t>
  </si>
  <si>
    <t>Vial 25</t>
  </si>
  <si>
    <t>Vial 26</t>
  </si>
  <si>
    <t>Vial 27</t>
  </si>
  <si>
    <t>Vial 28</t>
  </si>
  <si>
    <t>Vial 29</t>
  </si>
  <si>
    <t>Vial 30</t>
  </si>
  <si>
    <t>Vial 31</t>
  </si>
  <si>
    <t>Vial 32</t>
  </si>
  <si>
    <t>Vial 33</t>
  </si>
  <si>
    <t>Vial 34</t>
  </si>
  <si>
    <t>Vial 35</t>
  </si>
  <si>
    <t>Vial 36</t>
  </si>
  <si>
    <t>Vial 37</t>
  </si>
  <si>
    <t>Vial 38</t>
  </si>
  <si>
    <t>Vial 39</t>
  </si>
  <si>
    <t>Vial 40</t>
  </si>
  <si>
    <t>Vial 41</t>
  </si>
  <si>
    <t>Vial 42</t>
  </si>
  <si>
    <t>Vial 43</t>
  </si>
  <si>
    <t>Vial 44</t>
  </si>
  <si>
    <t>Vial 45</t>
  </si>
  <si>
    <t>Vial 46</t>
  </si>
  <si>
    <t>Vial 47</t>
  </si>
  <si>
    <t>Vial 48</t>
  </si>
  <si>
    <t>Vial 49</t>
  </si>
  <si>
    <t>Vial 5</t>
  </si>
  <si>
    <t>Vial 50</t>
  </si>
  <si>
    <t>Vial 6</t>
  </si>
  <si>
    <t>Vial 7</t>
  </si>
  <si>
    <t>Vial 8</t>
  </si>
  <si>
    <t>Vial 9</t>
  </si>
  <si>
    <t>Vial</t>
  </si>
  <si>
    <t>Average of Conc</t>
  </si>
  <si>
    <t>OTO-101</t>
  </si>
  <si>
    <t>OTO-102</t>
  </si>
  <si>
    <t>OTO-103</t>
  </si>
  <si>
    <t>OTO-104</t>
  </si>
  <si>
    <t>OTO-105</t>
  </si>
  <si>
    <t>OTO-201</t>
  </si>
  <si>
    <t>OTO-202</t>
  </si>
  <si>
    <t>OTO-203</t>
  </si>
  <si>
    <t>OTO-204</t>
  </si>
  <si>
    <t>OTO-205</t>
  </si>
  <si>
    <t>OTO-301</t>
  </si>
  <si>
    <t>OTO-302</t>
  </si>
  <si>
    <t>OTO-303</t>
  </si>
  <si>
    <t>OTO-304</t>
  </si>
  <si>
    <t>OTO-305</t>
  </si>
  <si>
    <t>OTO-401</t>
  </si>
  <si>
    <t>OTO-402</t>
  </si>
  <si>
    <t>OTO-403</t>
  </si>
  <si>
    <t>OTO-404</t>
  </si>
  <si>
    <t>OTO-405</t>
  </si>
  <si>
    <t>REP</t>
  </si>
  <si>
    <t>Filter Blank</t>
  </si>
  <si>
    <t>Solution Blank</t>
  </si>
  <si>
    <t>OTB-101</t>
  </si>
  <si>
    <t>OTB-102</t>
  </si>
  <si>
    <t>OTB-103</t>
  </si>
  <si>
    <t>OTB-104</t>
  </si>
  <si>
    <t>OTB-105</t>
  </si>
  <si>
    <t>OTB-201</t>
  </si>
  <si>
    <t>OTB-202</t>
  </si>
  <si>
    <t>OTB-203</t>
  </si>
  <si>
    <t>OTB-204</t>
  </si>
  <si>
    <t>OTB-205</t>
  </si>
  <si>
    <t>OTB-301</t>
  </si>
  <si>
    <t>OTB-302</t>
  </si>
  <si>
    <t>OTB-303</t>
  </si>
  <si>
    <t>OTB-304</t>
  </si>
  <si>
    <t>OTB-305</t>
  </si>
  <si>
    <t>OTB-401</t>
  </si>
  <si>
    <t>OTB-402</t>
  </si>
  <si>
    <t>OTB-403</t>
  </si>
  <si>
    <t>OTB-404</t>
  </si>
  <si>
    <t>OTB-405</t>
  </si>
  <si>
    <t>FB with filter</t>
  </si>
  <si>
    <t>Sample</t>
  </si>
  <si>
    <t>Conc mg/L</t>
  </si>
  <si>
    <t>Blank Corr DOC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</si>
</sst>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Curve'!$F$1</c:f>
              <c:strCache>
                <c:ptCount val="1"/>
                <c:pt idx="0">
                  <c:v>Conc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Curve'!$E$2:$E$141</c:f>
              <c:numCache>
                <c:formatCode>0.00</c:formatCode>
                <c:ptCount val="140"/>
                <c:pt idx="0">
                  <c:v>5.4085000000000001</c:v>
                </c:pt>
                <c:pt idx="1">
                  <c:v>86.07</c:v>
                </c:pt>
                <c:pt idx="2">
                  <c:v>209.45</c:v>
                </c:pt>
                <c:pt idx="3">
                  <c:v>397.20000000000005</c:v>
                </c:pt>
              </c:numCache>
            </c:numRef>
          </c:xVal>
          <c:yVal>
            <c:numRef>
              <c:f>'Standard Curve'!$F$2:$F$141</c:f>
              <c:numCache>
                <c:formatCode>General</c:formatCode>
                <c:ptCount val="140"/>
                <c:pt idx="0">
                  <c:v>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C-4C74-B907-C4F64C706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195039"/>
        <c:axId val="1169641951"/>
      </c:scatterChart>
      <c:valAx>
        <c:axId val="52819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641951"/>
        <c:crosses val="autoZero"/>
        <c:crossBetween val="midCat"/>
      </c:valAx>
      <c:valAx>
        <c:axId val="116964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9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12</xdr:row>
      <xdr:rowOff>85725</xdr:rowOff>
    </xdr:from>
    <xdr:to>
      <xdr:col>17</xdr:col>
      <xdr:colOff>285750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831CE-9B41-4605-B49B-13675B027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workbookViewId="0"/>
  </sheetViews>
  <sheetFormatPr defaultRowHeight="15" x14ac:dyDescent="0.25"/>
  <sheetData>
    <row r="1" spans="1:17" x14ac:dyDescent="0.25">
      <c r="A1" t="str">
        <f>"[Header]"</f>
        <v>[Header]</v>
      </c>
    </row>
    <row r="2" spans="1:17" x14ac:dyDescent="0.25">
      <c r="A2" t="str">
        <f>"System"</f>
        <v>System</v>
      </c>
      <c r="B2" t="str">
        <f>"TC/TIC/TOC"</f>
        <v>TC/TIC/TOC</v>
      </c>
    </row>
    <row r="3" spans="1:17" x14ac:dyDescent="0.25">
      <c r="A3" t="str">
        <f>"File Ver."</f>
        <v>File Ver.</v>
      </c>
      <c r="B3" t="str">
        <f>"00.00.01E"</f>
        <v>00.00.01E</v>
      </c>
    </row>
    <row r="4" spans="1:17" x14ac:dyDescent="0.25">
      <c r="A4" t="str">
        <f>"User"</f>
        <v>User</v>
      </c>
      <c r="B4" t="str">
        <f>""</f>
        <v/>
      </c>
    </row>
    <row r="5" spans="1:17" x14ac:dyDescent="0.25">
      <c r="A5" t="str">
        <f>"Date of creation"</f>
        <v>Date of creation</v>
      </c>
      <c r="B5" t="str">
        <f>"6/16/2017 12:20:20 PM"</f>
        <v>6/16/2017 12:20:20 PM</v>
      </c>
    </row>
    <row r="6" spans="1:17" x14ac:dyDescent="0.25">
      <c r="A6" t="str">
        <f>"Comments"</f>
        <v>Comments</v>
      </c>
      <c r="B6" t="str">
        <f>""</f>
        <v/>
      </c>
    </row>
    <row r="8" spans="1:17" x14ac:dyDescent="0.25">
      <c r="A8" t="str">
        <f>"[System]"</f>
        <v>[System]</v>
      </c>
    </row>
    <row r="9" spans="1:17" x14ac:dyDescent="0.25">
      <c r="A9" t="str">
        <f>"Detector"</f>
        <v>Detector</v>
      </c>
      <c r="B9" t="str">
        <f>"Combustion"</f>
        <v>Combustion</v>
      </c>
    </row>
    <row r="10" spans="1:17" x14ac:dyDescent="0.25">
      <c r="A10" t="str">
        <f>"Catalyst"</f>
        <v>Catalyst</v>
      </c>
      <c r="B10" t="str">
        <f>"Regular Sensitivity"</f>
        <v>Regular Sensitivity</v>
      </c>
    </row>
    <row r="11" spans="1:17" x14ac:dyDescent="0.25">
      <c r="A11" t="str">
        <f>"ASI Tray"</f>
        <v>ASI Tray</v>
      </c>
      <c r="B11" t="str">
        <f>"24 mL Vials"</f>
        <v>24 mL Vials</v>
      </c>
    </row>
    <row r="13" spans="1:17" x14ac:dyDescent="0.25">
      <c r="A13" t="str">
        <f>"[Data]"</f>
        <v>[Data]</v>
      </c>
    </row>
    <row r="14" spans="1:17" x14ac:dyDescent="0.25">
      <c r="A14" t="str">
        <f>"Type"</f>
        <v>Type</v>
      </c>
      <c r="B14" t="str">
        <f>"Anal."</f>
        <v>Anal.</v>
      </c>
      <c r="C14" t="str">
        <f>"Sample Name"</f>
        <v>Sample Name</v>
      </c>
      <c r="D14" t="str">
        <f>"Sample ID"</f>
        <v>Sample ID</v>
      </c>
      <c r="E14" t="str">
        <f>"Origin"</f>
        <v>Origin</v>
      </c>
      <c r="F14" t="str">
        <f>"Cal. Curve"</f>
        <v>Cal. Curve</v>
      </c>
      <c r="G14" t="str">
        <f>"Dil."</f>
        <v>Dil.</v>
      </c>
      <c r="H14" t="str">
        <f>"Notes"</f>
        <v>Notes</v>
      </c>
      <c r="I14" t="str">
        <f>"Date / Time"</f>
        <v>Date / Time</v>
      </c>
      <c r="J14" t="str">
        <f>"Spl. No."</f>
        <v>Spl. No.</v>
      </c>
      <c r="K14" t="str">
        <f>"Inj. No."</f>
        <v>Inj. No.</v>
      </c>
      <c r="L14" t="str">
        <f>"Analysis(Inj.)"</f>
        <v>Analysis(Inj.)</v>
      </c>
      <c r="M14" t="str">
        <f>"Area"</f>
        <v>Area</v>
      </c>
      <c r="N14" t="str">
        <f>"Conc."</f>
        <v>Conc.</v>
      </c>
      <c r="O14" t="str">
        <f>"Result"</f>
        <v>Result</v>
      </c>
      <c r="P14" t="str">
        <f>"Excluded"</f>
        <v>Excluded</v>
      </c>
      <c r="Q14" t="str">
        <f>"Inj. Vol."</f>
        <v>Inj. Vol.</v>
      </c>
    </row>
    <row r="15" spans="1:17" x14ac:dyDescent="0.25">
      <c r="A15" t="str">
        <f t="shared" ref="A15:A24" si="0">"Standard"</f>
        <v>Standard</v>
      </c>
      <c r="B15" t="str">
        <f t="shared" ref="B15:B46" si="1">"TC"</f>
        <v>TC</v>
      </c>
      <c r="C15" t="str">
        <f t="shared" ref="C15:D24" si="2">"Untitled"</f>
        <v>Untitled</v>
      </c>
      <c r="D15" t="str">
        <f t="shared" si="2"/>
        <v>Untitled</v>
      </c>
      <c r="E15" t="str">
        <f t="shared" ref="E15:E24" si="3">"D:\TOC3201\CalCurves\StomDOC2.2017_06_16_16_17_28.cal"</f>
        <v>D:\TOC3201\CalCurves\StomDOC2.2017_06_16_16_17_28.cal</v>
      </c>
      <c r="F15" t="str">
        <f>""</f>
        <v/>
      </c>
      <c r="G15">
        <v>1</v>
      </c>
      <c r="H15" t="str">
        <f>""</f>
        <v/>
      </c>
      <c r="I15" t="str">
        <f>"6/16/2017 4:24:54 PM"</f>
        <v>6/16/2017 4:24:54 PM</v>
      </c>
      <c r="J15" t="str">
        <f>"1"</f>
        <v>1</v>
      </c>
      <c r="K15" t="str">
        <f>"1"</f>
        <v>1</v>
      </c>
      <c r="L15" t="str">
        <f t="shared" ref="L15:L46" si="4">"TC"</f>
        <v>TC</v>
      </c>
      <c r="M15" t="str">
        <f>"12.85"</f>
        <v>12.85</v>
      </c>
      <c r="N15" t="str">
        <f>"0.000"</f>
        <v>0.000</v>
      </c>
      <c r="O15" t="str">
        <f t="shared" ref="O15:O24" si="5">" "</f>
        <v xml:space="preserve"> </v>
      </c>
      <c r="P15">
        <v>1</v>
      </c>
      <c r="Q15" t="str">
        <f t="shared" ref="Q15:Q46" si="6">"50"</f>
        <v>50</v>
      </c>
    </row>
    <row r="16" spans="1:17" x14ac:dyDescent="0.25">
      <c r="A16" t="str">
        <f t="shared" si="0"/>
        <v>Standard</v>
      </c>
      <c r="B16" t="str">
        <f t="shared" si="1"/>
        <v>TC</v>
      </c>
      <c r="C16" t="str">
        <f t="shared" si="2"/>
        <v>Untitled</v>
      </c>
      <c r="D16" t="str">
        <f t="shared" si="2"/>
        <v>Untitled</v>
      </c>
      <c r="E16" t="str">
        <f t="shared" si="3"/>
        <v>D:\TOC3201\CalCurves\StomDOC2.2017_06_16_16_17_28.cal</v>
      </c>
      <c r="F16" t="str">
        <f>""</f>
        <v/>
      </c>
      <c r="G16">
        <v>1</v>
      </c>
      <c r="H16" t="str">
        <f>""</f>
        <v/>
      </c>
      <c r="I16" t="str">
        <f>"6/16/2017 4:29:08 PM"</f>
        <v>6/16/2017 4:29:08 PM</v>
      </c>
      <c r="J16" t="str">
        <f>"1"</f>
        <v>1</v>
      </c>
      <c r="K16" t="str">
        <f>"2"</f>
        <v>2</v>
      </c>
      <c r="L16" t="str">
        <f t="shared" si="4"/>
        <v>TC</v>
      </c>
      <c r="M16" t="str">
        <f>"5.703"</f>
        <v>5.703</v>
      </c>
      <c r="N16" t="str">
        <f>"0.000"</f>
        <v>0.000</v>
      </c>
      <c r="O16" t="str">
        <f t="shared" si="5"/>
        <v xml:space="preserve"> </v>
      </c>
      <c r="P16">
        <v>0</v>
      </c>
      <c r="Q16" t="str">
        <f t="shared" si="6"/>
        <v>50</v>
      </c>
    </row>
    <row r="17" spans="1:17" x14ac:dyDescent="0.25">
      <c r="A17" t="str">
        <f t="shared" si="0"/>
        <v>Standard</v>
      </c>
      <c r="B17" t="str">
        <f t="shared" si="1"/>
        <v>TC</v>
      </c>
      <c r="C17" t="str">
        <f t="shared" si="2"/>
        <v>Untitled</v>
      </c>
      <c r="D17" t="str">
        <f t="shared" si="2"/>
        <v>Untitled</v>
      </c>
      <c r="E17" t="str">
        <f t="shared" si="3"/>
        <v>D:\TOC3201\CalCurves\StomDOC2.2017_06_16_16_17_28.cal</v>
      </c>
      <c r="F17" t="str">
        <f>""</f>
        <v/>
      </c>
      <c r="G17">
        <v>1</v>
      </c>
      <c r="H17" t="str">
        <f>""</f>
        <v/>
      </c>
      <c r="I17" t="str">
        <f>"6/16/2017 4:33:25 PM"</f>
        <v>6/16/2017 4:33:25 PM</v>
      </c>
      <c r="J17" t="str">
        <f>"1"</f>
        <v>1</v>
      </c>
      <c r="K17" t="str">
        <f>"3"</f>
        <v>3</v>
      </c>
      <c r="L17" t="str">
        <f t="shared" si="4"/>
        <v>TC</v>
      </c>
      <c r="M17" t="str">
        <f>"5.114"</f>
        <v>5.114</v>
      </c>
      <c r="N17" t="str">
        <f>"0.000"</f>
        <v>0.000</v>
      </c>
      <c r="O17" t="str">
        <f t="shared" si="5"/>
        <v xml:space="preserve"> </v>
      </c>
      <c r="P17">
        <v>0</v>
      </c>
      <c r="Q17" t="str">
        <f t="shared" si="6"/>
        <v>50</v>
      </c>
    </row>
    <row r="18" spans="1:17" x14ac:dyDescent="0.25">
      <c r="A18" t="str">
        <f t="shared" si="0"/>
        <v>Standard</v>
      </c>
      <c r="B18" t="str">
        <f t="shared" si="1"/>
        <v>TC</v>
      </c>
      <c r="C18" t="str">
        <f t="shared" si="2"/>
        <v>Untitled</v>
      </c>
      <c r="D18" t="str">
        <f t="shared" si="2"/>
        <v>Untitled</v>
      </c>
      <c r="E18" t="str">
        <f t="shared" si="3"/>
        <v>D:\TOC3201\CalCurves\StomDOC2.2017_06_16_16_17_28.cal</v>
      </c>
      <c r="F18" t="str">
        <f>""</f>
        <v/>
      </c>
      <c r="G18">
        <v>1</v>
      </c>
      <c r="H18" t="str">
        <f>""</f>
        <v/>
      </c>
      <c r="I18" t="str">
        <f>"6/16/2017 4:41:41 PM"</f>
        <v>6/16/2017 4:41:41 PM</v>
      </c>
      <c r="J18" t="str">
        <f>"2"</f>
        <v>2</v>
      </c>
      <c r="K18" t="str">
        <f>"1"</f>
        <v>1</v>
      </c>
      <c r="L18" t="str">
        <f t="shared" si="4"/>
        <v>TC</v>
      </c>
      <c r="M18" t="str">
        <f>"85.50"</f>
        <v>85.50</v>
      </c>
      <c r="N18" t="str">
        <f>"20.00"</f>
        <v>20.00</v>
      </c>
      <c r="O18" t="str">
        <f t="shared" si="5"/>
        <v xml:space="preserve"> </v>
      </c>
      <c r="P18">
        <v>0</v>
      </c>
      <c r="Q18" t="str">
        <f t="shared" si="6"/>
        <v>50</v>
      </c>
    </row>
    <row r="19" spans="1:17" x14ac:dyDescent="0.25">
      <c r="A19" t="str">
        <f t="shared" si="0"/>
        <v>Standard</v>
      </c>
      <c r="B19" t="str">
        <f t="shared" si="1"/>
        <v>TC</v>
      </c>
      <c r="C19" t="str">
        <f t="shared" si="2"/>
        <v>Untitled</v>
      </c>
      <c r="D19" t="str">
        <f t="shared" si="2"/>
        <v>Untitled</v>
      </c>
      <c r="E19" t="str">
        <f t="shared" si="3"/>
        <v>D:\TOC3201\CalCurves\StomDOC2.2017_06_16_16_17_28.cal</v>
      </c>
      <c r="F19" t="str">
        <f>""</f>
        <v/>
      </c>
      <c r="G19">
        <v>1</v>
      </c>
      <c r="H19" t="str">
        <f>""</f>
        <v/>
      </c>
      <c r="I19" t="str">
        <f>"6/16/2017 4:46:50 PM"</f>
        <v>6/16/2017 4:46:50 PM</v>
      </c>
      <c r="J19" t="str">
        <f>"2"</f>
        <v>2</v>
      </c>
      <c r="K19" t="str">
        <f>"2"</f>
        <v>2</v>
      </c>
      <c r="L19" t="str">
        <f t="shared" si="4"/>
        <v>TC</v>
      </c>
      <c r="M19" t="str">
        <f>"86.64"</f>
        <v>86.64</v>
      </c>
      <c r="N19" t="str">
        <f>"20.00"</f>
        <v>20.00</v>
      </c>
      <c r="O19" t="str">
        <f t="shared" si="5"/>
        <v xml:space="preserve"> </v>
      </c>
      <c r="P19">
        <v>0</v>
      </c>
      <c r="Q19" t="str">
        <f t="shared" si="6"/>
        <v>50</v>
      </c>
    </row>
    <row r="20" spans="1:17" x14ac:dyDescent="0.25">
      <c r="A20" t="str">
        <f t="shared" si="0"/>
        <v>Standard</v>
      </c>
      <c r="B20" t="str">
        <f t="shared" si="1"/>
        <v>TC</v>
      </c>
      <c r="C20" t="str">
        <f t="shared" si="2"/>
        <v>Untitled</v>
      </c>
      <c r="D20" t="str">
        <f t="shared" si="2"/>
        <v>Untitled</v>
      </c>
      <c r="E20" t="str">
        <f t="shared" si="3"/>
        <v>D:\TOC3201\CalCurves\StomDOC2.2017_06_16_16_17_28.cal</v>
      </c>
      <c r="F20" t="str">
        <f>""</f>
        <v/>
      </c>
      <c r="G20">
        <v>1</v>
      </c>
      <c r="H20" t="str">
        <f>""</f>
        <v/>
      </c>
      <c r="I20" t="str">
        <f>"6/16/2017 4:55:14 PM"</f>
        <v>6/16/2017 4:55:14 PM</v>
      </c>
      <c r="J20" t="str">
        <f>"3"</f>
        <v>3</v>
      </c>
      <c r="K20" t="str">
        <f>"1"</f>
        <v>1</v>
      </c>
      <c r="L20" t="str">
        <f t="shared" si="4"/>
        <v>TC</v>
      </c>
      <c r="M20" t="str">
        <f>"207.5"</f>
        <v>207.5</v>
      </c>
      <c r="N20" t="str">
        <f>"50.00"</f>
        <v>50.00</v>
      </c>
      <c r="O20" t="str">
        <f t="shared" si="5"/>
        <v xml:space="preserve"> </v>
      </c>
      <c r="P20">
        <v>0</v>
      </c>
      <c r="Q20" t="str">
        <f t="shared" si="6"/>
        <v>50</v>
      </c>
    </row>
    <row r="21" spans="1:17" x14ac:dyDescent="0.25">
      <c r="A21" t="str">
        <f t="shared" si="0"/>
        <v>Standard</v>
      </c>
      <c r="B21" t="str">
        <f t="shared" si="1"/>
        <v>TC</v>
      </c>
      <c r="C21" t="str">
        <f t="shared" si="2"/>
        <v>Untitled</v>
      </c>
      <c r="D21" t="str">
        <f t="shared" si="2"/>
        <v>Untitled</v>
      </c>
      <c r="E21" t="str">
        <f t="shared" si="3"/>
        <v>D:\TOC3201\CalCurves\StomDOC2.2017_06_16_16_17_28.cal</v>
      </c>
      <c r="F21" t="str">
        <f>""</f>
        <v/>
      </c>
      <c r="G21">
        <v>1</v>
      </c>
      <c r="H21" t="str">
        <f>""</f>
        <v/>
      </c>
      <c r="I21" t="str">
        <f>"6/16/2017 5:00:22 PM"</f>
        <v>6/16/2017 5:00:22 PM</v>
      </c>
      <c r="J21" t="str">
        <f>"3"</f>
        <v>3</v>
      </c>
      <c r="K21" t="str">
        <f>"2"</f>
        <v>2</v>
      </c>
      <c r="L21" t="str">
        <f t="shared" si="4"/>
        <v>TC</v>
      </c>
      <c r="M21" t="str">
        <f>"211.4"</f>
        <v>211.4</v>
      </c>
      <c r="N21" t="str">
        <f>"50.00"</f>
        <v>50.00</v>
      </c>
      <c r="O21" t="str">
        <f t="shared" si="5"/>
        <v xml:space="preserve"> </v>
      </c>
      <c r="P21">
        <v>0</v>
      </c>
      <c r="Q21" t="str">
        <f t="shared" si="6"/>
        <v>50</v>
      </c>
    </row>
    <row r="22" spans="1:17" x14ac:dyDescent="0.25">
      <c r="A22" t="str">
        <f t="shared" si="0"/>
        <v>Standard</v>
      </c>
      <c r="B22" t="str">
        <f t="shared" si="1"/>
        <v>TC</v>
      </c>
      <c r="C22" t="str">
        <f t="shared" si="2"/>
        <v>Untitled</v>
      </c>
      <c r="D22" t="str">
        <f t="shared" si="2"/>
        <v>Untitled</v>
      </c>
      <c r="E22" t="str">
        <f t="shared" si="3"/>
        <v>D:\TOC3201\CalCurves\StomDOC2.2017_06_16_16_17_28.cal</v>
      </c>
      <c r="F22" t="str">
        <f>""</f>
        <v/>
      </c>
      <c r="G22">
        <v>1</v>
      </c>
      <c r="H22" t="str">
        <f>""</f>
        <v/>
      </c>
      <c r="I22" t="str">
        <f>"6/16/2017 5:08:45 PM"</f>
        <v>6/16/2017 5:08:45 PM</v>
      </c>
      <c r="J22" t="str">
        <f>"4"</f>
        <v>4</v>
      </c>
      <c r="K22" t="str">
        <f>"1"</f>
        <v>1</v>
      </c>
      <c r="L22" t="str">
        <f t="shared" si="4"/>
        <v>TC</v>
      </c>
      <c r="M22" t="str">
        <f>"404.1"</f>
        <v>404.1</v>
      </c>
      <c r="N22" t="str">
        <f>"100.0"</f>
        <v>100.0</v>
      </c>
      <c r="O22" t="str">
        <f t="shared" si="5"/>
        <v xml:space="preserve"> </v>
      </c>
      <c r="P22">
        <v>0</v>
      </c>
      <c r="Q22" t="str">
        <f t="shared" si="6"/>
        <v>50</v>
      </c>
    </row>
    <row r="23" spans="1:17" x14ac:dyDescent="0.25">
      <c r="A23" t="str">
        <f t="shared" si="0"/>
        <v>Standard</v>
      </c>
      <c r="B23" t="str">
        <f t="shared" si="1"/>
        <v>TC</v>
      </c>
      <c r="C23" t="str">
        <f t="shared" si="2"/>
        <v>Untitled</v>
      </c>
      <c r="D23" t="str">
        <f t="shared" si="2"/>
        <v>Untitled</v>
      </c>
      <c r="E23" t="str">
        <f t="shared" si="3"/>
        <v>D:\TOC3201\CalCurves\StomDOC2.2017_06_16_16_17_28.cal</v>
      </c>
      <c r="F23" t="str">
        <f>""</f>
        <v/>
      </c>
      <c r="G23">
        <v>1</v>
      </c>
      <c r="H23" t="str">
        <f>""</f>
        <v/>
      </c>
      <c r="I23" t="str">
        <f>"6/16/2017 5:13:54 PM"</f>
        <v>6/16/2017 5:13:54 PM</v>
      </c>
      <c r="J23" t="str">
        <f>"4"</f>
        <v>4</v>
      </c>
      <c r="K23" t="str">
        <f>"2"</f>
        <v>2</v>
      </c>
      <c r="L23" t="str">
        <f t="shared" si="4"/>
        <v>TC</v>
      </c>
      <c r="M23" t="str">
        <f>"418.0"</f>
        <v>418.0</v>
      </c>
      <c r="N23" t="str">
        <f>"100.0"</f>
        <v>100.0</v>
      </c>
      <c r="O23" t="str">
        <f t="shared" si="5"/>
        <v xml:space="preserve"> </v>
      </c>
      <c r="P23">
        <v>1</v>
      </c>
      <c r="Q23" t="str">
        <f t="shared" si="6"/>
        <v>50</v>
      </c>
    </row>
    <row r="24" spans="1:17" x14ac:dyDescent="0.25">
      <c r="A24" t="str">
        <f t="shared" si="0"/>
        <v>Standard</v>
      </c>
      <c r="B24" t="str">
        <f t="shared" si="1"/>
        <v>TC</v>
      </c>
      <c r="C24" t="str">
        <f t="shared" si="2"/>
        <v>Untitled</v>
      </c>
      <c r="D24" t="str">
        <f t="shared" si="2"/>
        <v>Untitled</v>
      </c>
      <c r="E24" t="str">
        <f t="shared" si="3"/>
        <v>D:\TOC3201\CalCurves\StomDOC2.2017_06_16_16_17_28.cal</v>
      </c>
      <c r="F24" t="str">
        <f>""</f>
        <v/>
      </c>
      <c r="G24">
        <v>1</v>
      </c>
      <c r="H24" t="str">
        <f>""</f>
        <v/>
      </c>
      <c r="I24" t="str">
        <f>"6/16/2017 5:19:06 PM"</f>
        <v>6/16/2017 5:19:06 PM</v>
      </c>
      <c r="J24" t="str">
        <f>"4"</f>
        <v>4</v>
      </c>
      <c r="K24" t="str">
        <f>"3"</f>
        <v>3</v>
      </c>
      <c r="L24" t="str">
        <f t="shared" si="4"/>
        <v>TC</v>
      </c>
      <c r="M24" t="str">
        <f>"390.3"</f>
        <v>390.3</v>
      </c>
      <c r="N24" t="str">
        <f>"100.0"</f>
        <v>100.0</v>
      </c>
      <c r="O24" t="str">
        <f t="shared" si="5"/>
        <v xml:space="preserve"> </v>
      </c>
      <c r="P24">
        <v>0</v>
      </c>
      <c r="Q24" t="str">
        <f t="shared" si="6"/>
        <v>50</v>
      </c>
    </row>
    <row r="25" spans="1:17" x14ac:dyDescent="0.25">
      <c r="A25" t="str">
        <f t="shared" ref="A25:A56" si="7">"Unknown"</f>
        <v>Unknown</v>
      </c>
      <c r="B25" t="str">
        <f t="shared" si="1"/>
        <v>TC</v>
      </c>
      <c r="C25" t="str">
        <f>"Vial 5"</f>
        <v>Vial 5</v>
      </c>
      <c r="D25" t="str">
        <f>"Untitled5"</f>
        <v>Untitled5</v>
      </c>
      <c r="E25" t="str">
        <f t="shared" ref="E25:E56" si="8">"D:\TOC3201\Methods\StomDOC.met"</f>
        <v>D:\TOC3201\Methods\StomDOC.met</v>
      </c>
      <c r="F25" t="str">
        <f t="shared" ref="F25:F56" si="9">"D:\TOC3201\CalCurves\StomDOC2.2017_06_16_16_17_28.cal"</f>
        <v>D:\TOC3201\CalCurves\StomDOC2.2017_06_16_16_17_28.cal</v>
      </c>
      <c r="G25">
        <v>1</v>
      </c>
      <c r="H25" t="str">
        <f>""</f>
        <v/>
      </c>
      <c r="I25" t="str">
        <f>"6/16/2017 5:27:20 PM"</f>
        <v>6/16/2017 5:27:20 PM</v>
      </c>
      <c r="J25" t="str">
        <f>"1"</f>
        <v>1</v>
      </c>
      <c r="K25" t="str">
        <f>"1"</f>
        <v>1</v>
      </c>
      <c r="L25" t="str">
        <f t="shared" si="4"/>
        <v>TC</v>
      </c>
      <c r="M25" t="str">
        <f>"61.72"</f>
        <v>61.72</v>
      </c>
      <c r="N25" t="str">
        <f>"15.75"</f>
        <v>15.75</v>
      </c>
      <c r="O25" t="str">
        <f>"TC:18.78mg/L"</f>
        <v>TC:18.78mg/L</v>
      </c>
      <c r="P25">
        <v>1</v>
      </c>
      <c r="Q25" t="str">
        <f t="shared" si="6"/>
        <v>50</v>
      </c>
    </row>
    <row r="26" spans="1:17" x14ac:dyDescent="0.25">
      <c r="A26" t="str">
        <f t="shared" si="7"/>
        <v>Unknown</v>
      </c>
      <c r="B26" t="str">
        <f t="shared" si="1"/>
        <v>TC</v>
      </c>
      <c r="C26" t="str">
        <f>"Vial 5"</f>
        <v>Vial 5</v>
      </c>
      <c r="D26" t="str">
        <f>"Untitled5"</f>
        <v>Untitled5</v>
      </c>
      <c r="E26" t="str">
        <f t="shared" si="8"/>
        <v>D:\TOC3201\Methods\StomDOC.met</v>
      </c>
      <c r="F26" t="str">
        <f t="shared" si="9"/>
        <v>D:\TOC3201\CalCurves\StomDOC2.2017_06_16_16_17_28.cal</v>
      </c>
      <c r="G26">
        <v>1</v>
      </c>
      <c r="H26" t="str">
        <f>""</f>
        <v/>
      </c>
      <c r="I26" t="str">
        <f>"6/16/2017 5:32:29 PM"</f>
        <v>6/16/2017 5:32:29 PM</v>
      </c>
      <c r="J26" t="str">
        <f t="shared" ref="J26:J57" si="10">"1"</f>
        <v>1</v>
      </c>
      <c r="K26" t="str">
        <f>"2"</f>
        <v>2</v>
      </c>
      <c r="L26" t="str">
        <f t="shared" si="4"/>
        <v>TC</v>
      </c>
      <c r="M26" t="str">
        <f>"76.94"</f>
        <v>76.94</v>
      </c>
      <c r="N26" t="str">
        <f>"19.63"</f>
        <v>19.63</v>
      </c>
      <c r="O26" t="str">
        <f>"TC:18.78mg/L"</f>
        <v>TC:18.78mg/L</v>
      </c>
      <c r="P26">
        <v>0</v>
      </c>
      <c r="Q26" t="str">
        <f t="shared" si="6"/>
        <v>50</v>
      </c>
    </row>
    <row r="27" spans="1:17" x14ac:dyDescent="0.25">
      <c r="A27" t="str">
        <f t="shared" si="7"/>
        <v>Unknown</v>
      </c>
      <c r="B27" t="str">
        <f t="shared" si="1"/>
        <v>TC</v>
      </c>
      <c r="C27" t="str">
        <f>"Vial 5"</f>
        <v>Vial 5</v>
      </c>
      <c r="D27" t="str">
        <f>"Untitled5"</f>
        <v>Untitled5</v>
      </c>
      <c r="E27" t="str">
        <f t="shared" si="8"/>
        <v>D:\TOC3201\Methods\StomDOC.met</v>
      </c>
      <c r="F27" t="str">
        <f t="shared" si="9"/>
        <v>D:\TOC3201\CalCurves\StomDOC2.2017_06_16_16_17_28.cal</v>
      </c>
      <c r="G27">
        <v>1</v>
      </c>
      <c r="H27" t="str">
        <f>""</f>
        <v/>
      </c>
      <c r="I27" t="str">
        <f>"6/16/2017 5:37:35 PM"</f>
        <v>6/16/2017 5:37:35 PM</v>
      </c>
      <c r="J27" t="str">
        <f t="shared" si="10"/>
        <v>1</v>
      </c>
      <c r="K27" t="str">
        <f>"3"</f>
        <v>3</v>
      </c>
      <c r="L27" t="str">
        <f t="shared" si="4"/>
        <v>TC</v>
      </c>
      <c r="M27" t="str">
        <f>"70.25"</f>
        <v>70.25</v>
      </c>
      <c r="N27" t="str">
        <f>"17.92"</f>
        <v>17.92</v>
      </c>
      <c r="O27" t="str">
        <f>"TC:18.78mg/L"</f>
        <v>TC:18.78mg/L</v>
      </c>
      <c r="P27">
        <v>0</v>
      </c>
      <c r="Q27" t="str">
        <f t="shared" si="6"/>
        <v>50</v>
      </c>
    </row>
    <row r="28" spans="1:17" x14ac:dyDescent="0.25">
      <c r="A28" t="str">
        <f t="shared" si="7"/>
        <v>Unknown</v>
      </c>
      <c r="B28" t="str">
        <f t="shared" si="1"/>
        <v>TC</v>
      </c>
      <c r="C28" t="str">
        <f>"Vial 6"</f>
        <v>Vial 6</v>
      </c>
      <c r="D28" t="str">
        <f>"Untitled6"</f>
        <v>Untitled6</v>
      </c>
      <c r="E28" t="str">
        <f t="shared" si="8"/>
        <v>D:\TOC3201\Methods\StomDOC.met</v>
      </c>
      <c r="F28" t="str">
        <f t="shared" si="9"/>
        <v>D:\TOC3201\CalCurves\StomDOC2.2017_06_16_16_17_28.cal</v>
      </c>
      <c r="G28">
        <v>1</v>
      </c>
      <c r="H28" t="str">
        <f>""</f>
        <v/>
      </c>
      <c r="I28" t="str">
        <f>"6/16/2017 5:45:32 PM"</f>
        <v>6/16/2017 5:45:32 PM</v>
      </c>
      <c r="J28" t="str">
        <f t="shared" si="10"/>
        <v>1</v>
      </c>
      <c r="K28" t="str">
        <f>"1"</f>
        <v>1</v>
      </c>
      <c r="L28" t="str">
        <f t="shared" si="4"/>
        <v>TC</v>
      </c>
      <c r="M28" t="str">
        <f>"36.95"</f>
        <v>36.95</v>
      </c>
      <c r="N28" t="str">
        <f>"9.427"</f>
        <v>9.427</v>
      </c>
      <c r="O28" t="str">
        <f>"TC:9.655mg/L"</f>
        <v>TC:9.655mg/L</v>
      </c>
      <c r="P28">
        <v>0</v>
      </c>
      <c r="Q28" t="str">
        <f t="shared" si="6"/>
        <v>50</v>
      </c>
    </row>
    <row r="29" spans="1:17" x14ac:dyDescent="0.25">
      <c r="A29" t="str">
        <f t="shared" si="7"/>
        <v>Unknown</v>
      </c>
      <c r="B29" t="str">
        <f t="shared" si="1"/>
        <v>TC</v>
      </c>
      <c r="C29" t="str">
        <f>"Vial 6"</f>
        <v>Vial 6</v>
      </c>
      <c r="D29" t="str">
        <f>"Untitled6"</f>
        <v>Untitled6</v>
      </c>
      <c r="E29" t="str">
        <f t="shared" si="8"/>
        <v>D:\TOC3201\Methods\StomDOC.met</v>
      </c>
      <c r="F29" t="str">
        <f t="shared" si="9"/>
        <v>D:\TOC3201\CalCurves\StomDOC2.2017_06_16_16_17_28.cal</v>
      </c>
      <c r="G29">
        <v>1</v>
      </c>
      <c r="H29" t="str">
        <f>""</f>
        <v/>
      </c>
      <c r="I29" t="str">
        <f>"6/16/2017 5:50:30 PM"</f>
        <v>6/16/2017 5:50:30 PM</v>
      </c>
      <c r="J29" t="str">
        <f t="shared" si="10"/>
        <v>1</v>
      </c>
      <c r="K29" t="str">
        <f>"2"</f>
        <v>2</v>
      </c>
      <c r="L29" t="str">
        <f t="shared" si="4"/>
        <v>TC</v>
      </c>
      <c r="M29" t="str">
        <f>"38.74"</f>
        <v>38.74</v>
      </c>
      <c r="N29" t="str">
        <f>"9.884"</f>
        <v>9.884</v>
      </c>
      <c r="O29" t="str">
        <f>"TC:9.655mg/L"</f>
        <v>TC:9.655mg/L</v>
      </c>
      <c r="P29">
        <v>0</v>
      </c>
      <c r="Q29" t="str">
        <f t="shared" si="6"/>
        <v>50</v>
      </c>
    </row>
    <row r="30" spans="1:17" x14ac:dyDescent="0.25">
      <c r="A30" t="str">
        <f t="shared" si="7"/>
        <v>Unknown</v>
      </c>
      <c r="B30" t="str">
        <f t="shared" si="1"/>
        <v>TC</v>
      </c>
      <c r="C30" t="str">
        <f>"Vial 6"</f>
        <v>Vial 6</v>
      </c>
      <c r="D30" t="str">
        <f>"Untitled6"</f>
        <v>Untitled6</v>
      </c>
      <c r="E30" t="str">
        <f t="shared" si="8"/>
        <v>D:\TOC3201\Methods\StomDOC.met</v>
      </c>
      <c r="F30" t="str">
        <f t="shared" si="9"/>
        <v>D:\TOC3201\CalCurves\StomDOC2.2017_06_16_16_17_28.cal</v>
      </c>
      <c r="G30">
        <v>1</v>
      </c>
      <c r="H30" t="str">
        <f>""</f>
        <v/>
      </c>
      <c r="I30" t="str">
        <f>"6/16/2017 5:55:27 PM"</f>
        <v>6/16/2017 5:55:27 PM</v>
      </c>
      <c r="J30" t="str">
        <f t="shared" si="10"/>
        <v>1</v>
      </c>
      <c r="K30" t="str">
        <f>"3"</f>
        <v>3</v>
      </c>
      <c r="L30" t="str">
        <f t="shared" si="4"/>
        <v>TC</v>
      </c>
      <c r="M30" t="str">
        <f>"34.95"</f>
        <v>34.95</v>
      </c>
      <c r="N30" t="str">
        <f>"8.917"</f>
        <v>8.917</v>
      </c>
      <c r="O30" t="str">
        <f>"TC:9.655mg/L"</f>
        <v>TC:9.655mg/L</v>
      </c>
      <c r="P30">
        <v>1</v>
      </c>
      <c r="Q30" t="str">
        <f t="shared" si="6"/>
        <v>50</v>
      </c>
    </row>
    <row r="31" spans="1:17" x14ac:dyDescent="0.25">
      <c r="A31" t="str">
        <f t="shared" si="7"/>
        <v>Unknown</v>
      </c>
      <c r="B31" t="str">
        <f t="shared" si="1"/>
        <v>TC</v>
      </c>
      <c r="C31" t="str">
        <f>"Vial 7"</f>
        <v>Vial 7</v>
      </c>
      <c r="D31" t="str">
        <f>"Untitled7"</f>
        <v>Untitled7</v>
      </c>
      <c r="E31" t="str">
        <f t="shared" si="8"/>
        <v>D:\TOC3201\Methods\StomDOC.met</v>
      </c>
      <c r="F31" t="str">
        <f t="shared" si="9"/>
        <v>D:\TOC3201\CalCurves\StomDOC2.2017_06_16_16_17_28.cal</v>
      </c>
      <c r="G31">
        <v>1</v>
      </c>
      <c r="H31" t="str">
        <f>""</f>
        <v/>
      </c>
      <c r="I31" t="str">
        <f>"6/16/2017 6:03:29 PM"</f>
        <v>6/16/2017 6:03:29 PM</v>
      </c>
      <c r="J31" t="str">
        <f t="shared" si="10"/>
        <v>1</v>
      </c>
      <c r="K31" t="str">
        <f>"1"</f>
        <v>1</v>
      </c>
      <c r="L31" t="str">
        <f t="shared" si="4"/>
        <v>TC</v>
      </c>
      <c r="M31" t="str">
        <f>"46.49"</f>
        <v>46.49</v>
      </c>
      <c r="N31" t="str">
        <f>"11.86"</f>
        <v>11.86</v>
      </c>
      <c r="O31" t="str">
        <f>"TC:12.95mg/L"</f>
        <v>TC:12.95mg/L</v>
      </c>
      <c r="P31">
        <v>1</v>
      </c>
      <c r="Q31" t="str">
        <f t="shared" si="6"/>
        <v>50</v>
      </c>
    </row>
    <row r="32" spans="1:17" x14ac:dyDescent="0.25">
      <c r="A32" t="str">
        <f t="shared" si="7"/>
        <v>Unknown</v>
      </c>
      <c r="B32" t="str">
        <f t="shared" si="1"/>
        <v>TC</v>
      </c>
      <c r="C32" t="str">
        <f>"Vial 7"</f>
        <v>Vial 7</v>
      </c>
      <c r="D32" t="str">
        <f>"Untitled7"</f>
        <v>Untitled7</v>
      </c>
      <c r="E32" t="str">
        <f t="shared" si="8"/>
        <v>D:\TOC3201\Methods\StomDOC.met</v>
      </c>
      <c r="F32" t="str">
        <f t="shared" si="9"/>
        <v>D:\TOC3201\CalCurves\StomDOC2.2017_06_16_16_17_28.cal</v>
      </c>
      <c r="G32">
        <v>1</v>
      </c>
      <c r="H32" t="str">
        <f>""</f>
        <v/>
      </c>
      <c r="I32" t="str">
        <f>"6/16/2017 6:08:28 PM"</f>
        <v>6/16/2017 6:08:28 PM</v>
      </c>
      <c r="J32" t="str">
        <f t="shared" si="10"/>
        <v>1</v>
      </c>
      <c r="K32" t="str">
        <f>"2"</f>
        <v>2</v>
      </c>
      <c r="L32" t="str">
        <f t="shared" si="4"/>
        <v>TC</v>
      </c>
      <c r="M32" t="str">
        <f>"51.09"</f>
        <v>51.09</v>
      </c>
      <c r="N32" t="str">
        <f>"13.03"</f>
        <v>13.03</v>
      </c>
      <c r="O32" t="str">
        <f>"TC:12.95mg/L"</f>
        <v>TC:12.95mg/L</v>
      </c>
      <c r="P32">
        <v>0</v>
      </c>
      <c r="Q32" t="str">
        <f t="shared" si="6"/>
        <v>50</v>
      </c>
    </row>
    <row r="33" spans="1:17" x14ac:dyDescent="0.25">
      <c r="A33" t="str">
        <f t="shared" si="7"/>
        <v>Unknown</v>
      </c>
      <c r="B33" t="str">
        <f t="shared" si="1"/>
        <v>TC</v>
      </c>
      <c r="C33" t="str">
        <f>"Vial 7"</f>
        <v>Vial 7</v>
      </c>
      <c r="D33" t="str">
        <f>"Untitled7"</f>
        <v>Untitled7</v>
      </c>
      <c r="E33" t="str">
        <f t="shared" si="8"/>
        <v>D:\TOC3201\Methods\StomDOC.met</v>
      </c>
      <c r="F33" t="str">
        <f t="shared" si="9"/>
        <v>D:\TOC3201\CalCurves\StomDOC2.2017_06_16_16_17_28.cal</v>
      </c>
      <c r="G33">
        <v>1</v>
      </c>
      <c r="H33" t="str">
        <f>""</f>
        <v/>
      </c>
      <c r="I33" t="str">
        <f>"6/16/2017 6:13:30 PM"</f>
        <v>6/16/2017 6:13:30 PM</v>
      </c>
      <c r="J33" t="str">
        <f t="shared" si="10"/>
        <v>1</v>
      </c>
      <c r="K33" t="str">
        <f>"3"</f>
        <v>3</v>
      </c>
      <c r="L33" t="str">
        <f t="shared" si="4"/>
        <v>TC</v>
      </c>
      <c r="M33" t="str">
        <f>"50.46"</f>
        <v>50.46</v>
      </c>
      <c r="N33" t="str">
        <f>"12.87"</f>
        <v>12.87</v>
      </c>
      <c r="O33" t="str">
        <f>"TC:12.95mg/L"</f>
        <v>TC:12.95mg/L</v>
      </c>
      <c r="P33">
        <v>0</v>
      </c>
      <c r="Q33" t="str">
        <f t="shared" si="6"/>
        <v>50</v>
      </c>
    </row>
    <row r="34" spans="1:17" x14ac:dyDescent="0.25">
      <c r="A34" t="str">
        <f t="shared" si="7"/>
        <v>Unknown</v>
      </c>
      <c r="B34" t="str">
        <f t="shared" si="1"/>
        <v>TC</v>
      </c>
      <c r="C34" t="str">
        <f>"Vial 8"</f>
        <v>Vial 8</v>
      </c>
      <c r="D34" t="str">
        <f>"Untitled8"</f>
        <v>Untitled8</v>
      </c>
      <c r="E34" t="str">
        <f t="shared" si="8"/>
        <v>D:\TOC3201\Methods\StomDOC.met</v>
      </c>
      <c r="F34" t="str">
        <f t="shared" si="9"/>
        <v>D:\TOC3201\CalCurves\StomDOC2.2017_06_16_16_17_28.cal</v>
      </c>
      <c r="G34">
        <v>1</v>
      </c>
      <c r="H34" t="str">
        <f>""</f>
        <v/>
      </c>
      <c r="I34" t="str">
        <f>"6/16/2017 6:21:34 PM"</f>
        <v>6/16/2017 6:21:34 PM</v>
      </c>
      <c r="J34" t="str">
        <f t="shared" si="10"/>
        <v>1</v>
      </c>
      <c r="K34" t="str">
        <f>"1"</f>
        <v>1</v>
      </c>
      <c r="L34" t="str">
        <f t="shared" si="4"/>
        <v>TC</v>
      </c>
      <c r="M34" t="str">
        <f>"51.55"</f>
        <v>51.55</v>
      </c>
      <c r="N34" t="str">
        <f>"13.15"</f>
        <v>13.15</v>
      </c>
      <c r="O34" t="str">
        <f>"TC:13.11mg/L"</f>
        <v>TC:13.11mg/L</v>
      </c>
      <c r="P34">
        <v>0</v>
      </c>
      <c r="Q34" t="str">
        <f t="shared" si="6"/>
        <v>50</v>
      </c>
    </row>
    <row r="35" spans="1:17" x14ac:dyDescent="0.25">
      <c r="A35" t="str">
        <f t="shared" si="7"/>
        <v>Unknown</v>
      </c>
      <c r="B35" t="str">
        <f t="shared" si="1"/>
        <v>TC</v>
      </c>
      <c r="C35" t="str">
        <f>"Vial 8"</f>
        <v>Vial 8</v>
      </c>
      <c r="D35" t="str">
        <f>"Untitled8"</f>
        <v>Untitled8</v>
      </c>
      <c r="E35" t="str">
        <f t="shared" si="8"/>
        <v>D:\TOC3201\Methods\StomDOC.met</v>
      </c>
      <c r="F35" t="str">
        <f t="shared" si="9"/>
        <v>D:\TOC3201\CalCurves\StomDOC2.2017_06_16_16_17_28.cal</v>
      </c>
      <c r="G35">
        <v>1</v>
      </c>
      <c r="H35" t="str">
        <f>""</f>
        <v/>
      </c>
      <c r="I35" t="str">
        <f>"6/16/2017 6:26:37 PM"</f>
        <v>6/16/2017 6:26:37 PM</v>
      </c>
      <c r="J35" t="str">
        <f t="shared" si="10"/>
        <v>1</v>
      </c>
      <c r="K35" t="str">
        <f>"2"</f>
        <v>2</v>
      </c>
      <c r="L35" t="str">
        <f t="shared" si="4"/>
        <v>TC</v>
      </c>
      <c r="M35" t="str">
        <f>"56.22"</f>
        <v>56.22</v>
      </c>
      <c r="N35" t="str">
        <f>"14.34"</f>
        <v>14.34</v>
      </c>
      <c r="O35" t="str">
        <f>"TC:13.11mg/L"</f>
        <v>TC:13.11mg/L</v>
      </c>
      <c r="P35">
        <v>1</v>
      </c>
      <c r="Q35" t="str">
        <f t="shared" si="6"/>
        <v>50</v>
      </c>
    </row>
    <row r="36" spans="1:17" x14ac:dyDescent="0.25">
      <c r="A36" t="str">
        <f t="shared" si="7"/>
        <v>Unknown</v>
      </c>
      <c r="B36" t="str">
        <f t="shared" si="1"/>
        <v>TC</v>
      </c>
      <c r="C36" t="str">
        <f>"Vial 8"</f>
        <v>Vial 8</v>
      </c>
      <c r="D36" t="str">
        <f>"Untitled8"</f>
        <v>Untitled8</v>
      </c>
      <c r="E36" t="str">
        <f t="shared" si="8"/>
        <v>D:\TOC3201\Methods\StomDOC.met</v>
      </c>
      <c r="F36" t="str">
        <f t="shared" si="9"/>
        <v>D:\TOC3201\CalCurves\StomDOC2.2017_06_16_16_17_28.cal</v>
      </c>
      <c r="G36">
        <v>1</v>
      </c>
      <c r="H36" t="str">
        <f>""</f>
        <v/>
      </c>
      <c r="I36" t="str">
        <f>"6/16/2017 6:31:33 PM"</f>
        <v>6/16/2017 6:31:33 PM</v>
      </c>
      <c r="J36" t="str">
        <f t="shared" si="10"/>
        <v>1</v>
      </c>
      <c r="K36" t="str">
        <f>"3"</f>
        <v>3</v>
      </c>
      <c r="L36" t="str">
        <f t="shared" si="4"/>
        <v>TC</v>
      </c>
      <c r="M36" t="str">
        <f>"51.25"</f>
        <v>51.25</v>
      </c>
      <c r="N36" t="str">
        <f>"13.08"</f>
        <v>13.08</v>
      </c>
      <c r="O36" t="str">
        <f>"TC:13.11mg/L"</f>
        <v>TC:13.11mg/L</v>
      </c>
      <c r="P36">
        <v>0</v>
      </c>
      <c r="Q36" t="str">
        <f t="shared" si="6"/>
        <v>50</v>
      </c>
    </row>
    <row r="37" spans="1:17" x14ac:dyDescent="0.25">
      <c r="A37" t="str">
        <f t="shared" si="7"/>
        <v>Unknown</v>
      </c>
      <c r="B37" t="str">
        <f t="shared" si="1"/>
        <v>TC</v>
      </c>
      <c r="C37" t="str">
        <f>"Vial 9"</f>
        <v>Vial 9</v>
      </c>
      <c r="D37" t="str">
        <f>"Untitled9"</f>
        <v>Untitled9</v>
      </c>
      <c r="E37" t="str">
        <f t="shared" si="8"/>
        <v>D:\TOC3201\Methods\StomDOC.met</v>
      </c>
      <c r="F37" t="str">
        <f t="shared" si="9"/>
        <v>D:\TOC3201\CalCurves\StomDOC2.2017_06_16_16_17_28.cal</v>
      </c>
      <c r="G37">
        <v>1</v>
      </c>
      <c r="H37" t="str">
        <f>""</f>
        <v/>
      </c>
      <c r="I37" t="str">
        <f>"6/16/2017 6:39:27 PM"</f>
        <v>6/16/2017 6:39:27 PM</v>
      </c>
      <c r="J37" t="str">
        <f t="shared" si="10"/>
        <v>1</v>
      </c>
      <c r="K37" t="str">
        <f>"1"</f>
        <v>1</v>
      </c>
      <c r="L37" t="str">
        <f t="shared" si="4"/>
        <v>TC</v>
      </c>
      <c r="M37" t="str">
        <f>"34.93"</f>
        <v>34.93</v>
      </c>
      <c r="N37" t="str">
        <f>"8.912"</f>
        <v>8.912</v>
      </c>
      <c r="O37" t="str">
        <f>"TC:9.997mg/L"</f>
        <v>TC:9.997mg/L</v>
      </c>
      <c r="P37">
        <v>1</v>
      </c>
      <c r="Q37" t="str">
        <f t="shared" si="6"/>
        <v>50</v>
      </c>
    </row>
    <row r="38" spans="1:17" x14ac:dyDescent="0.25">
      <c r="A38" t="str">
        <f t="shared" si="7"/>
        <v>Unknown</v>
      </c>
      <c r="B38" t="str">
        <f t="shared" si="1"/>
        <v>TC</v>
      </c>
      <c r="C38" t="str">
        <f>"Vial 9"</f>
        <v>Vial 9</v>
      </c>
      <c r="D38" t="str">
        <f>"Untitled9"</f>
        <v>Untitled9</v>
      </c>
      <c r="E38" t="str">
        <f t="shared" si="8"/>
        <v>D:\TOC3201\Methods\StomDOC.met</v>
      </c>
      <c r="F38" t="str">
        <f t="shared" si="9"/>
        <v>D:\TOC3201\CalCurves\StomDOC2.2017_06_16_16_17_28.cal</v>
      </c>
      <c r="G38">
        <v>1</v>
      </c>
      <c r="H38" t="str">
        <f>""</f>
        <v/>
      </c>
      <c r="I38" t="str">
        <f>"6/16/2017 6:44:27 PM"</f>
        <v>6/16/2017 6:44:27 PM</v>
      </c>
      <c r="J38" t="str">
        <f t="shared" si="10"/>
        <v>1</v>
      </c>
      <c r="K38" t="str">
        <f>"2"</f>
        <v>2</v>
      </c>
      <c r="L38" t="str">
        <f t="shared" si="4"/>
        <v>TC</v>
      </c>
      <c r="M38" t="str">
        <f>"38.94"</f>
        <v>38.94</v>
      </c>
      <c r="N38" t="str">
        <f>"9.935"</f>
        <v>9.935</v>
      </c>
      <c r="O38" t="str">
        <f>"TC:9.997mg/L"</f>
        <v>TC:9.997mg/L</v>
      </c>
      <c r="P38">
        <v>0</v>
      </c>
      <c r="Q38" t="str">
        <f t="shared" si="6"/>
        <v>50</v>
      </c>
    </row>
    <row r="39" spans="1:17" x14ac:dyDescent="0.25">
      <c r="A39" t="str">
        <f t="shared" si="7"/>
        <v>Unknown</v>
      </c>
      <c r="B39" t="str">
        <f t="shared" si="1"/>
        <v>TC</v>
      </c>
      <c r="C39" t="str">
        <f>"Vial 9"</f>
        <v>Vial 9</v>
      </c>
      <c r="D39" t="str">
        <f>"Untitled9"</f>
        <v>Untitled9</v>
      </c>
      <c r="E39" t="str">
        <f t="shared" si="8"/>
        <v>D:\TOC3201\Methods\StomDOC.met</v>
      </c>
      <c r="F39" t="str">
        <f t="shared" si="9"/>
        <v>D:\TOC3201\CalCurves\StomDOC2.2017_06_16_16_17_28.cal</v>
      </c>
      <c r="G39">
        <v>1</v>
      </c>
      <c r="H39" t="str">
        <f>""</f>
        <v/>
      </c>
      <c r="I39" t="str">
        <f>"6/16/2017 6:49:27 PM"</f>
        <v>6/16/2017 6:49:27 PM</v>
      </c>
      <c r="J39" t="str">
        <f t="shared" si="10"/>
        <v>1</v>
      </c>
      <c r="K39" t="str">
        <f>"3"</f>
        <v>3</v>
      </c>
      <c r="L39" t="str">
        <f t="shared" si="4"/>
        <v>TC</v>
      </c>
      <c r="M39" t="str">
        <f>"39.43"</f>
        <v>39.43</v>
      </c>
      <c r="N39" t="str">
        <f>"10.06"</f>
        <v>10.06</v>
      </c>
      <c r="O39" t="str">
        <f>"TC:9.997mg/L"</f>
        <v>TC:9.997mg/L</v>
      </c>
      <c r="P39">
        <v>0</v>
      </c>
      <c r="Q39" t="str">
        <f t="shared" si="6"/>
        <v>50</v>
      </c>
    </row>
    <row r="40" spans="1:17" x14ac:dyDescent="0.25">
      <c r="A40" t="str">
        <f t="shared" si="7"/>
        <v>Unknown</v>
      </c>
      <c r="B40" t="str">
        <f t="shared" si="1"/>
        <v>TC</v>
      </c>
      <c r="C40" t="str">
        <f>"Vial 10"</f>
        <v>Vial 10</v>
      </c>
      <c r="D40" t="str">
        <f>"Untitled10"</f>
        <v>Untitled10</v>
      </c>
      <c r="E40" t="str">
        <f t="shared" si="8"/>
        <v>D:\TOC3201\Methods\StomDOC.met</v>
      </c>
      <c r="F40" t="str">
        <f t="shared" si="9"/>
        <v>D:\TOC3201\CalCurves\StomDOC2.2017_06_16_16_17_28.cal</v>
      </c>
      <c r="G40">
        <v>1</v>
      </c>
      <c r="H40" t="str">
        <f>""</f>
        <v/>
      </c>
      <c r="I40" t="str">
        <f>"6/16/2017 6:57:33 PM"</f>
        <v>6/16/2017 6:57:33 PM</v>
      </c>
      <c r="J40" t="str">
        <f t="shared" si="10"/>
        <v>1</v>
      </c>
      <c r="K40" t="str">
        <f>"1"</f>
        <v>1</v>
      </c>
      <c r="L40" t="str">
        <f t="shared" si="4"/>
        <v>TC</v>
      </c>
      <c r="M40" t="str">
        <f>"45.91"</f>
        <v>45.91</v>
      </c>
      <c r="N40" t="str">
        <f>"11.71"</f>
        <v>11.71</v>
      </c>
      <c r="O40" t="str">
        <f>"TC:11.64mg/L"</f>
        <v>TC:11.64mg/L</v>
      </c>
      <c r="P40">
        <v>0</v>
      </c>
      <c r="Q40" t="str">
        <f t="shared" si="6"/>
        <v>50</v>
      </c>
    </row>
    <row r="41" spans="1:17" x14ac:dyDescent="0.25">
      <c r="A41" t="str">
        <f t="shared" si="7"/>
        <v>Unknown</v>
      </c>
      <c r="B41" t="str">
        <f t="shared" si="1"/>
        <v>TC</v>
      </c>
      <c r="C41" t="str">
        <f>"Vial 10"</f>
        <v>Vial 10</v>
      </c>
      <c r="D41" t="str">
        <f>"Untitled10"</f>
        <v>Untitled10</v>
      </c>
      <c r="E41" t="str">
        <f t="shared" si="8"/>
        <v>D:\TOC3201\Methods\StomDOC.met</v>
      </c>
      <c r="F41" t="str">
        <f t="shared" si="9"/>
        <v>D:\TOC3201\CalCurves\StomDOC2.2017_06_16_16_17_28.cal</v>
      </c>
      <c r="G41">
        <v>1</v>
      </c>
      <c r="H41" t="str">
        <f>""</f>
        <v/>
      </c>
      <c r="I41" t="str">
        <f>"6/16/2017 7:02:27 PM"</f>
        <v>6/16/2017 7:02:27 PM</v>
      </c>
      <c r="J41" t="str">
        <f t="shared" si="10"/>
        <v>1</v>
      </c>
      <c r="K41" t="str">
        <f>"2"</f>
        <v>2</v>
      </c>
      <c r="L41" t="str">
        <f t="shared" si="4"/>
        <v>TC</v>
      </c>
      <c r="M41" t="str">
        <f>"45.32"</f>
        <v>45.32</v>
      </c>
      <c r="N41" t="str">
        <f>"11.56"</f>
        <v>11.56</v>
      </c>
      <c r="O41" t="str">
        <f>"TC:11.64mg/L"</f>
        <v>TC:11.64mg/L</v>
      </c>
      <c r="P41">
        <v>0</v>
      </c>
      <c r="Q41" t="str">
        <f t="shared" si="6"/>
        <v>50</v>
      </c>
    </row>
    <row r="42" spans="1:17" x14ac:dyDescent="0.25">
      <c r="A42" t="str">
        <f t="shared" si="7"/>
        <v>Unknown</v>
      </c>
      <c r="B42" t="str">
        <f t="shared" si="1"/>
        <v>TC</v>
      </c>
      <c r="C42" t="str">
        <f>"Vial 11"</f>
        <v>Vial 11</v>
      </c>
      <c r="D42" t="str">
        <f>"Untitled11"</f>
        <v>Untitled11</v>
      </c>
      <c r="E42" t="str">
        <f t="shared" si="8"/>
        <v>D:\TOC3201\Methods\StomDOC.met</v>
      </c>
      <c r="F42" t="str">
        <f t="shared" si="9"/>
        <v>D:\TOC3201\CalCurves\StomDOC2.2017_06_16_16_17_28.cal</v>
      </c>
      <c r="G42">
        <v>1</v>
      </c>
      <c r="H42" t="str">
        <f>""</f>
        <v/>
      </c>
      <c r="I42" t="str">
        <f>"6/16/2017 7:10:44 PM"</f>
        <v>6/16/2017 7:10:44 PM</v>
      </c>
      <c r="J42" t="str">
        <f t="shared" si="10"/>
        <v>1</v>
      </c>
      <c r="K42" t="str">
        <f>"1"</f>
        <v>1</v>
      </c>
      <c r="L42" t="str">
        <f t="shared" si="4"/>
        <v>TC</v>
      </c>
      <c r="M42" t="str">
        <f>"57.67"</f>
        <v>57.67</v>
      </c>
      <c r="N42" t="str">
        <f>"14.71"</f>
        <v>14.71</v>
      </c>
      <c r="O42" t="str">
        <f>"TC:14.56mg/L"</f>
        <v>TC:14.56mg/L</v>
      </c>
      <c r="P42">
        <v>0</v>
      </c>
      <c r="Q42" t="str">
        <f t="shared" si="6"/>
        <v>50</v>
      </c>
    </row>
    <row r="43" spans="1:17" x14ac:dyDescent="0.25">
      <c r="A43" t="str">
        <f t="shared" si="7"/>
        <v>Unknown</v>
      </c>
      <c r="B43" t="str">
        <f t="shared" si="1"/>
        <v>TC</v>
      </c>
      <c r="C43" t="str">
        <f>"Vial 11"</f>
        <v>Vial 11</v>
      </c>
      <c r="D43" t="str">
        <f>"Untitled11"</f>
        <v>Untitled11</v>
      </c>
      <c r="E43" t="str">
        <f t="shared" si="8"/>
        <v>D:\TOC3201\Methods\StomDOC.met</v>
      </c>
      <c r="F43" t="str">
        <f t="shared" si="9"/>
        <v>D:\TOC3201\CalCurves\StomDOC2.2017_06_16_16_17_28.cal</v>
      </c>
      <c r="G43">
        <v>1</v>
      </c>
      <c r="H43" t="str">
        <f>""</f>
        <v/>
      </c>
      <c r="I43" t="str">
        <f>"6/16/2017 7:15:44 PM"</f>
        <v>6/16/2017 7:15:44 PM</v>
      </c>
      <c r="J43" t="str">
        <f t="shared" si="10"/>
        <v>1</v>
      </c>
      <c r="K43" t="str">
        <f>"2"</f>
        <v>2</v>
      </c>
      <c r="L43" t="str">
        <f t="shared" si="4"/>
        <v>TC</v>
      </c>
      <c r="M43" t="str">
        <f>"56.45"</f>
        <v>56.45</v>
      </c>
      <c r="N43" t="str">
        <f>"14.40"</f>
        <v>14.40</v>
      </c>
      <c r="O43" t="str">
        <f>"TC:14.56mg/L"</f>
        <v>TC:14.56mg/L</v>
      </c>
      <c r="P43">
        <v>0</v>
      </c>
      <c r="Q43" t="str">
        <f t="shared" si="6"/>
        <v>50</v>
      </c>
    </row>
    <row r="44" spans="1:17" x14ac:dyDescent="0.25">
      <c r="A44" t="str">
        <f t="shared" si="7"/>
        <v>Unknown</v>
      </c>
      <c r="B44" t="str">
        <f t="shared" si="1"/>
        <v>TC</v>
      </c>
      <c r="C44" t="str">
        <f>"Vial 12"</f>
        <v>Vial 12</v>
      </c>
      <c r="D44" t="str">
        <f>"Untitled12"</f>
        <v>Untitled12</v>
      </c>
      <c r="E44" t="str">
        <f t="shared" si="8"/>
        <v>D:\TOC3201\Methods\StomDOC.met</v>
      </c>
      <c r="F44" t="str">
        <f t="shared" si="9"/>
        <v>D:\TOC3201\CalCurves\StomDOC2.2017_06_16_16_17_28.cal</v>
      </c>
      <c r="G44">
        <v>1</v>
      </c>
      <c r="H44" t="str">
        <f>""</f>
        <v/>
      </c>
      <c r="I44" t="str">
        <f>"6/16/2017 7:23:56 PM"</f>
        <v>6/16/2017 7:23:56 PM</v>
      </c>
      <c r="J44" t="str">
        <f t="shared" si="10"/>
        <v>1</v>
      </c>
      <c r="K44" t="str">
        <f>"1"</f>
        <v>1</v>
      </c>
      <c r="L44" t="str">
        <f t="shared" si="4"/>
        <v>TC</v>
      </c>
      <c r="M44" t="str">
        <f>"41.87"</f>
        <v>41.87</v>
      </c>
      <c r="N44" t="str">
        <f>"10.68"</f>
        <v>10.68</v>
      </c>
      <c r="O44" t="str">
        <f>"TC:10.67mg/L"</f>
        <v>TC:10.67mg/L</v>
      </c>
      <c r="P44">
        <v>0</v>
      </c>
      <c r="Q44" t="str">
        <f t="shared" si="6"/>
        <v>50</v>
      </c>
    </row>
    <row r="45" spans="1:17" x14ac:dyDescent="0.25">
      <c r="A45" t="str">
        <f t="shared" si="7"/>
        <v>Unknown</v>
      </c>
      <c r="B45" t="str">
        <f t="shared" si="1"/>
        <v>TC</v>
      </c>
      <c r="C45" t="str">
        <f>"Vial 12"</f>
        <v>Vial 12</v>
      </c>
      <c r="D45" t="str">
        <f>"Untitled12"</f>
        <v>Untitled12</v>
      </c>
      <c r="E45" t="str">
        <f t="shared" si="8"/>
        <v>D:\TOC3201\Methods\StomDOC.met</v>
      </c>
      <c r="F45" t="str">
        <f t="shared" si="9"/>
        <v>D:\TOC3201\CalCurves\StomDOC2.2017_06_16_16_17_28.cal</v>
      </c>
      <c r="G45">
        <v>1</v>
      </c>
      <c r="H45" t="str">
        <f>""</f>
        <v/>
      </c>
      <c r="I45" t="str">
        <f>"6/16/2017 7:28:47 PM"</f>
        <v>6/16/2017 7:28:47 PM</v>
      </c>
      <c r="J45" t="str">
        <f t="shared" si="10"/>
        <v>1</v>
      </c>
      <c r="K45" t="str">
        <f>"2"</f>
        <v>2</v>
      </c>
      <c r="L45" t="str">
        <f t="shared" si="4"/>
        <v>TC</v>
      </c>
      <c r="M45" t="str">
        <f>"41.81"</f>
        <v>41.81</v>
      </c>
      <c r="N45" t="str">
        <f>"10.67"</f>
        <v>10.67</v>
      </c>
      <c r="O45" t="str">
        <f>"TC:10.67mg/L"</f>
        <v>TC:10.67mg/L</v>
      </c>
      <c r="P45">
        <v>0</v>
      </c>
      <c r="Q45" t="str">
        <f t="shared" si="6"/>
        <v>50</v>
      </c>
    </row>
    <row r="46" spans="1:17" x14ac:dyDescent="0.25">
      <c r="A46" t="str">
        <f t="shared" si="7"/>
        <v>Unknown</v>
      </c>
      <c r="B46" t="str">
        <f t="shared" si="1"/>
        <v>TC</v>
      </c>
      <c r="C46" t="str">
        <f>"Vial 13"</f>
        <v>Vial 13</v>
      </c>
      <c r="D46" t="str">
        <f>"Untitled13"</f>
        <v>Untitled13</v>
      </c>
      <c r="E46" t="str">
        <f t="shared" si="8"/>
        <v>D:\TOC3201\Methods\StomDOC.met</v>
      </c>
      <c r="F46" t="str">
        <f t="shared" si="9"/>
        <v>D:\TOC3201\CalCurves\StomDOC2.2017_06_16_16_17_28.cal</v>
      </c>
      <c r="G46">
        <v>1</v>
      </c>
      <c r="H46" t="str">
        <f>""</f>
        <v/>
      </c>
      <c r="I46" t="str">
        <f>"6/16/2017 7:36:50 PM"</f>
        <v>6/16/2017 7:36:50 PM</v>
      </c>
      <c r="J46" t="str">
        <f t="shared" si="10"/>
        <v>1</v>
      </c>
      <c r="K46" t="str">
        <f>"1"</f>
        <v>1</v>
      </c>
      <c r="L46" t="str">
        <f t="shared" si="4"/>
        <v>TC</v>
      </c>
      <c r="M46" t="str">
        <f>"50.76"</f>
        <v>50.76</v>
      </c>
      <c r="N46" t="str">
        <f>"12.95"</f>
        <v>12.95</v>
      </c>
      <c r="O46" t="str">
        <f>"TC:13.52mg/L"</f>
        <v>TC:13.52mg/L</v>
      </c>
      <c r="P46">
        <v>1</v>
      </c>
      <c r="Q46" t="str">
        <f t="shared" si="6"/>
        <v>50</v>
      </c>
    </row>
    <row r="47" spans="1:17" x14ac:dyDescent="0.25">
      <c r="A47" t="str">
        <f t="shared" si="7"/>
        <v>Unknown</v>
      </c>
      <c r="B47" t="str">
        <f t="shared" ref="B47:B78" si="11">"TC"</f>
        <v>TC</v>
      </c>
      <c r="C47" t="str">
        <f>"Vial 13"</f>
        <v>Vial 13</v>
      </c>
      <c r="D47" t="str">
        <f>"Untitled13"</f>
        <v>Untitled13</v>
      </c>
      <c r="E47" t="str">
        <f t="shared" si="8"/>
        <v>D:\TOC3201\Methods\StomDOC.met</v>
      </c>
      <c r="F47" t="str">
        <f t="shared" si="9"/>
        <v>D:\TOC3201\CalCurves\StomDOC2.2017_06_16_16_17_28.cal</v>
      </c>
      <c r="G47">
        <v>1</v>
      </c>
      <c r="H47" t="str">
        <f>""</f>
        <v/>
      </c>
      <c r="I47" t="str">
        <f>"6/16/2017 7:41:46 PM"</f>
        <v>6/16/2017 7:41:46 PM</v>
      </c>
      <c r="J47" t="str">
        <f t="shared" si="10"/>
        <v>1</v>
      </c>
      <c r="K47" t="str">
        <f>"2"</f>
        <v>2</v>
      </c>
      <c r="L47" t="str">
        <f t="shared" ref="L47:L78" si="12">"TC"</f>
        <v>TC</v>
      </c>
      <c r="M47" t="str">
        <f>"53.63"</f>
        <v>53.63</v>
      </c>
      <c r="N47" t="str">
        <f>"13.68"</f>
        <v>13.68</v>
      </c>
      <c r="O47" t="str">
        <f>"TC:13.52mg/L"</f>
        <v>TC:13.52mg/L</v>
      </c>
      <c r="P47">
        <v>0</v>
      </c>
      <c r="Q47" t="str">
        <f t="shared" ref="Q47:Q78" si="13">"50"</f>
        <v>50</v>
      </c>
    </row>
    <row r="48" spans="1:17" x14ac:dyDescent="0.25">
      <c r="A48" t="str">
        <f t="shared" si="7"/>
        <v>Unknown</v>
      </c>
      <c r="B48" t="str">
        <f t="shared" si="11"/>
        <v>TC</v>
      </c>
      <c r="C48" t="str">
        <f>"Vial 13"</f>
        <v>Vial 13</v>
      </c>
      <c r="D48" t="str">
        <f>"Untitled13"</f>
        <v>Untitled13</v>
      </c>
      <c r="E48" t="str">
        <f t="shared" si="8"/>
        <v>D:\TOC3201\Methods\StomDOC.met</v>
      </c>
      <c r="F48" t="str">
        <f t="shared" si="9"/>
        <v>D:\TOC3201\CalCurves\StomDOC2.2017_06_16_16_17_28.cal</v>
      </c>
      <c r="G48">
        <v>1</v>
      </c>
      <c r="H48" t="str">
        <f>""</f>
        <v/>
      </c>
      <c r="I48" t="str">
        <f>"6/16/2017 7:46:46 PM"</f>
        <v>6/16/2017 7:46:46 PM</v>
      </c>
      <c r="J48" t="str">
        <f t="shared" si="10"/>
        <v>1</v>
      </c>
      <c r="K48" t="str">
        <f>"3"</f>
        <v>3</v>
      </c>
      <c r="L48" t="str">
        <f t="shared" si="12"/>
        <v>TC</v>
      </c>
      <c r="M48" t="str">
        <f>"52.38"</f>
        <v>52.38</v>
      </c>
      <c r="N48" t="str">
        <f>"13.36"</f>
        <v>13.36</v>
      </c>
      <c r="O48" t="str">
        <f>"TC:13.52mg/L"</f>
        <v>TC:13.52mg/L</v>
      </c>
      <c r="P48">
        <v>0</v>
      </c>
      <c r="Q48" t="str">
        <f t="shared" si="13"/>
        <v>50</v>
      </c>
    </row>
    <row r="49" spans="1:17" x14ac:dyDescent="0.25">
      <c r="A49" t="str">
        <f t="shared" si="7"/>
        <v>Unknown</v>
      </c>
      <c r="B49" t="str">
        <f t="shared" si="11"/>
        <v>TC</v>
      </c>
      <c r="C49" t="str">
        <f>"Vial 14"</f>
        <v>Vial 14</v>
      </c>
      <c r="D49" t="str">
        <f>"Untitled14"</f>
        <v>Untitled14</v>
      </c>
      <c r="E49" t="str">
        <f t="shared" si="8"/>
        <v>D:\TOC3201\Methods\StomDOC.met</v>
      </c>
      <c r="F49" t="str">
        <f t="shared" si="9"/>
        <v>D:\TOC3201\CalCurves\StomDOC2.2017_06_16_16_17_28.cal</v>
      </c>
      <c r="G49">
        <v>1</v>
      </c>
      <c r="H49" t="str">
        <f>""</f>
        <v/>
      </c>
      <c r="I49" t="str">
        <f>"6/16/2017 7:54:49 PM"</f>
        <v>6/16/2017 7:54:49 PM</v>
      </c>
      <c r="J49" t="str">
        <f t="shared" si="10"/>
        <v>1</v>
      </c>
      <c r="K49" t="str">
        <f>"1"</f>
        <v>1</v>
      </c>
      <c r="L49" t="str">
        <f t="shared" si="12"/>
        <v>TC</v>
      </c>
      <c r="M49" t="str">
        <f>"43.05"</f>
        <v>43.05</v>
      </c>
      <c r="N49" t="str">
        <f>"10.98"</f>
        <v>10.98</v>
      </c>
      <c r="O49" t="str">
        <f>"TC:10.95mg/L"</f>
        <v>TC:10.95mg/L</v>
      </c>
      <c r="P49">
        <v>0</v>
      </c>
      <c r="Q49" t="str">
        <f t="shared" si="13"/>
        <v>50</v>
      </c>
    </row>
    <row r="50" spans="1:17" x14ac:dyDescent="0.25">
      <c r="A50" t="str">
        <f t="shared" si="7"/>
        <v>Unknown</v>
      </c>
      <c r="B50" t="str">
        <f t="shared" si="11"/>
        <v>TC</v>
      </c>
      <c r="C50" t="str">
        <f>"Vial 14"</f>
        <v>Vial 14</v>
      </c>
      <c r="D50" t="str">
        <f>"Untitled14"</f>
        <v>Untitled14</v>
      </c>
      <c r="E50" t="str">
        <f t="shared" si="8"/>
        <v>D:\TOC3201\Methods\StomDOC.met</v>
      </c>
      <c r="F50" t="str">
        <f t="shared" si="9"/>
        <v>D:\TOC3201\CalCurves\StomDOC2.2017_06_16_16_17_28.cal</v>
      </c>
      <c r="G50">
        <v>1</v>
      </c>
      <c r="H50" t="str">
        <f>""</f>
        <v/>
      </c>
      <c r="I50" t="str">
        <f>"6/16/2017 7:59:44 PM"</f>
        <v>6/16/2017 7:59:44 PM</v>
      </c>
      <c r="J50" t="str">
        <f t="shared" si="10"/>
        <v>1</v>
      </c>
      <c r="K50" t="str">
        <f>"2"</f>
        <v>2</v>
      </c>
      <c r="L50" t="str">
        <f t="shared" si="12"/>
        <v>TC</v>
      </c>
      <c r="M50" t="str">
        <f>"42.79"</f>
        <v>42.79</v>
      </c>
      <c r="N50" t="str">
        <f>"10.92"</f>
        <v>10.92</v>
      </c>
      <c r="O50" t="str">
        <f>"TC:10.95mg/L"</f>
        <v>TC:10.95mg/L</v>
      </c>
      <c r="P50">
        <v>0</v>
      </c>
      <c r="Q50" t="str">
        <f t="shared" si="13"/>
        <v>50</v>
      </c>
    </row>
    <row r="51" spans="1:17" x14ac:dyDescent="0.25">
      <c r="A51" t="str">
        <f t="shared" si="7"/>
        <v>Unknown</v>
      </c>
      <c r="B51" t="str">
        <f t="shared" si="11"/>
        <v>TC</v>
      </c>
      <c r="C51" t="str">
        <f>"Vial 15"</f>
        <v>Vial 15</v>
      </c>
      <c r="D51" t="str">
        <f>"Untitled15"</f>
        <v>Untitled15</v>
      </c>
      <c r="E51" t="str">
        <f t="shared" si="8"/>
        <v>D:\TOC3201\Methods\StomDOC.met</v>
      </c>
      <c r="F51" t="str">
        <f t="shared" si="9"/>
        <v>D:\TOC3201\CalCurves\StomDOC2.2017_06_16_16_17_28.cal</v>
      </c>
      <c r="G51">
        <v>1</v>
      </c>
      <c r="H51" t="str">
        <f>""</f>
        <v/>
      </c>
      <c r="I51" t="str">
        <f>"6/16/2017 8:07:58 PM"</f>
        <v>6/16/2017 8:07:58 PM</v>
      </c>
      <c r="J51" t="str">
        <f t="shared" si="10"/>
        <v>1</v>
      </c>
      <c r="K51" t="str">
        <f>"1"</f>
        <v>1</v>
      </c>
      <c r="L51" t="str">
        <f t="shared" si="12"/>
        <v>TC</v>
      </c>
      <c r="M51" t="str">
        <f>"43.98"</f>
        <v>43.98</v>
      </c>
      <c r="N51" t="str">
        <f>"11.22"</f>
        <v>11.22</v>
      </c>
      <c r="O51" t="str">
        <f>"TC:11.18mg/L"</f>
        <v>TC:11.18mg/L</v>
      </c>
      <c r="P51">
        <v>0</v>
      </c>
      <c r="Q51" t="str">
        <f t="shared" si="13"/>
        <v>50</v>
      </c>
    </row>
    <row r="52" spans="1:17" x14ac:dyDescent="0.25">
      <c r="A52" t="str">
        <f t="shared" si="7"/>
        <v>Unknown</v>
      </c>
      <c r="B52" t="str">
        <f t="shared" si="11"/>
        <v>TC</v>
      </c>
      <c r="C52" t="str">
        <f>"Vial 15"</f>
        <v>Vial 15</v>
      </c>
      <c r="D52" t="str">
        <f>"Untitled15"</f>
        <v>Untitled15</v>
      </c>
      <c r="E52" t="str">
        <f t="shared" si="8"/>
        <v>D:\TOC3201\Methods\StomDOC.met</v>
      </c>
      <c r="F52" t="str">
        <f t="shared" si="9"/>
        <v>D:\TOC3201\CalCurves\StomDOC2.2017_06_16_16_17_28.cal</v>
      </c>
      <c r="G52">
        <v>1</v>
      </c>
      <c r="H52" t="str">
        <f>""</f>
        <v/>
      </c>
      <c r="I52" t="str">
        <f>"6/16/2017 8:12:52 PM"</f>
        <v>6/16/2017 8:12:52 PM</v>
      </c>
      <c r="J52" t="str">
        <f t="shared" si="10"/>
        <v>1</v>
      </c>
      <c r="K52" t="str">
        <f>"2"</f>
        <v>2</v>
      </c>
      <c r="L52" t="str">
        <f t="shared" si="12"/>
        <v>TC</v>
      </c>
      <c r="M52" t="str">
        <f>"43.68"</f>
        <v>43.68</v>
      </c>
      <c r="N52" t="str">
        <f>"11.14"</f>
        <v>11.14</v>
      </c>
      <c r="O52" t="str">
        <f>"TC:11.18mg/L"</f>
        <v>TC:11.18mg/L</v>
      </c>
      <c r="P52">
        <v>0</v>
      </c>
      <c r="Q52" t="str">
        <f t="shared" si="13"/>
        <v>50</v>
      </c>
    </row>
    <row r="53" spans="1:17" x14ac:dyDescent="0.25">
      <c r="A53" t="str">
        <f t="shared" si="7"/>
        <v>Unknown</v>
      </c>
      <c r="B53" t="str">
        <f t="shared" si="11"/>
        <v>TC</v>
      </c>
      <c r="C53" t="str">
        <f>"Vial 16"</f>
        <v>Vial 16</v>
      </c>
      <c r="D53" t="str">
        <f>"Untitled16"</f>
        <v>Untitled16</v>
      </c>
      <c r="E53" t="str">
        <f t="shared" si="8"/>
        <v>D:\TOC3201\Methods\StomDOC.met</v>
      </c>
      <c r="F53" t="str">
        <f t="shared" si="9"/>
        <v>D:\TOC3201\CalCurves\StomDOC2.2017_06_16_16_17_28.cal</v>
      </c>
      <c r="G53">
        <v>1</v>
      </c>
      <c r="H53" t="str">
        <f>""</f>
        <v/>
      </c>
      <c r="I53" t="str">
        <f>"6/16/2017 8:21:07 PM"</f>
        <v>6/16/2017 8:21:07 PM</v>
      </c>
      <c r="J53" t="str">
        <f t="shared" si="10"/>
        <v>1</v>
      </c>
      <c r="K53" t="str">
        <f>"1"</f>
        <v>1</v>
      </c>
      <c r="L53" t="str">
        <f t="shared" si="12"/>
        <v>TC</v>
      </c>
      <c r="M53" t="str">
        <f>"48.37"</f>
        <v>48.37</v>
      </c>
      <c r="N53" t="str">
        <f>"12.34"</f>
        <v>12.34</v>
      </c>
      <c r="O53" t="str">
        <f>"TC:12.90mg/L"</f>
        <v>TC:12.90mg/L</v>
      </c>
      <c r="P53">
        <v>1</v>
      </c>
      <c r="Q53" t="str">
        <f t="shared" si="13"/>
        <v>50</v>
      </c>
    </row>
    <row r="54" spans="1:17" x14ac:dyDescent="0.25">
      <c r="A54" t="str">
        <f t="shared" si="7"/>
        <v>Unknown</v>
      </c>
      <c r="B54" t="str">
        <f t="shared" si="11"/>
        <v>TC</v>
      </c>
      <c r="C54" t="str">
        <f>"Vial 16"</f>
        <v>Vial 16</v>
      </c>
      <c r="D54" t="str">
        <f>"Untitled16"</f>
        <v>Untitled16</v>
      </c>
      <c r="E54" t="str">
        <f t="shared" si="8"/>
        <v>D:\TOC3201\Methods\StomDOC.met</v>
      </c>
      <c r="F54" t="str">
        <f t="shared" si="9"/>
        <v>D:\TOC3201\CalCurves\StomDOC2.2017_06_16_16_17_28.cal</v>
      </c>
      <c r="G54">
        <v>1</v>
      </c>
      <c r="H54" t="str">
        <f>""</f>
        <v/>
      </c>
      <c r="I54" t="str">
        <f>"6/16/2017 8:26:05 PM"</f>
        <v>6/16/2017 8:26:05 PM</v>
      </c>
      <c r="J54" t="str">
        <f t="shared" si="10"/>
        <v>1</v>
      </c>
      <c r="K54" t="str">
        <f>"2"</f>
        <v>2</v>
      </c>
      <c r="L54" t="str">
        <f t="shared" si="12"/>
        <v>TC</v>
      </c>
      <c r="M54" t="str">
        <f>"50.30"</f>
        <v>50.30</v>
      </c>
      <c r="N54" t="str">
        <f>"12.83"</f>
        <v>12.83</v>
      </c>
      <c r="O54" t="str">
        <f>"TC:12.90mg/L"</f>
        <v>TC:12.90mg/L</v>
      </c>
      <c r="P54">
        <v>0</v>
      </c>
      <c r="Q54" t="str">
        <f t="shared" si="13"/>
        <v>50</v>
      </c>
    </row>
    <row r="55" spans="1:17" x14ac:dyDescent="0.25">
      <c r="A55" t="str">
        <f t="shared" si="7"/>
        <v>Unknown</v>
      </c>
      <c r="B55" t="str">
        <f t="shared" si="11"/>
        <v>TC</v>
      </c>
      <c r="C55" t="str">
        <f>"Vial 16"</f>
        <v>Vial 16</v>
      </c>
      <c r="D55" t="str">
        <f>"Untitled16"</f>
        <v>Untitled16</v>
      </c>
      <c r="E55" t="str">
        <f t="shared" si="8"/>
        <v>D:\TOC3201\Methods\StomDOC.met</v>
      </c>
      <c r="F55" t="str">
        <f t="shared" si="9"/>
        <v>D:\TOC3201\CalCurves\StomDOC2.2017_06_16_16_17_28.cal</v>
      </c>
      <c r="G55">
        <v>1</v>
      </c>
      <c r="H55" t="str">
        <f>""</f>
        <v/>
      </c>
      <c r="I55" t="str">
        <f>"6/16/2017 8:31:00 PM"</f>
        <v>6/16/2017 8:31:00 PM</v>
      </c>
      <c r="J55" t="str">
        <f t="shared" si="10"/>
        <v>1</v>
      </c>
      <c r="K55" t="str">
        <f>"3"</f>
        <v>3</v>
      </c>
      <c r="L55" t="str">
        <f t="shared" si="12"/>
        <v>TC</v>
      </c>
      <c r="M55" t="str">
        <f>"50.80"</f>
        <v>50.80</v>
      </c>
      <c r="N55" t="str">
        <f>"12.96"</f>
        <v>12.96</v>
      </c>
      <c r="O55" t="str">
        <f>"TC:12.90mg/L"</f>
        <v>TC:12.90mg/L</v>
      </c>
      <c r="P55">
        <v>0</v>
      </c>
      <c r="Q55" t="str">
        <f t="shared" si="13"/>
        <v>50</v>
      </c>
    </row>
    <row r="56" spans="1:17" x14ac:dyDescent="0.25">
      <c r="A56" t="str">
        <f t="shared" si="7"/>
        <v>Unknown</v>
      </c>
      <c r="B56" t="str">
        <f t="shared" si="11"/>
        <v>TC</v>
      </c>
      <c r="C56" t="str">
        <f>"Vial 17"</f>
        <v>Vial 17</v>
      </c>
      <c r="D56" t="str">
        <f>"Untitled17"</f>
        <v>Untitled17</v>
      </c>
      <c r="E56" t="str">
        <f t="shared" si="8"/>
        <v>D:\TOC3201\Methods\StomDOC.met</v>
      </c>
      <c r="F56" t="str">
        <f t="shared" si="9"/>
        <v>D:\TOC3201\CalCurves\StomDOC2.2017_06_16_16_17_28.cal</v>
      </c>
      <c r="G56">
        <v>1</v>
      </c>
      <c r="H56" t="str">
        <f>""</f>
        <v/>
      </c>
      <c r="I56" t="str">
        <f>"6/16/2017 8:39:02 PM"</f>
        <v>6/16/2017 8:39:02 PM</v>
      </c>
      <c r="J56" t="str">
        <f t="shared" si="10"/>
        <v>1</v>
      </c>
      <c r="K56" t="str">
        <f>"1"</f>
        <v>1</v>
      </c>
      <c r="L56" t="str">
        <f t="shared" si="12"/>
        <v>TC</v>
      </c>
      <c r="M56" t="str">
        <f>"45.91"</f>
        <v>45.91</v>
      </c>
      <c r="N56" t="str">
        <f>"11.71"</f>
        <v>11.71</v>
      </c>
      <c r="O56" t="str">
        <f>"TC:11.56mg/L"</f>
        <v>TC:11.56mg/L</v>
      </c>
      <c r="P56">
        <v>0</v>
      </c>
      <c r="Q56" t="str">
        <f t="shared" si="13"/>
        <v>50</v>
      </c>
    </row>
    <row r="57" spans="1:17" x14ac:dyDescent="0.25">
      <c r="A57" t="str">
        <f t="shared" ref="A57:A88" si="14">"Unknown"</f>
        <v>Unknown</v>
      </c>
      <c r="B57" t="str">
        <f t="shared" si="11"/>
        <v>TC</v>
      </c>
      <c r="C57" t="str">
        <f>"Vial 17"</f>
        <v>Vial 17</v>
      </c>
      <c r="D57" t="str">
        <f>"Untitled17"</f>
        <v>Untitled17</v>
      </c>
      <c r="E57" t="str">
        <f t="shared" ref="E57:E88" si="15">"D:\TOC3201\Methods\StomDOC.met"</f>
        <v>D:\TOC3201\Methods\StomDOC.met</v>
      </c>
      <c r="F57" t="str">
        <f t="shared" ref="F57:F88" si="16">"D:\TOC3201\CalCurves\StomDOC2.2017_06_16_16_17_28.cal"</f>
        <v>D:\TOC3201\CalCurves\StomDOC2.2017_06_16_16_17_28.cal</v>
      </c>
      <c r="G57">
        <v>1</v>
      </c>
      <c r="H57" t="str">
        <f>""</f>
        <v/>
      </c>
      <c r="I57" t="str">
        <f>"6/16/2017 8:43:53 PM"</f>
        <v>6/16/2017 8:43:53 PM</v>
      </c>
      <c r="J57" t="str">
        <f t="shared" si="10"/>
        <v>1</v>
      </c>
      <c r="K57" t="str">
        <f>"2"</f>
        <v>2</v>
      </c>
      <c r="L57" t="str">
        <f t="shared" si="12"/>
        <v>TC</v>
      </c>
      <c r="M57" t="str">
        <f>"44.72"</f>
        <v>44.72</v>
      </c>
      <c r="N57" t="str">
        <f>"11.41"</f>
        <v>11.41</v>
      </c>
      <c r="O57" t="str">
        <f>"TC:11.56mg/L"</f>
        <v>TC:11.56mg/L</v>
      </c>
      <c r="P57">
        <v>0</v>
      </c>
      <c r="Q57" t="str">
        <f t="shared" si="13"/>
        <v>50</v>
      </c>
    </row>
    <row r="58" spans="1:17" x14ac:dyDescent="0.25">
      <c r="A58" t="str">
        <f t="shared" si="14"/>
        <v>Unknown</v>
      </c>
      <c r="B58" t="str">
        <f t="shared" si="11"/>
        <v>TC</v>
      </c>
      <c r="C58" t="str">
        <f>"Vial 18"</f>
        <v>Vial 18</v>
      </c>
      <c r="D58" t="str">
        <f>"Untitled18"</f>
        <v>Untitled18</v>
      </c>
      <c r="E58" t="str">
        <f t="shared" si="15"/>
        <v>D:\TOC3201\Methods\StomDOC.met</v>
      </c>
      <c r="F58" t="str">
        <f t="shared" si="16"/>
        <v>D:\TOC3201\CalCurves\StomDOC2.2017_06_16_16_17_28.cal</v>
      </c>
      <c r="G58">
        <v>1</v>
      </c>
      <c r="H58" t="str">
        <f>""</f>
        <v/>
      </c>
      <c r="I58" t="str">
        <f>"6/16/2017 8:52:02 PM"</f>
        <v>6/16/2017 8:52:02 PM</v>
      </c>
      <c r="J58" t="str">
        <f t="shared" ref="J58:J89" si="17">"1"</f>
        <v>1</v>
      </c>
      <c r="K58" t="str">
        <f>"1"</f>
        <v>1</v>
      </c>
      <c r="L58" t="str">
        <f t="shared" si="12"/>
        <v>TC</v>
      </c>
      <c r="M58" t="str">
        <f>"47.48"</f>
        <v>47.48</v>
      </c>
      <c r="N58" t="str">
        <f>"12.11"</f>
        <v>12.11</v>
      </c>
      <c r="O58" t="str">
        <f>"TC:12.07mg/L"</f>
        <v>TC:12.07mg/L</v>
      </c>
      <c r="P58">
        <v>0</v>
      </c>
      <c r="Q58" t="str">
        <f t="shared" si="13"/>
        <v>50</v>
      </c>
    </row>
    <row r="59" spans="1:17" x14ac:dyDescent="0.25">
      <c r="A59" t="str">
        <f t="shared" si="14"/>
        <v>Unknown</v>
      </c>
      <c r="B59" t="str">
        <f t="shared" si="11"/>
        <v>TC</v>
      </c>
      <c r="C59" t="str">
        <f>"Vial 18"</f>
        <v>Vial 18</v>
      </c>
      <c r="D59" t="str">
        <f>"Untitled18"</f>
        <v>Untitled18</v>
      </c>
      <c r="E59" t="str">
        <f t="shared" si="15"/>
        <v>D:\TOC3201\Methods\StomDOC.met</v>
      </c>
      <c r="F59" t="str">
        <f t="shared" si="16"/>
        <v>D:\TOC3201\CalCurves\StomDOC2.2017_06_16_16_17_28.cal</v>
      </c>
      <c r="G59">
        <v>1</v>
      </c>
      <c r="H59" t="str">
        <f>""</f>
        <v/>
      </c>
      <c r="I59" t="str">
        <f>"6/16/2017 8:56:56 PM"</f>
        <v>6/16/2017 8:56:56 PM</v>
      </c>
      <c r="J59" t="str">
        <f t="shared" si="17"/>
        <v>1</v>
      </c>
      <c r="K59" t="str">
        <f>"2"</f>
        <v>2</v>
      </c>
      <c r="L59" t="str">
        <f t="shared" si="12"/>
        <v>TC</v>
      </c>
      <c r="M59" t="str">
        <f>"47.13"</f>
        <v>47.13</v>
      </c>
      <c r="N59" t="str">
        <f>"12.02"</f>
        <v>12.02</v>
      </c>
      <c r="O59" t="str">
        <f>"TC:12.07mg/L"</f>
        <v>TC:12.07mg/L</v>
      </c>
      <c r="P59">
        <v>0</v>
      </c>
      <c r="Q59" t="str">
        <f t="shared" si="13"/>
        <v>50</v>
      </c>
    </row>
    <row r="60" spans="1:17" x14ac:dyDescent="0.25">
      <c r="A60" t="str">
        <f t="shared" si="14"/>
        <v>Unknown</v>
      </c>
      <c r="B60" t="str">
        <f t="shared" si="11"/>
        <v>TC</v>
      </c>
      <c r="C60" t="str">
        <f>"Vial 19"</f>
        <v>Vial 19</v>
      </c>
      <c r="D60" t="str">
        <f>"Untitled19"</f>
        <v>Untitled19</v>
      </c>
      <c r="E60" t="str">
        <f t="shared" si="15"/>
        <v>D:\TOC3201\Methods\StomDOC.met</v>
      </c>
      <c r="F60" t="str">
        <f t="shared" si="16"/>
        <v>D:\TOC3201\CalCurves\StomDOC2.2017_06_16_16_17_28.cal</v>
      </c>
      <c r="G60">
        <v>1</v>
      </c>
      <c r="H60" t="str">
        <f>""</f>
        <v/>
      </c>
      <c r="I60" t="str">
        <f>"6/16/2017 9:04:52 PM"</f>
        <v>6/16/2017 9:04:52 PM</v>
      </c>
      <c r="J60" t="str">
        <f t="shared" si="17"/>
        <v>1</v>
      </c>
      <c r="K60" t="str">
        <f>"1"</f>
        <v>1</v>
      </c>
      <c r="L60" t="str">
        <f t="shared" si="12"/>
        <v>TC</v>
      </c>
      <c r="M60" t="str">
        <f>"42.03"</f>
        <v>42.03</v>
      </c>
      <c r="N60" t="str">
        <f>"10.72"</f>
        <v>10.72</v>
      </c>
      <c r="O60" t="str">
        <f>"TC:10.80mg/L"</f>
        <v>TC:10.80mg/L</v>
      </c>
      <c r="P60">
        <v>0</v>
      </c>
      <c r="Q60" t="str">
        <f t="shared" si="13"/>
        <v>50</v>
      </c>
    </row>
    <row r="61" spans="1:17" x14ac:dyDescent="0.25">
      <c r="A61" t="str">
        <f t="shared" si="14"/>
        <v>Unknown</v>
      </c>
      <c r="B61" t="str">
        <f t="shared" si="11"/>
        <v>TC</v>
      </c>
      <c r="C61" t="str">
        <f>"Vial 19"</f>
        <v>Vial 19</v>
      </c>
      <c r="D61" t="str">
        <f>"Untitled19"</f>
        <v>Untitled19</v>
      </c>
      <c r="E61" t="str">
        <f t="shared" si="15"/>
        <v>D:\TOC3201\Methods\StomDOC.met</v>
      </c>
      <c r="F61" t="str">
        <f t="shared" si="16"/>
        <v>D:\TOC3201\CalCurves\StomDOC2.2017_06_16_16_17_28.cal</v>
      </c>
      <c r="G61">
        <v>1</v>
      </c>
      <c r="H61" t="str">
        <f>""</f>
        <v/>
      </c>
      <c r="I61" t="str">
        <f>"6/16/2017 9:09:49 PM"</f>
        <v>6/16/2017 9:09:49 PM</v>
      </c>
      <c r="J61" t="str">
        <f t="shared" si="17"/>
        <v>1</v>
      </c>
      <c r="K61" t="str">
        <f>"2"</f>
        <v>2</v>
      </c>
      <c r="L61" t="str">
        <f t="shared" si="12"/>
        <v>TC</v>
      </c>
      <c r="M61" t="str">
        <f>"43.85"</f>
        <v>43.85</v>
      </c>
      <c r="N61" t="str">
        <f>"11.19"</f>
        <v>11.19</v>
      </c>
      <c r="O61" t="str">
        <f>"TC:10.80mg/L"</f>
        <v>TC:10.80mg/L</v>
      </c>
      <c r="P61">
        <v>1</v>
      </c>
      <c r="Q61" t="str">
        <f t="shared" si="13"/>
        <v>50</v>
      </c>
    </row>
    <row r="62" spans="1:17" x14ac:dyDescent="0.25">
      <c r="A62" t="str">
        <f t="shared" si="14"/>
        <v>Unknown</v>
      </c>
      <c r="B62" t="str">
        <f t="shared" si="11"/>
        <v>TC</v>
      </c>
      <c r="C62" t="str">
        <f>"Vial 19"</f>
        <v>Vial 19</v>
      </c>
      <c r="D62" t="str">
        <f>"Untitled19"</f>
        <v>Untitled19</v>
      </c>
      <c r="E62" t="str">
        <f t="shared" si="15"/>
        <v>D:\TOC3201\Methods\StomDOC.met</v>
      </c>
      <c r="F62" t="str">
        <f t="shared" si="16"/>
        <v>D:\TOC3201\CalCurves\StomDOC2.2017_06_16_16_17_28.cal</v>
      </c>
      <c r="G62">
        <v>1</v>
      </c>
      <c r="H62" t="str">
        <f>""</f>
        <v/>
      </c>
      <c r="I62" t="str">
        <f>"6/16/2017 9:14:43 PM"</f>
        <v>6/16/2017 9:14:43 PM</v>
      </c>
      <c r="J62" t="str">
        <f t="shared" si="17"/>
        <v>1</v>
      </c>
      <c r="K62" t="str">
        <f>"3"</f>
        <v>3</v>
      </c>
      <c r="L62" t="str">
        <f t="shared" si="12"/>
        <v>TC</v>
      </c>
      <c r="M62" t="str">
        <f>"42.63"</f>
        <v>42.63</v>
      </c>
      <c r="N62" t="str">
        <f>"10.88"</f>
        <v>10.88</v>
      </c>
      <c r="O62" t="str">
        <f>"TC:10.80mg/L"</f>
        <v>TC:10.80mg/L</v>
      </c>
      <c r="P62">
        <v>0</v>
      </c>
      <c r="Q62" t="str">
        <f t="shared" si="13"/>
        <v>50</v>
      </c>
    </row>
    <row r="63" spans="1:17" x14ac:dyDescent="0.25">
      <c r="A63" t="str">
        <f t="shared" si="14"/>
        <v>Unknown</v>
      </c>
      <c r="B63" t="str">
        <f t="shared" si="11"/>
        <v>TC</v>
      </c>
      <c r="C63" t="str">
        <f>"Vial 20"</f>
        <v>Vial 20</v>
      </c>
      <c r="D63" t="str">
        <f>"Untitled20"</f>
        <v>Untitled20</v>
      </c>
      <c r="E63" t="str">
        <f t="shared" si="15"/>
        <v>D:\TOC3201\Methods\StomDOC.met</v>
      </c>
      <c r="F63" t="str">
        <f t="shared" si="16"/>
        <v>D:\TOC3201\CalCurves\StomDOC2.2017_06_16_16_17_28.cal</v>
      </c>
      <c r="G63">
        <v>1</v>
      </c>
      <c r="H63" t="str">
        <f>""</f>
        <v/>
      </c>
      <c r="I63" t="str">
        <f>"6/16/2017 9:22:43 PM"</f>
        <v>6/16/2017 9:22:43 PM</v>
      </c>
      <c r="J63" t="str">
        <f t="shared" si="17"/>
        <v>1</v>
      </c>
      <c r="K63" t="str">
        <f>"1"</f>
        <v>1</v>
      </c>
      <c r="L63" t="str">
        <f t="shared" si="12"/>
        <v>TC</v>
      </c>
      <c r="M63" t="str">
        <f>"36.87"</f>
        <v>36.87</v>
      </c>
      <c r="N63" t="str">
        <f>"9.407"</f>
        <v>9.407</v>
      </c>
      <c r="O63" t="str">
        <f>"TC:9.353mg/L"</f>
        <v>TC:9.353mg/L</v>
      </c>
      <c r="P63">
        <v>0</v>
      </c>
      <c r="Q63" t="str">
        <f t="shared" si="13"/>
        <v>50</v>
      </c>
    </row>
    <row r="64" spans="1:17" x14ac:dyDescent="0.25">
      <c r="A64" t="str">
        <f t="shared" si="14"/>
        <v>Unknown</v>
      </c>
      <c r="B64" t="str">
        <f t="shared" si="11"/>
        <v>TC</v>
      </c>
      <c r="C64" t="str">
        <f>"Vial 20"</f>
        <v>Vial 20</v>
      </c>
      <c r="D64" t="str">
        <f>"Untitled20"</f>
        <v>Untitled20</v>
      </c>
      <c r="E64" t="str">
        <f t="shared" si="15"/>
        <v>D:\TOC3201\Methods\StomDOC.met</v>
      </c>
      <c r="F64" t="str">
        <f t="shared" si="16"/>
        <v>D:\TOC3201\CalCurves\StomDOC2.2017_06_16_16_17_28.cal</v>
      </c>
      <c r="G64">
        <v>1</v>
      </c>
      <c r="H64" t="str">
        <f>""</f>
        <v/>
      </c>
      <c r="I64" t="str">
        <f>"6/16/2017 9:27:27 PM"</f>
        <v>6/16/2017 9:27:27 PM</v>
      </c>
      <c r="J64" t="str">
        <f t="shared" si="17"/>
        <v>1</v>
      </c>
      <c r="K64" t="str">
        <f>"2"</f>
        <v>2</v>
      </c>
      <c r="L64" t="str">
        <f t="shared" si="12"/>
        <v>TC</v>
      </c>
      <c r="M64" t="str">
        <f>"35.62"</f>
        <v>35.62</v>
      </c>
      <c r="N64" t="str">
        <f>"9.088"</f>
        <v>9.088</v>
      </c>
      <c r="O64" t="str">
        <f>"TC:9.353mg/L"</f>
        <v>TC:9.353mg/L</v>
      </c>
      <c r="P64">
        <v>1</v>
      </c>
      <c r="Q64" t="str">
        <f t="shared" si="13"/>
        <v>50</v>
      </c>
    </row>
    <row r="65" spans="1:17" x14ac:dyDescent="0.25">
      <c r="A65" t="str">
        <f t="shared" si="14"/>
        <v>Unknown</v>
      </c>
      <c r="B65" t="str">
        <f t="shared" si="11"/>
        <v>TC</v>
      </c>
      <c r="C65" t="str">
        <f>"Vial 20"</f>
        <v>Vial 20</v>
      </c>
      <c r="D65" t="str">
        <f>"Untitled20"</f>
        <v>Untitled20</v>
      </c>
      <c r="E65" t="str">
        <f t="shared" si="15"/>
        <v>D:\TOC3201\Methods\StomDOC.met</v>
      </c>
      <c r="F65" t="str">
        <f t="shared" si="16"/>
        <v>D:\TOC3201\CalCurves\StomDOC2.2017_06_16_16_17_28.cal</v>
      </c>
      <c r="G65">
        <v>1</v>
      </c>
      <c r="H65" t="str">
        <f>""</f>
        <v/>
      </c>
      <c r="I65" t="str">
        <f>"6/16/2017 9:32:14 PM"</f>
        <v>6/16/2017 9:32:14 PM</v>
      </c>
      <c r="J65" t="str">
        <f t="shared" si="17"/>
        <v>1</v>
      </c>
      <c r="K65" t="str">
        <f>"3"</f>
        <v>3</v>
      </c>
      <c r="L65" t="str">
        <f t="shared" si="12"/>
        <v>TC</v>
      </c>
      <c r="M65" t="str">
        <f>"36.45"</f>
        <v>36.45</v>
      </c>
      <c r="N65" t="str">
        <f>"9.300"</f>
        <v>9.300</v>
      </c>
      <c r="O65" t="str">
        <f>"TC:9.353mg/L"</f>
        <v>TC:9.353mg/L</v>
      </c>
      <c r="P65">
        <v>0</v>
      </c>
      <c r="Q65" t="str">
        <f t="shared" si="13"/>
        <v>50</v>
      </c>
    </row>
    <row r="66" spans="1:17" x14ac:dyDescent="0.25">
      <c r="A66" t="str">
        <f t="shared" si="14"/>
        <v>Unknown</v>
      </c>
      <c r="B66" t="str">
        <f t="shared" si="11"/>
        <v>TC</v>
      </c>
      <c r="C66" t="str">
        <f>"Vial 21"</f>
        <v>Vial 21</v>
      </c>
      <c r="D66" t="str">
        <f>"Untitled21"</f>
        <v>Untitled21</v>
      </c>
      <c r="E66" t="str">
        <f t="shared" si="15"/>
        <v>D:\TOC3201\Methods\StomDOC.met</v>
      </c>
      <c r="F66" t="str">
        <f t="shared" si="16"/>
        <v>D:\TOC3201\CalCurves\StomDOC2.2017_06_16_16_17_28.cal</v>
      </c>
      <c r="G66">
        <v>1</v>
      </c>
      <c r="H66" t="str">
        <f>""</f>
        <v/>
      </c>
      <c r="I66" t="str">
        <f>"6/16/2017 9:40:14 PM"</f>
        <v>6/16/2017 9:40:14 PM</v>
      </c>
      <c r="J66" t="str">
        <f t="shared" si="17"/>
        <v>1</v>
      </c>
      <c r="K66" t="str">
        <f>"1"</f>
        <v>1</v>
      </c>
      <c r="L66" t="str">
        <f t="shared" si="12"/>
        <v>TC</v>
      </c>
      <c r="M66" t="str">
        <f>"37.04"</f>
        <v>37.04</v>
      </c>
      <c r="N66" t="str">
        <f>"9.450"</f>
        <v>9.450</v>
      </c>
      <c r="O66" t="str">
        <f>"TC:9.927mg/L"</f>
        <v>TC:9.927mg/L</v>
      </c>
      <c r="P66">
        <v>1</v>
      </c>
      <c r="Q66" t="str">
        <f t="shared" si="13"/>
        <v>50</v>
      </c>
    </row>
    <row r="67" spans="1:17" x14ac:dyDescent="0.25">
      <c r="A67" t="str">
        <f t="shared" si="14"/>
        <v>Unknown</v>
      </c>
      <c r="B67" t="str">
        <f t="shared" si="11"/>
        <v>TC</v>
      </c>
      <c r="C67" t="str">
        <f>"Vial 21"</f>
        <v>Vial 21</v>
      </c>
      <c r="D67" t="str">
        <f>"Untitled21"</f>
        <v>Untitled21</v>
      </c>
      <c r="E67" t="str">
        <f t="shared" si="15"/>
        <v>D:\TOC3201\Methods\StomDOC.met</v>
      </c>
      <c r="F67" t="str">
        <f t="shared" si="16"/>
        <v>D:\TOC3201\CalCurves\StomDOC2.2017_06_16_16_17_28.cal</v>
      </c>
      <c r="G67">
        <v>1</v>
      </c>
      <c r="H67" t="str">
        <f>""</f>
        <v/>
      </c>
      <c r="I67" t="str">
        <f>"6/16/2017 9:45:05 PM"</f>
        <v>6/16/2017 9:45:05 PM</v>
      </c>
      <c r="J67" t="str">
        <f t="shared" si="17"/>
        <v>1</v>
      </c>
      <c r="K67" t="str">
        <f>"2"</f>
        <v>2</v>
      </c>
      <c r="L67" t="str">
        <f t="shared" si="12"/>
        <v>TC</v>
      </c>
      <c r="M67" t="str">
        <f>"39.27"</f>
        <v>39.27</v>
      </c>
      <c r="N67" t="str">
        <f>"10.02"</f>
        <v>10.02</v>
      </c>
      <c r="O67" t="str">
        <f>"TC:9.927mg/L"</f>
        <v>TC:9.927mg/L</v>
      </c>
      <c r="P67">
        <v>0</v>
      </c>
      <c r="Q67" t="str">
        <f t="shared" si="13"/>
        <v>50</v>
      </c>
    </row>
    <row r="68" spans="1:17" x14ac:dyDescent="0.25">
      <c r="A68" t="str">
        <f t="shared" si="14"/>
        <v>Unknown</v>
      </c>
      <c r="B68" t="str">
        <f t="shared" si="11"/>
        <v>TC</v>
      </c>
      <c r="C68" t="str">
        <f>"Vial 21"</f>
        <v>Vial 21</v>
      </c>
      <c r="D68" t="str">
        <f>"Untitled21"</f>
        <v>Untitled21</v>
      </c>
      <c r="E68" t="str">
        <f t="shared" si="15"/>
        <v>D:\TOC3201\Methods\StomDOC.met</v>
      </c>
      <c r="F68" t="str">
        <f t="shared" si="16"/>
        <v>D:\TOC3201\CalCurves\StomDOC2.2017_06_16_16_17_28.cal</v>
      </c>
      <c r="G68">
        <v>1</v>
      </c>
      <c r="H68" t="str">
        <f>""</f>
        <v/>
      </c>
      <c r="I68" t="str">
        <f>"6/16/2017 9:49:56 PM"</f>
        <v>6/16/2017 9:49:56 PM</v>
      </c>
      <c r="J68" t="str">
        <f t="shared" si="17"/>
        <v>1</v>
      </c>
      <c r="K68" t="str">
        <f>"3"</f>
        <v>3</v>
      </c>
      <c r="L68" t="str">
        <f t="shared" si="12"/>
        <v>TC</v>
      </c>
      <c r="M68" t="str">
        <f>"38.55"</f>
        <v>38.55</v>
      </c>
      <c r="N68" t="str">
        <f>"9.835"</f>
        <v>9.835</v>
      </c>
      <c r="O68" t="str">
        <f>"TC:9.927mg/L"</f>
        <v>TC:9.927mg/L</v>
      </c>
      <c r="P68">
        <v>0</v>
      </c>
      <c r="Q68" t="str">
        <f t="shared" si="13"/>
        <v>50</v>
      </c>
    </row>
    <row r="69" spans="1:17" x14ac:dyDescent="0.25">
      <c r="A69" t="str">
        <f t="shared" si="14"/>
        <v>Unknown</v>
      </c>
      <c r="B69" t="str">
        <f t="shared" si="11"/>
        <v>TC</v>
      </c>
      <c r="C69" t="str">
        <f>"Vial 22"</f>
        <v>Vial 22</v>
      </c>
      <c r="D69" t="str">
        <f>"Untitled22"</f>
        <v>Untitled22</v>
      </c>
      <c r="E69" t="str">
        <f t="shared" si="15"/>
        <v>D:\TOC3201\Methods\StomDOC.met</v>
      </c>
      <c r="F69" t="str">
        <f t="shared" si="16"/>
        <v>D:\TOC3201\CalCurves\StomDOC2.2017_06_16_16_17_28.cal</v>
      </c>
      <c r="G69">
        <v>1</v>
      </c>
      <c r="H69" t="str">
        <f>""</f>
        <v/>
      </c>
      <c r="I69" t="str">
        <f>"6/16/2017 9:58:01 PM"</f>
        <v>6/16/2017 9:58:01 PM</v>
      </c>
      <c r="J69" t="str">
        <f t="shared" si="17"/>
        <v>1</v>
      </c>
      <c r="K69" t="str">
        <f>"1"</f>
        <v>1</v>
      </c>
      <c r="L69" t="str">
        <f t="shared" si="12"/>
        <v>TC</v>
      </c>
      <c r="M69" t="str">
        <f>"50.32"</f>
        <v>50.32</v>
      </c>
      <c r="N69" t="str">
        <f>"12.84"</f>
        <v>12.84</v>
      </c>
      <c r="O69" t="str">
        <f>"TC:12.88mg/L"</f>
        <v>TC:12.88mg/L</v>
      </c>
      <c r="P69">
        <v>0</v>
      </c>
      <c r="Q69" t="str">
        <f t="shared" si="13"/>
        <v>50</v>
      </c>
    </row>
    <row r="70" spans="1:17" x14ac:dyDescent="0.25">
      <c r="A70" t="str">
        <f t="shared" si="14"/>
        <v>Unknown</v>
      </c>
      <c r="B70" t="str">
        <f t="shared" si="11"/>
        <v>TC</v>
      </c>
      <c r="C70" t="str">
        <f>"Vial 22"</f>
        <v>Vial 22</v>
      </c>
      <c r="D70" t="str">
        <f>"Untitled22"</f>
        <v>Untitled22</v>
      </c>
      <c r="E70" t="str">
        <f t="shared" si="15"/>
        <v>D:\TOC3201\Methods\StomDOC.met</v>
      </c>
      <c r="F70" t="str">
        <f t="shared" si="16"/>
        <v>D:\TOC3201\CalCurves\StomDOC2.2017_06_16_16_17_28.cal</v>
      </c>
      <c r="G70">
        <v>1</v>
      </c>
      <c r="H70" t="str">
        <f>""</f>
        <v/>
      </c>
      <c r="I70" t="str">
        <f>"6/16/2017 10:03:01 PM"</f>
        <v>6/16/2017 10:03:01 PM</v>
      </c>
      <c r="J70" t="str">
        <f t="shared" si="17"/>
        <v>1</v>
      </c>
      <c r="K70" t="str">
        <f>"2"</f>
        <v>2</v>
      </c>
      <c r="L70" t="str">
        <f t="shared" si="12"/>
        <v>TC</v>
      </c>
      <c r="M70" t="str">
        <f>"50.68"</f>
        <v>50.68</v>
      </c>
      <c r="N70" t="str">
        <f>"12.93"</f>
        <v>12.93</v>
      </c>
      <c r="O70" t="str">
        <f>"TC:12.88mg/L"</f>
        <v>TC:12.88mg/L</v>
      </c>
      <c r="P70">
        <v>0</v>
      </c>
      <c r="Q70" t="str">
        <f t="shared" si="13"/>
        <v>50</v>
      </c>
    </row>
    <row r="71" spans="1:17" x14ac:dyDescent="0.25">
      <c r="A71" t="str">
        <f t="shared" si="14"/>
        <v>Unknown</v>
      </c>
      <c r="B71" t="str">
        <f t="shared" si="11"/>
        <v>TC</v>
      </c>
      <c r="C71" t="str">
        <f>"Vial 23"</f>
        <v>Vial 23</v>
      </c>
      <c r="D71" t="str">
        <f>"Untitled23"</f>
        <v>Untitled23</v>
      </c>
      <c r="E71" t="str">
        <f t="shared" si="15"/>
        <v>D:\TOC3201\Methods\StomDOC.met</v>
      </c>
      <c r="F71" t="str">
        <f t="shared" si="16"/>
        <v>D:\TOC3201\CalCurves\StomDOC2.2017_06_16_16_17_28.cal</v>
      </c>
      <c r="G71">
        <v>1</v>
      </c>
      <c r="H71" t="str">
        <f>""</f>
        <v/>
      </c>
      <c r="I71" t="str">
        <f>"6/16/2017 10:11:15 PM"</f>
        <v>6/16/2017 10:11:15 PM</v>
      </c>
      <c r="J71" t="str">
        <f t="shared" si="17"/>
        <v>1</v>
      </c>
      <c r="K71" t="str">
        <f>"1"</f>
        <v>1</v>
      </c>
      <c r="L71" t="str">
        <f t="shared" si="12"/>
        <v>TC</v>
      </c>
      <c r="M71" t="str">
        <f>"41.60"</f>
        <v>41.60</v>
      </c>
      <c r="N71" t="str">
        <f>"10.61"</f>
        <v>10.61</v>
      </c>
      <c r="O71" t="str">
        <f>"TC:10.93mg/L"</f>
        <v>TC:10.93mg/L</v>
      </c>
      <c r="P71">
        <v>1</v>
      </c>
      <c r="Q71" t="str">
        <f t="shared" si="13"/>
        <v>50</v>
      </c>
    </row>
    <row r="72" spans="1:17" x14ac:dyDescent="0.25">
      <c r="A72" t="str">
        <f t="shared" si="14"/>
        <v>Unknown</v>
      </c>
      <c r="B72" t="str">
        <f t="shared" si="11"/>
        <v>TC</v>
      </c>
      <c r="C72" t="str">
        <f>"Vial 23"</f>
        <v>Vial 23</v>
      </c>
      <c r="D72" t="str">
        <f>"Untitled23"</f>
        <v>Untitled23</v>
      </c>
      <c r="E72" t="str">
        <f t="shared" si="15"/>
        <v>D:\TOC3201\Methods\StomDOC.met</v>
      </c>
      <c r="F72" t="str">
        <f t="shared" si="16"/>
        <v>D:\TOC3201\CalCurves\StomDOC2.2017_06_16_16_17_28.cal</v>
      </c>
      <c r="G72">
        <v>1</v>
      </c>
      <c r="H72" t="str">
        <f>""</f>
        <v/>
      </c>
      <c r="I72" t="str">
        <f>"6/16/2017 10:16:12 PM"</f>
        <v>6/16/2017 10:16:12 PM</v>
      </c>
      <c r="J72" t="str">
        <f t="shared" si="17"/>
        <v>1</v>
      </c>
      <c r="K72" t="str">
        <f>"2"</f>
        <v>2</v>
      </c>
      <c r="L72" t="str">
        <f t="shared" si="12"/>
        <v>TC</v>
      </c>
      <c r="M72" t="str">
        <f>"42.89"</f>
        <v>42.89</v>
      </c>
      <c r="N72" t="str">
        <f>"10.94"</f>
        <v>10.94</v>
      </c>
      <c r="O72" t="str">
        <f>"TC:10.93mg/L"</f>
        <v>TC:10.93mg/L</v>
      </c>
      <c r="P72">
        <v>0</v>
      </c>
      <c r="Q72" t="str">
        <f t="shared" si="13"/>
        <v>50</v>
      </c>
    </row>
    <row r="73" spans="1:17" x14ac:dyDescent="0.25">
      <c r="A73" t="str">
        <f t="shared" si="14"/>
        <v>Unknown</v>
      </c>
      <c r="B73" t="str">
        <f t="shared" si="11"/>
        <v>TC</v>
      </c>
      <c r="C73" t="str">
        <f>"Vial 23"</f>
        <v>Vial 23</v>
      </c>
      <c r="D73" t="str">
        <f>"Untitled23"</f>
        <v>Untitled23</v>
      </c>
      <c r="E73" t="str">
        <f t="shared" si="15"/>
        <v>D:\TOC3201\Methods\StomDOC.met</v>
      </c>
      <c r="F73" t="str">
        <f t="shared" si="16"/>
        <v>D:\TOC3201\CalCurves\StomDOC2.2017_06_16_16_17_28.cal</v>
      </c>
      <c r="G73">
        <v>1</v>
      </c>
      <c r="H73" t="str">
        <f>""</f>
        <v/>
      </c>
      <c r="I73" t="str">
        <f>"6/16/2017 10:21:06 PM"</f>
        <v>6/16/2017 10:21:06 PM</v>
      </c>
      <c r="J73" t="str">
        <f t="shared" si="17"/>
        <v>1</v>
      </c>
      <c r="K73" t="str">
        <f>"3"</f>
        <v>3</v>
      </c>
      <c r="L73" t="str">
        <f t="shared" si="12"/>
        <v>TC</v>
      </c>
      <c r="M73" t="str">
        <f>"42.82"</f>
        <v>42.82</v>
      </c>
      <c r="N73" t="str">
        <f>"10.92"</f>
        <v>10.92</v>
      </c>
      <c r="O73" t="str">
        <f>"TC:10.93mg/L"</f>
        <v>TC:10.93mg/L</v>
      </c>
      <c r="P73">
        <v>0</v>
      </c>
      <c r="Q73" t="str">
        <f t="shared" si="13"/>
        <v>50</v>
      </c>
    </row>
    <row r="74" spans="1:17" x14ac:dyDescent="0.25">
      <c r="A74" t="str">
        <f t="shared" si="14"/>
        <v>Unknown</v>
      </c>
      <c r="B74" t="str">
        <f t="shared" si="11"/>
        <v>TC</v>
      </c>
      <c r="C74" t="str">
        <f>"Vial 24"</f>
        <v>Vial 24</v>
      </c>
      <c r="D74" t="str">
        <f>"Untitled24"</f>
        <v>Untitled24</v>
      </c>
      <c r="E74" t="str">
        <f t="shared" si="15"/>
        <v>D:\TOC3201\Methods\StomDOC.met</v>
      </c>
      <c r="F74" t="str">
        <f t="shared" si="16"/>
        <v>D:\TOC3201\CalCurves\StomDOC2.2017_06_16_16_17_28.cal</v>
      </c>
      <c r="G74">
        <v>1</v>
      </c>
      <c r="H74" t="str">
        <f>""</f>
        <v/>
      </c>
      <c r="I74" t="str">
        <f>"6/16/2017 10:29:03 PM"</f>
        <v>6/16/2017 10:29:03 PM</v>
      </c>
      <c r="J74" t="str">
        <f t="shared" si="17"/>
        <v>1</v>
      </c>
      <c r="K74" t="str">
        <f>"1"</f>
        <v>1</v>
      </c>
      <c r="L74" t="str">
        <f t="shared" si="12"/>
        <v>TC</v>
      </c>
      <c r="M74" t="str">
        <f>"41.22"</f>
        <v>41.22</v>
      </c>
      <c r="N74" t="str">
        <f>"10.52"</f>
        <v>10.52</v>
      </c>
      <c r="O74" t="str">
        <f>"TC:10.11mg/L"</f>
        <v>TC:10.11mg/L</v>
      </c>
      <c r="P74">
        <v>1</v>
      </c>
      <c r="Q74" t="str">
        <f t="shared" si="13"/>
        <v>50</v>
      </c>
    </row>
    <row r="75" spans="1:17" x14ac:dyDescent="0.25">
      <c r="A75" t="str">
        <f t="shared" si="14"/>
        <v>Unknown</v>
      </c>
      <c r="B75" t="str">
        <f t="shared" si="11"/>
        <v>TC</v>
      </c>
      <c r="C75" t="str">
        <f>"Vial 24"</f>
        <v>Vial 24</v>
      </c>
      <c r="D75" t="str">
        <f>"Untitled24"</f>
        <v>Untitled24</v>
      </c>
      <c r="E75" t="str">
        <f t="shared" si="15"/>
        <v>D:\TOC3201\Methods\StomDOC.met</v>
      </c>
      <c r="F75" t="str">
        <f t="shared" si="16"/>
        <v>D:\TOC3201\CalCurves\StomDOC2.2017_06_16_16_17_28.cal</v>
      </c>
      <c r="G75">
        <v>1</v>
      </c>
      <c r="H75" t="str">
        <f>""</f>
        <v/>
      </c>
      <c r="I75" t="str">
        <f>"6/16/2017 10:33:56 PM"</f>
        <v>6/16/2017 10:33:56 PM</v>
      </c>
      <c r="J75" t="str">
        <f t="shared" si="17"/>
        <v>1</v>
      </c>
      <c r="K75" t="str">
        <f>"2"</f>
        <v>2</v>
      </c>
      <c r="L75" t="str">
        <f t="shared" si="12"/>
        <v>TC</v>
      </c>
      <c r="M75" t="str">
        <f>"39.50"</f>
        <v>39.50</v>
      </c>
      <c r="N75" t="str">
        <f>"10.08"</f>
        <v>10.08</v>
      </c>
      <c r="O75" t="str">
        <f>"TC:10.11mg/L"</f>
        <v>TC:10.11mg/L</v>
      </c>
      <c r="P75">
        <v>0</v>
      </c>
      <c r="Q75" t="str">
        <f t="shared" si="13"/>
        <v>50</v>
      </c>
    </row>
    <row r="76" spans="1:17" x14ac:dyDescent="0.25">
      <c r="A76" t="str">
        <f t="shared" si="14"/>
        <v>Unknown</v>
      </c>
      <c r="B76" t="str">
        <f t="shared" si="11"/>
        <v>TC</v>
      </c>
      <c r="C76" t="str">
        <f>"Vial 24"</f>
        <v>Vial 24</v>
      </c>
      <c r="D76" t="str">
        <f>"Untitled24"</f>
        <v>Untitled24</v>
      </c>
      <c r="E76" t="str">
        <f t="shared" si="15"/>
        <v>D:\TOC3201\Methods\StomDOC.met</v>
      </c>
      <c r="F76" t="str">
        <f t="shared" si="16"/>
        <v>D:\TOC3201\CalCurves\StomDOC2.2017_06_16_16_17_28.cal</v>
      </c>
      <c r="G76">
        <v>1</v>
      </c>
      <c r="H76" t="str">
        <f>""</f>
        <v/>
      </c>
      <c r="I76" t="str">
        <f>"6/16/2017 10:38:51 PM"</f>
        <v>6/16/2017 10:38:51 PM</v>
      </c>
      <c r="J76" t="str">
        <f t="shared" si="17"/>
        <v>1</v>
      </c>
      <c r="K76" t="str">
        <f>"3"</f>
        <v>3</v>
      </c>
      <c r="L76" t="str">
        <f t="shared" si="12"/>
        <v>TC</v>
      </c>
      <c r="M76" t="str">
        <f>"39.75"</f>
        <v>39.75</v>
      </c>
      <c r="N76" t="str">
        <f>"10.14"</f>
        <v>10.14</v>
      </c>
      <c r="O76" t="str">
        <f>"TC:10.11mg/L"</f>
        <v>TC:10.11mg/L</v>
      </c>
      <c r="P76">
        <v>0</v>
      </c>
      <c r="Q76" t="str">
        <f t="shared" si="13"/>
        <v>50</v>
      </c>
    </row>
    <row r="77" spans="1:17" x14ac:dyDescent="0.25">
      <c r="A77" t="str">
        <f t="shared" si="14"/>
        <v>Unknown</v>
      </c>
      <c r="B77" t="str">
        <f t="shared" si="11"/>
        <v>TC</v>
      </c>
      <c r="C77" t="str">
        <f>"Vial 25"</f>
        <v>Vial 25</v>
      </c>
      <c r="D77" t="str">
        <f>"Untitled25"</f>
        <v>Untitled25</v>
      </c>
      <c r="E77" t="str">
        <f t="shared" si="15"/>
        <v>D:\TOC3201\Methods\StomDOC.met</v>
      </c>
      <c r="F77" t="str">
        <f t="shared" si="16"/>
        <v>D:\TOC3201\CalCurves\StomDOC2.2017_06_16_16_17_28.cal</v>
      </c>
      <c r="G77">
        <v>1</v>
      </c>
      <c r="H77" t="str">
        <f>""</f>
        <v/>
      </c>
      <c r="I77" t="str">
        <f>"6/16/2017 10:46:49 PM"</f>
        <v>6/16/2017 10:46:49 PM</v>
      </c>
      <c r="J77" t="str">
        <f t="shared" si="17"/>
        <v>1</v>
      </c>
      <c r="K77" t="str">
        <f>"1"</f>
        <v>1</v>
      </c>
      <c r="L77" t="str">
        <f t="shared" si="12"/>
        <v>TC</v>
      </c>
      <c r="M77" t="str">
        <f>"42.85"</f>
        <v>42.85</v>
      </c>
      <c r="N77" t="str">
        <f>"10.93"</f>
        <v>10.93</v>
      </c>
      <c r="O77" t="str">
        <f>"TC:10.93mg/L"</f>
        <v>TC:10.93mg/L</v>
      </c>
      <c r="P77">
        <v>0</v>
      </c>
      <c r="Q77" t="str">
        <f t="shared" si="13"/>
        <v>50</v>
      </c>
    </row>
    <row r="78" spans="1:17" x14ac:dyDescent="0.25">
      <c r="A78" t="str">
        <f t="shared" si="14"/>
        <v>Unknown</v>
      </c>
      <c r="B78" t="str">
        <f t="shared" si="11"/>
        <v>TC</v>
      </c>
      <c r="C78" t="str">
        <f>"Vial 25"</f>
        <v>Vial 25</v>
      </c>
      <c r="D78" t="str">
        <f>"Untitled25"</f>
        <v>Untitled25</v>
      </c>
      <c r="E78" t="str">
        <f t="shared" si="15"/>
        <v>D:\TOC3201\Methods\StomDOC.met</v>
      </c>
      <c r="F78" t="str">
        <f t="shared" si="16"/>
        <v>D:\TOC3201\CalCurves\StomDOC2.2017_06_16_16_17_28.cal</v>
      </c>
      <c r="G78">
        <v>1</v>
      </c>
      <c r="H78" t="str">
        <f>""</f>
        <v/>
      </c>
      <c r="I78" t="str">
        <f>"6/16/2017 10:51:47 PM"</f>
        <v>6/16/2017 10:51:47 PM</v>
      </c>
      <c r="J78" t="str">
        <f t="shared" si="17"/>
        <v>1</v>
      </c>
      <c r="K78" t="str">
        <f>"2"</f>
        <v>2</v>
      </c>
      <c r="L78" t="str">
        <f t="shared" si="12"/>
        <v>TC</v>
      </c>
      <c r="M78" t="str">
        <f>"42.87"</f>
        <v>42.87</v>
      </c>
      <c r="N78" t="str">
        <f>"10.94"</f>
        <v>10.94</v>
      </c>
      <c r="O78" t="str">
        <f>"TC:10.93mg/L"</f>
        <v>TC:10.93mg/L</v>
      </c>
      <c r="P78">
        <v>0</v>
      </c>
      <c r="Q78" t="str">
        <f t="shared" si="13"/>
        <v>50</v>
      </c>
    </row>
    <row r="79" spans="1:17" x14ac:dyDescent="0.25">
      <c r="A79" t="str">
        <f t="shared" si="14"/>
        <v>Unknown</v>
      </c>
      <c r="B79" t="str">
        <f t="shared" ref="B79:B110" si="18">"TC"</f>
        <v>TC</v>
      </c>
      <c r="C79" t="str">
        <f>"Vial 26"</f>
        <v>Vial 26</v>
      </c>
      <c r="D79" t="str">
        <f>"Untitled26"</f>
        <v>Untitled26</v>
      </c>
      <c r="E79" t="str">
        <f t="shared" si="15"/>
        <v>D:\TOC3201\Methods\StomDOC.met</v>
      </c>
      <c r="F79" t="str">
        <f t="shared" si="16"/>
        <v>D:\TOC3201\CalCurves\StomDOC2.2017_06_16_16_17_28.cal</v>
      </c>
      <c r="G79">
        <v>1</v>
      </c>
      <c r="H79" t="str">
        <f>""</f>
        <v/>
      </c>
      <c r="I79" t="str">
        <f>"6/16/2017 10:59:08 PM"</f>
        <v>6/16/2017 10:59:08 PM</v>
      </c>
      <c r="J79" t="str">
        <f t="shared" si="17"/>
        <v>1</v>
      </c>
      <c r="K79" t="str">
        <f>"1"</f>
        <v>1</v>
      </c>
      <c r="L79" t="str">
        <f t="shared" ref="L79:L110" si="19">"TC"</f>
        <v>TC</v>
      </c>
      <c r="M79" t="str">
        <f>"5.053"</f>
        <v>5.053</v>
      </c>
      <c r="N79" t="str">
        <f>"1.289"</f>
        <v>1.289</v>
      </c>
      <c r="O79" t="str">
        <f>"TC:1.233mg/L"</f>
        <v>TC:1.233mg/L</v>
      </c>
      <c r="P79">
        <v>0</v>
      </c>
      <c r="Q79" t="str">
        <f t="shared" ref="Q79:Q110" si="20">"50"</f>
        <v>50</v>
      </c>
    </row>
    <row r="80" spans="1:17" x14ac:dyDescent="0.25">
      <c r="A80" t="str">
        <f t="shared" si="14"/>
        <v>Unknown</v>
      </c>
      <c r="B80" t="str">
        <f t="shared" si="18"/>
        <v>TC</v>
      </c>
      <c r="C80" t="str">
        <f>"Vial 26"</f>
        <v>Vial 26</v>
      </c>
      <c r="D80" t="str">
        <f>"Untitled26"</f>
        <v>Untitled26</v>
      </c>
      <c r="E80" t="str">
        <f t="shared" si="15"/>
        <v>D:\TOC3201\Methods\StomDOC.met</v>
      </c>
      <c r="F80" t="str">
        <f t="shared" si="16"/>
        <v>D:\TOC3201\CalCurves\StomDOC2.2017_06_16_16_17_28.cal</v>
      </c>
      <c r="G80">
        <v>1</v>
      </c>
      <c r="H80" t="str">
        <f>""</f>
        <v/>
      </c>
      <c r="I80" t="str">
        <f>"6/16/2017 11:03:22 PM"</f>
        <v>6/16/2017 11:03:22 PM</v>
      </c>
      <c r="J80" t="str">
        <f t="shared" si="17"/>
        <v>1</v>
      </c>
      <c r="K80" t="str">
        <f>"2"</f>
        <v>2</v>
      </c>
      <c r="L80" t="str">
        <f t="shared" si="19"/>
        <v>TC</v>
      </c>
      <c r="M80" t="str">
        <f>"5.625"</f>
        <v>5.625</v>
      </c>
      <c r="N80" t="str">
        <f>"1.435"</f>
        <v>1.435</v>
      </c>
      <c r="O80" t="str">
        <f>"TC:1.233mg/L"</f>
        <v>TC:1.233mg/L</v>
      </c>
      <c r="P80">
        <v>1</v>
      </c>
      <c r="Q80" t="str">
        <f t="shared" si="20"/>
        <v>50</v>
      </c>
    </row>
    <row r="81" spans="1:17" x14ac:dyDescent="0.25">
      <c r="A81" t="str">
        <f t="shared" si="14"/>
        <v>Unknown</v>
      </c>
      <c r="B81" t="str">
        <f t="shared" si="18"/>
        <v>TC</v>
      </c>
      <c r="C81" t="str">
        <f>"Vial 26"</f>
        <v>Vial 26</v>
      </c>
      <c r="D81" t="str">
        <f>"Untitled26"</f>
        <v>Untitled26</v>
      </c>
      <c r="E81" t="str">
        <f t="shared" si="15"/>
        <v>D:\TOC3201\Methods\StomDOC.met</v>
      </c>
      <c r="F81" t="str">
        <f t="shared" si="16"/>
        <v>D:\TOC3201\CalCurves\StomDOC2.2017_06_16_16_17_28.cal</v>
      </c>
      <c r="G81">
        <v>1</v>
      </c>
      <c r="H81" t="str">
        <f>""</f>
        <v/>
      </c>
      <c r="I81" t="str">
        <f>"6/16/2017 11:07:24 PM"</f>
        <v>6/16/2017 11:07:24 PM</v>
      </c>
      <c r="J81" t="str">
        <f t="shared" si="17"/>
        <v>1</v>
      </c>
      <c r="K81" t="str">
        <f>"3"</f>
        <v>3</v>
      </c>
      <c r="L81" t="str">
        <f t="shared" si="19"/>
        <v>TC</v>
      </c>
      <c r="M81" t="str">
        <f>"4.612"</f>
        <v>4.612</v>
      </c>
      <c r="N81" t="str">
        <f>"1.177"</f>
        <v>1.177</v>
      </c>
      <c r="O81" t="str">
        <f>"TC:1.233mg/L"</f>
        <v>TC:1.233mg/L</v>
      </c>
      <c r="P81">
        <v>0</v>
      </c>
      <c r="Q81" t="str">
        <f t="shared" si="20"/>
        <v>50</v>
      </c>
    </row>
    <row r="82" spans="1:17" x14ac:dyDescent="0.25">
      <c r="A82" t="str">
        <f t="shared" si="14"/>
        <v>Unknown</v>
      </c>
      <c r="B82" t="str">
        <f t="shared" si="18"/>
        <v>TC</v>
      </c>
      <c r="C82" t="str">
        <f>"Vial 27"</f>
        <v>Vial 27</v>
      </c>
      <c r="D82" t="str">
        <f>"Untitled27"</f>
        <v>Untitled27</v>
      </c>
      <c r="E82" t="str">
        <f t="shared" si="15"/>
        <v>D:\TOC3201\Methods\StomDOC.met</v>
      </c>
      <c r="F82" t="str">
        <f t="shared" si="16"/>
        <v>D:\TOC3201\CalCurves\StomDOC2.2017_06_16_16_17_28.cal</v>
      </c>
      <c r="G82">
        <v>1</v>
      </c>
      <c r="H82" t="str">
        <f>""</f>
        <v/>
      </c>
      <c r="I82" t="str">
        <f>"6/16/2017 11:14:32 PM"</f>
        <v>6/16/2017 11:14:32 PM</v>
      </c>
      <c r="J82" t="str">
        <f t="shared" si="17"/>
        <v>1</v>
      </c>
      <c r="K82" t="str">
        <f>"1"</f>
        <v>1</v>
      </c>
      <c r="L82" t="str">
        <f t="shared" si="19"/>
        <v>TC</v>
      </c>
      <c r="M82" t="str">
        <f>"4.302"</f>
        <v>4.302</v>
      </c>
      <c r="N82" t="str">
        <f>"1.098"</f>
        <v>1.098</v>
      </c>
      <c r="O82" t="str">
        <f>"TC:1.138mg/L"</f>
        <v>TC:1.138mg/L</v>
      </c>
      <c r="P82">
        <v>0</v>
      </c>
      <c r="Q82" t="str">
        <f t="shared" si="20"/>
        <v>50</v>
      </c>
    </row>
    <row r="83" spans="1:17" x14ac:dyDescent="0.25">
      <c r="A83" t="str">
        <f t="shared" si="14"/>
        <v>Unknown</v>
      </c>
      <c r="B83" t="str">
        <f t="shared" si="18"/>
        <v>TC</v>
      </c>
      <c r="C83" t="str">
        <f>"Vial 27"</f>
        <v>Vial 27</v>
      </c>
      <c r="D83" t="str">
        <f>"Untitled27"</f>
        <v>Untitled27</v>
      </c>
      <c r="E83" t="str">
        <f t="shared" si="15"/>
        <v>D:\TOC3201\Methods\StomDOC.met</v>
      </c>
      <c r="F83" t="str">
        <f t="shared" si="16"/>
        <v>D:\TOC3201\CalCurves\StomDOC2.2017_06_16_16_17_28.cal</v>
      </c>
      <c r="G83">
        <v>1</v>
      </c>
      <c r="H83" t="str">
        <f>""</f>
        <v/>
      </c>
      <c r="I83" t="str">
        <f>"6/16/2017 11:18:39 PM"</f>
        <v>6/16/2017 11:18:39 PM</v>
      </c>
      <c r="J83" t="str">
        <f t="shared" si="17"/>
        <v>1</v>
      </c>
      <c r="K83" t="str">
        <f>"2"</f>
        <v>2</v>
      </c>
      <c r="L83" t="str">
        <f t="shared" si="19"/>
        <v>TC</v>
      </c>
      <c r="M83" t="str">
        <f>"4.619"</f>
        <v>4.619</v>
      </c>
      <c r="N83" t="str">
        <f>"1.178"</f>
        <v>1.178</v>
      </c>
      <c r="O83" t="str">
        <f>"TC:1.138mg/L"</f>
        <v>TC:1.138mg/L</v>
      </c>
      <c r="P83">
        <v>0</v>
      </c>
      <c r="Q83" t="str">
        <f t="shared" si="20"/>
        <v>50</v>
      </c>
    </row>
    <row r="84" spans="1:17" x14ac:dyDescent="0.25">
      <c r="A84" t="str">
        <f t="shared" si="14"/>
        <v>Unknown</v>
      </c>
      <c r="B84" t="str">
        <f t="shared" si="18"/>
        <v>TC</v>
      </c>
      <c r="C84" t="str">
        <f>"Vial 27"</f>
        <v>Vial 27</v>
      </c>
      <c r="D84" t="str">
        <f>"Untitled27"</f>
        <v>Untitled27</v>
      </c>
      <c r="E84" t="str">
        <f t="shared" si="15"/>
        <v>D:\TOC3201\Methods\StomDOC.met</v>
      </c>
      <c r="F84" t="str">
        <f t="shared" si="16"/>
        <v>D:\TOC3201\CalCurves\StomDOC2.2017_06_16_16_17_28.cal</v>
      </c>
      <c r="G84">
        <v>1</v>
      </c>
      <c r="H84" t="str">
        <f>""</f>
        <v/>
      </c>
      <c r="I84" t="str">
        <f>"6/16/2017 11:22:39 PM"</f>
        <v>6/16/2017 11:22:39 PM</v>
      </c>
      <c r="J84" t="str">
        <f t="shared" si="17"/>
        <v>1</v>
      </c>
      <c r="K84" t="str">
        <f>"3"</f>
        <v>3</v>
      </c>
      <c r="L84" t="str">
        <f t="shared" si="19"/>
        <v>TC</v>
      </c>
      <c r="M84" t="str">
        <f>"3.650"</f>
        <v>3.650</v>
      </c>
      <c r="N84" t="str">
        <f>"0.9312"</f>
        <v>0.9312</v>
      </c>
      <c r="O84" t="str">
        <f>"TC:1.138mg/L"</f>
        <v>TC:1.138mg/L</v>
      </c>
      <c r="P84">
        <v>1</v>
      </c>
      <c r="Q84" t="str">
        <f t="shared" si="20"/>
        <v>50</v>
      </c>
    </row>
    <row r="85" spans="1:17" x14ac:dyDescent="0.25">
      <c r="A85" t="str">
        <f t="shared" si="14"/>
        <v>Unknown</v>
      </c>
      <c r="B85" t="str">
        <f t="shared" si="18"/>
        <v>TC</v>
      </c>
      <c r="C85" t="str">
        <f>"Vial 28"</f>
        <v>Vial 28</v>
      </c>
      <c r="D85" t="str">
        <f>"Untitled28"</f>
        <v>Untitled28</v>
      </c>
      <c r="E85" t="str">
        <f t="shared" si="15"/>
        <v>D:\TOC3201\Methods\StomDOC.met</v>
      </c>
      <c r="F85" t="str">
        <f t="shared" si="16"/>
        <v>D:\TOC3201\CalCurves\StomDOC2.2017_06_16_16_17_28.cal</v>
      </c>
      <c r="G85">
        <v>1</v>
      </c>
      <c r="H85" t="str">
        <f>""</f>
        <v/>
      </c>
      <c r="I85" t="str">
        <f>"6/16/2017 11:30:36 PM"</f>
        <v>6/16/2017 11:30:36 PM</v>
      </c>
      <c r="J85" t="str">
        <f t="shared" si="17"/>
        <v>1</v>
      </c>
      <c r="K85" t="str">
        <f>"1"</f>
        <v>1</v>
      </c>
      <c r="L85" t="str">
        <f t="shared" si="19"/>
        <v>TC</v>
      </c>
      <c r="M85" t="str">
        <f>"31.56"</f>
        <v>31.56</v>
      </c>
      <c r="N85" t="str">
        <f>"8.052"</f>
        <v>8.052</v>
      </c>
      <c r="O85" t="str">
        <f>"TC:8.525mg/L"</f>
        <v>TC:8.525mg/L</v>
      </c>
      <c r="P85">
        <v>1</v>
      </c>
      <c r="Q85" t="str">
        <f t="shared" si="20"/>
        <v>50</v>
      </c>
    </row>
    <row r="86" spans="1:17" x14ac:dyDescent="0.25">
      <c r="A86" t="str">
        <f t="shared" si="14"/>
        <v>Unknown</v>
      </c>
      <c r="B86" t="str">
        <f t="shared" si="18"/>
        <v>TC</v>
      </c>
      <c r="C86" t="str">
        <f>"Vial 28"</f>
        <v>Vial 28</v>
      </c>
      <c r="D86" t="str">
        <f>"Untitled28"</f>
        <v>Untitled28</v>
      </c>
      <c r="E86" t="str">
        <f t="shared" si="15"/>
        <v>D:\TOC3201\Methods\StomDOC.met</v>
      </c>
      <c r="F86" t="str">
        <f t="shared" si="16"/>
        <v>D:\TOC3201\CalCurves\StomDOC2.2017_06_16_16_17_28.cal</v>
      </c>
      <c r="G86">
        <v>1</v>
      </c>
      <c r="H86" t="str">
        <f>""</f>
        <v/>
      </c>
      <c r="I86" t="str">
        <f>"6/16/2017 11:35:27 PM"</f>
        <v>6/16/2017 11:35:27 PM</v>
      </c>
      <c r="J86" t="str">
        <f t="shared" si="17"/>
        <v>1</v>
      </c>
      <c r="K86" t="str">
        <f>"2"</f>
        <v>2</v>
      </c>
      <c r="L86" t="str">
        <f t="shared" si="19"/>
        <v>TC</v>
      </c>
      <c r="M86" t="str">
        <f>"33.13"</f>
        <v>33.13</v>
      </c>
      <c r="N86" t="str">
        <f>"8.453"</f>
        <v>8.453</v>
      </c>
      <c r="O86" t="str">
        <f>"TC:8.525mg/L"</f>
        <v>TC:8.525mg/L</v>
      </c>
      <c r="P86">
        <v>0</v>
      </c>
      <c r="Q86" t="str">
        <f t="shared" si="20"/>
        <v>50</v>
      </c>
    </row>
    <row r="87" spans="1:17" x14ac:dyDescent="0.25">
      <c r="A87" t="str">
        <f t="shared" si="14"/>
        <v>Unknown</v>
      </c>
      <c r="B87" t="str">
        <f t="shared" si="18"/>
        <v>TC</v>
      </c>
      <c r="C87" t="str">
        <f>"Vial 28"</f>
        <v>Vial 28</v>
      </c>
      <c r="D87" t="str">
        <f>"Untitled28"</f>
        <v>Untitled28</v>
      </c>
      <c r="E87" t="str">
        <f t="shared" si="15"/>
        <v>D:\TOC3201\Methods\StomDOC.met</v>
      </c>
      <c r="F87" t="str">
        <f t="shared" si="16"/>
        <v>D:\TOC3201\CalCurves\StomDOC2.2017_06_16_16_17_28.cal</v>
      </c>
      <c r="G87">
        <v>1</v>
      </c>
      <c r="H87" t="str">
        <f>""</f>
        <v/>
      </c>
      <c r="I87" t="str">
        <f>"6/16/2017 11:40:14 PM"</f>
        <v>6/16/2017 11:40:14 PM</v>
      </c>
      <c r="J87" t="str">
        <f t="shared" si="17"/>
        <v>1</v>
      </c>
      <c r="K87" t="str">
        <f>"3"</f>
        <v>3</v>
      </c>
      <c r="L87" t="str">
        <f t="shared" si="19"/>
        <v>TC</v>
      </c>
      <c r="M87" t="str">
        <f>"33.70"</f>
        <v>33.70</v>
      </c>
      <c r="N87" t="str">
        <f>"8.598"</f>
        <v>8.598</v>
      </c>
      <c r="O87" t="str">
        <f>"TC:8.525mg/L"</f>
        <v>TC:8.525mg/L</v>
      </c>
      <c r="P87">
        <v>0</v>
      </c>
      <c r="Q87" t="str">
        <f t="shared" si="20"/>
        <v>50</v>
      </c>
    </row>
    <row r="88" spans="1:17" x14ac:dyDescent="0.25">
      <c r="A88" t="str">
        <f t="shared" si="14"/>
        <v>Unknown</v>
      </c>
      <c r="B88" t="str">
        <f t="shared" si="18"/>
        <v>TC</v>
      </c>
      <c r="C88" t="str">
        <f>"Vial 29"</f>
        <v>Vial 29</v>
      </c>
      <c r="D88" t="str">
        <f>"Untitled29"</f>
        <v>Untitled29</v>
      </c>
      <c r="E88" t="str">
        <f t="shared" si="15"/>
        <v>D:\TOC3201\Methods\StomDOC.met</v>
      </c>
      <c r="F88" t="str">
        <f t="shared" si="16"/>
        <v>D:\TOC3201\CalCurves\StomDOC2.2017_06_16_16_17_28.cal</v>
      </c>
      <c r="G88">
        <v>1</v>
      </c>
      <c r="H88" t="str">
        <f>""</f>
        <v/>
      </c>
      <c r="I88" t="str">
        <f>"6/16/2017 11:48:13 PM"</f>
        <v>6/16/2017 11:48:13 PM</v>
      </c>
      <c r="J88" t="str">
        <f t="shared" si="17"/>
        <v>1</v>
      </c>
      <c r="K88" t="str">
        <f>"1"</f>
        <v>1</v>
      </c>
      <c r="L88" t="str">
        <f t="shared" si="19"/>
        <v>TC</v>
      </c>
      <c r="M88" t="str">
        <f>"30.30"</f>
        <v>30.30</v>
      </c>
      <c r="N88" t="str">
        <f>"7.730"</f>
        <v>7.730</v>
      </c>
      <c r="O88" t="str">
        <f>"TC:7.664mg/L"</f>
        <v>TC:7.664mg/L</v>
      </c>
      <c r="P88">
        <v>0</v>
      </c>
      <c r="Q88" t="str">
        <f t="shared" si="20"/>
        <v>50</v>
      </c>
    </row>
    <row r="89" spans="1:17" x14ac:dyDescent="0.25">
      <c r="A89" t="str">
        <f t="shared" ref="A89:A120" si="21">"Unknown"</f>
        <v>Unknown</v>
      </c>
      <c r="B89" t="str">
        <f t="shared" si="18"/>
        <v>TC</v>
      </c>
      <c r="C89" t="str">
        <f>"Vial 29"</f>
        <v>Vial 29</v>
      </c>
      <c r="D89" t="str">
        <f>"Untitled29"</f>
        <v>Untitled29</v>
      </c>
      <c r="E89" t="str">
        <f t="shared" ref="E89:E120" si="22">"D:\TOC3201\Methods\StomDOC.met"</f>
        <v>D:\TOC3201\Methods\StomDOC.met</v>
      </c>
      <c r="F89" t="str">
        <f t="shared" ref="F89:F120" si="23">"D:\TOC3201\CalCurves\StomDOC2.2017_06_16_16_17_28.cal"</f>
        <v>D:\TOC3201\CalCurves\StomDOC2.2017_06_16_16_17_28.cal</v>
      </c>
      <c r="G89">
        <v>1</v>
      </c>
      <c r="H89" t="str">
        <f>""</f>
        <v/>
      </c>
      <c r="I89" t="str">
        <f>"6/16/2017 11:53:02 PM"</f>
        <v>6/16/2017 11:53:02 PM</v>
      </c>
      <c r="J89" t="str">
        <f t="shared" si="17"/>
        <v>1</v>
      </c>
      <c r="K89" t="str">
        <f>"2"</f>
        <v>2</v>
      </c>
      <c r="L89" t="str">
        <f t="shared" si="19"/>
        <v>TC</v>
      </c>
      <c r="M89" t="str">
        <f>"31.34"</f>
        <v>31.34</v>
      </c>
      <c r="N89" t="str">
        <f>"7.996"</f>
        <v>7.996</v>
      </c>
      <c r="O89" t="str">
        <f>"TC:7.664mg/L"</f>
        <v>TC:7.664mg/L</v>
      </c>
      <c r="P89">
        <v>1</v>
      </c>
      <c r="Q89" t="str">
        <f t="shared" si="20"/>
        <v>50</v>
      </c>
    </row>
    <row r="90" spans="1:17" x14ac:dyDescent="0.25">
      <c r="A90" t="str">
        <f t="shared" si="21"/>
        <v>Unknown</v>
      </c>
      <c r="B90" t="str">
        <f t="shared" si="18"/>
        <v>TC</v>
      </c>
      <c r="C90" t="str">
        <f>"Vial 29"</f>
        <v>Vial 29</v>
      </c>
      <c r="D90" t="str">
        <f>"Untitled29"</f>
        <v>Untitled29</v>
      </c>
      <c r="E90" t="str">
        <f t="shared" si="22"/>
        <v>D:\TOC3201\Methods\StomDOC.met</v>
      </c>
      <c r="F90" t="str">
        <f t="shared" si="23"/>
        <v>D:\TOC3201\CalCurves\StomDOC2.2017_06_16_16_17_28.cal</v>
      </c>
      <c r="G90">
        <v>1</v>
      </c>
      <c r="H90" t="str">
        <f>""</f>
        <v/>
      </c>
      <c r="I90" t="str">
        <f>"6/16/2017 11:57:48 PM"</f>
        <v>6/16/2017 11:57:48 PM</v>
      </c>
      <c r="J90" t="str">
        <f t="shared" ref="J90:J121" si="24">"1"</f>
        <v>1</v>
      </c>
      <c r="K90" t="str">
        <f>"3"</f>
        <v>3</v>
      </c>
      <c r="L90" t="str">
        <f t="shared" si="19"/>
        <v>TC</v>
      </c>
      <c r="M90" t="str">
        <f>"29.78"</f>
        <v>29.78</v>
      </c>
      <c r="N90" t="str">
        <f>"7.598"</f>
        <v>7.598</v>
      </c>
      <c r="O90" t="str">
        <f>"TC:7.664mg/L"</f>
        <v>TC:7.664mg/L</v>
      </c>
      <c r="P90">
        <v>0</v>
      </c>
      <c r="Q90" t="str">
        <f t="shared" si="20"/>
        <v>50</v>
      </c>
    </row>
    <row r="91" spans="1:17" x14ac:dyDescent="0.25">
      <c r="A91" t="str">
        <f t="shared" si="21"/>
        <v>Unknown</v>
      </c>
      <c r="B91" t="str">
        <f t="shared" si="18"/>
        <v>TC</v>
      </c>
      <c r="C91" t="str">
        <f>"Vial 30"</f>
        <v>Vial 30</v>
      </c>
      <c r="D91" t="str">
        <f>"Untitled30"</f>
        <v>Untitled30</v>
      </c>
      <c r="E91" t="str">
        <f t="shared" si="22"/>
        <v>D:\TOC3201\Methods\StomDOC.met</v>
      </c>
      <c r="F91" t="str">
        <f t="shared" si="23"/>
        <v>D:\TOC3201\CalCurves\StomDOC2.2017_06_16_16_17_28.cal</v>
      </c>
      <c r="G91">
        <v>1</v>
      </c>
      <c r="H91" t="str">
        <f>""</f>
        <v/>
      </c>
      <c r="I91" t="str">
        <f>"6/17/2017 12:05:42 AM"</f>
        <v>6/17/2017 12:05:42 AM</v>
      </c>
      <c r="J91" t="str">
        <f t="shared" si="24"/>
        <v>1</v>
      </c>
      <c r="K91" t="str">
        <f>"1"</f>
        <v>1</v>
      </c>
      <c r="L91" t="str">
        <f t="shared" si="19"/>
        <v>TC</v>
      </c>
      <c r="M91" t="str">
        <f>"25.71"</f>
        <v>25.71</v>
      </c>
      <c r="N91" t="str">
        <f>"6.559"</f>
        <v>6.559</v>
      </c>
      <c r="O91" t="str">
        <f>"TC:6.545mg/L"</f>
        <v>TC:6.545mg/L</v>
      </c>
      <c r="P91">
        <v>0</v>
      </c>
      <c r="Q91" t="str">
        <f t="shared" si="20"/>
        <v>50</v>
      </c>
    </row>
    <row r="92" spans="1:17" x14ac:dyDescent="0.25">
      <c r="A92" t="str">
        <f t="shared" si="21"/>
        <v>Unknown</v>
      </c>
      <c r="B92" t="str">
        <f t="shared" si="18"/>
        <v>TC</v>
      </c>
      <c r="C92" t="str">
        <f>"Vial 30"</f>
        <v>Vial 30</v>
      </c>
      <c r="D92" t="str">
        <f>"Untitled30"</f>
        <v>Untitled30</v>
      </c>
      <c r="E92" t="str">
        <f t="shared" si="22"/>
        <v>D:\TOC3201\Methods\StomDOC.met</v>
      </c>
      <c r="F92" t="str">
        <f t="shared" si="23"/>
        <v>D:\TOC3201\CalCurves\StomDOC2.2017_06_16_16_17_28.cal</v>
      </c>
      <c r="G92">
        <v>1</v>
      </c>
      <c r="H92" t="str">
        <f>""</f>
        <v/>
      </c>
      <c r="I92" t="str">
        <f>"6/17/2017 12:10:27 AM"</f>
        <v>6/17/2017 12:10:27 AM</v>
      </c>
      <c r="J92" t="str">
        <f t="shared" si="24"/>
        <v>1</v>
      </c>
      <c r="K92" t="str">
        <f>"2"</f>
        <v>2</v>
      </c>
      <c r="L92" t="str">
        <f t="shared" si="19"/>
        <v>TC</v>
      </c>
      <c r="M92" t="str">
        <f>"25.60"</f>
        <v>25.60</v>
      </c>
      <c r="N92" t="str">
        <f>"6.531"</f>
        <v>6.531</v>
      </c>
      <c r="O92" t="str">
        <f>"TC:6.545mg/L"</f>
        <v>TC:6.545mg/L</v>
      </c>
      <c r="P92">
        <v>0</v>
      </c>
      <c r="Q92" t="str">
        <f t="shared" si="20"/>
        <v>50</v>
      </c>
    </row>
    <row r="93" spans="1:17" x14ac:dyDescent="0.25">
      <c r="A93" t="str">
        <f t="shared" si="21"/>
        <v>Unknown</v>
      </c>
      <c r="B93" t="str">
        <f t="shared" si="18"/>
        <v>TC</v>
      </c>
      <c r="C93" t="str">
        <f>"Vial 31"</f>
        <v>Vial 31</v>
      </c>
      <c r="D93" t="str">
        <f>"Untitled31"</f>
        <v>Untitled31</v>
      </c>
      <c r="E93" t="str">
        <f t="shared" si="22"/>
        <v>D:\TOC3201\Methods\StomDOC.met</v>
      </c>
      <c r="F93" t="str">
        <f t="shared" si="23"/>
        <v>D:\TOC3201\CalCurves\StomDOC2.2017_06_16_16_17_28.cal</v>
      </c>
      <c r="G93">
        <v>1</v>
      </c>
      <c r="H93" t="str">
        <f>""</f>
        <v/>
      </c>
      <c r="I93" t="str">
        <f>"6/17/2017 12:18:30 AM"</f>
        <v>6/17/2017 12:18:30 AM</v>
      </c>
      <c r="J93" t="str">
        <f t="shared" si="24"/>
        <v>1</v>
      </c>
      <c r="K93" t="str">
        <f>"1"</f>
        <v>1</v>
      </c>
      <c r="L93" t="str">
        <f t="shared" si="19"/>
        <v>TC</v>
      </c>
      <c r="M93" t="str">
        <f>"29.69"</f>
        <v>29.69</v>
      </c>
      <c r="N93" t="str">
        <f>"7.575"</f>
        <v>7.575</v>
      </c>
      <c r="O93" t="str">
        <f>"TC:7.547mg/L"</f>
        <v>TC:7.547mg/L</v>
      </c>
      <c r="P93">
        <v>0</v>
      </c>
      <c r="Q93" t="str">
        <f t="shared" si="20"/>
        <v>50</v>
      </c>
    </row>
    <row r="94" spans="1:17" x14ac:dyDescent="0.25">
      <c r="A94" t="str">
        <f t="shared" si="21"/>
        <v>Unknown</v>
      </c>
      <c r="B94" t="str">
        <f t="shared" si="18"/>
        <v>TC</v>
      </c>
      <c r="C94" t="str">
        <f>"Vial 31"</f>
        <v>Vial 31</v>
      </c>
      <c r="D94" t="str">
        <f>"Untitled31"</f>
        <v>Untitled31</v>
      </c>
      <c r="E94" t="str">
        <f t="shared" si="22"/>
        <v>D:\TOC3201\Methods\StomDOC.met</v>
      </c>
      <c r="F94" t="str">
        <f t="shared" si="23"/>
        <v>D:\TOC3201\CalCurves\StomDOC2.2017_06_16_16_17_28.cal</v>
      </c>
      <c r="G94">
        <v>1</v>
      </c>
      <c r="H94" t="str">
        <f>""</f>
        <v/>
      </c>
      <c r="I94" t="str">
        <f>"6/17/2017 12:23:16 AM"</f>
        <v>6/17/2017 12:23:16 AM</v>
      </c>
      <c r="J94" t="str">
        <f t="shared" si="24"/>
        <v>1</v>
      </c>
      <c r="K94" t="str">
        <f>"2"</f>
        <v>2</v>
      </c>
      <c r="L94" t="str">
        <f t="shared" si="19"/>
        <v>TC</v>
      </c>
      <c r="M94" t="str">
        <f>"29.47"</f>
        <v>29.47</v>
      </c>
      <c r="N94" t="str">
        <f>"7.519"</f>
        <v>7.519</v>
      </c>
      <c r="O94" t="str">
        <f>"TC:7.547mg/L"</f>
        <v>TC:7.547mg/L</v>
      </c>
      <c r="P94">
        <v>0</v>
      </c>
      <c r="Q94" t="str">
        <f t="shared" si="20"/>
        <v>50</v>
      </c>
    </row>
    <row r="95" spans="1:17" x14ac:dyDescent="0.25">
      <c r="A95" t="str">
        <f t="shared" si="21"/>
        <v>Unknown</v>
      </c>
      <c r="B95" t="str">
        <f t="shared" si="18"/>
        <v>TC</v>
      </c>
      <c r="C95" t="str">
        <f>"Vial 32"</f>
        <v>Vial 32</v>
      </c>
      <c r="D95" t="str">
        <f>"Untitled32"</f>
        <v>Untitled32</v>
      </c>
      <c r="E95" t="str">
        <f t="shared" si="22"/>
        <v>D:\TOC3201\Methods\StomDOC.met</v>
      </c>
      <c r="F95" t="str">
        <f t="shared" si="23"/>
        <v>D:\TOC3201\CalCurves\StomDOC2.2017_06_16_16_17_28.cal</v>
      </c>
      <c r="G95">
        <v>1</v>
      </c>
      <c r="H95" t="str">
        <f>""</f>
        <v/>
      </c>
      <c r="I95" t="str">
        <f>"6/17/2017 12:31:04 AM"</f>
        <v>6/17/2017 12:31:04 AM</v>
      </c>
      <c r="J95" t="str">
        <f t="shared" si="24"/>
        <v>1</v>
      </c>
      <c r="K95" t="str">
        <f>"1"</f>
        <v>1</v>
      </c>
      <c r="L95" t="str">
        <f t="shared" si="19"/>
        <v>TC</v>
      </c>
      <c r="M95" t="str">
        <f>"24.86"</f>
        <v>24.86</v>
      </c>
      <c r="N95" t="str">
        <f>"6.343"</f>
        <v>6.343</v>
      </c>
      <c r="O95" t="str">
        <f>"TC:6.278mg/L"</f>
        <v>TC:6.278mg/L</v>
      </c>
      <c r="P95">
        <v>0</v>
      </c>
      <c r="Q95" t="str">
        <f t="shared" si="20"/>
        <v>50</v>
      </c>
    </row>
    <row r="96" spans="1:17" x14ac:dyDescent="0.25">
      <c r="A96" t="str">
        <f t="shared" si="21"/>
        <v>Unknown</v>
      </c>
      <c r="B96" t="str">
        <f t="shared" si="18"/>
        <v>TC</v>
      </c>
      <c r="C96" t="str">
        <f>"Vial 32"</f>
        <v>Vial 32</v>
      </c>
      <c r="D96" t="str">
        <f>"Untitled32"</f>
        <v>Untitled32</v>
      </c>
      <c r="E96" t="str">
        <f t="shared" si="22"/>
        <v>D:\TOC3201\Methods\StomDOC.met</v>
      </c>
      <c r="F96" t="str">
        <f t="shared" si="23"/>
        <v>D:\TOC3201\CalCurves\StomDOC2.2017_06_16_16_17_28.cal</v>
      </c>
      <c r="G96">
        <v>1</v>
      </c>
      <c r="H96" t="str">
        <f>""</f>
        <v/>
      </c>
      <c r="I96" t="str">
        <f>"6/17/2017 12:35:40 AM"</f>
        <v>6/17/2017 12:35:40 AM</v>
      </c>
      <c r="J96" t="str">
        <f t="shared" si="24"/>
        <v>1</v>
      </c>
      <c r="K96" t="str">
        <f>"2"</f>
        <v>2</v>
      </c>
      <c r="L96" t="str">
        <f t="shared" si="19"/>
        <v>TC</v>
      </c>
      <c r="M96" t="str">
        <f>"24.35"</f>
        <v>24.35</v>
      </c>
      <c r="N96" t="str">
        <f>"6.212"</f>
        <v>6.212</v>
      </c>
      <c r="O96" t="str">
        <f>"TC:6.278mg/L"</f>
        <v>TC:6.278mg/L</v>
      </c>
      <c r="P96">
        <v>0</v>
      </c>
      <c r="Q96" t="str">
        <f t="shared" si="20"/>
        <v>50</v>
      </c>
    </row>
    <row r="97" spans="1:17" x14ac:dyDescent="0.25">
      <c r="A97" t="str">
        <f t="shared" si="21"/>
        <v>Unknown</v>
      </c>
      <c r="B97" t="str">
        <f t="shared" si="18"/>
        <v>TC</v>
      </c>
      <c r="C97" t="str">
        <f>"Vial 33"</f>
        <v>Vial 33</v>
      </c>
      <c r="D97" t="str">
        <f>"Untitled33"</f>
        <v>Untitled33</v>
      </c>
      <c r="E97" t="str">
        <f t="shared" si="22"/>
        <v>D:\TOC3201\Methods\StomDOC.met</v>
      </c>
      <c r="F97" t="str">
        <f t="shared" si="23"/>
        <v>D:\TOC3201\CalCurves\StomDOC2.2017_06_16_16_17_28.cal</v>
      </c>
      <c r="G97">
        <v>1</v>
      </c>
      <c r="H97" t="str">
        <f>""</f>
        <v/>
      </c>
      <c r="I97" t="str">
        <f>"6/17/2017 12:43:34 AM"</f>
        <v>6/17/2017 12:43:34 AM</v>
      </c>
      <c r="J97" t="str">
        <f t="shared" si="24"/>
        <v>1</v>
      </c>
      <c r="K97" t="str">
        <f>"1"</f>
        <v>1</v>
      </c>
      <c r="L97" t="str">
        <f t="shared" si="19"/>
        <v>TC</v>
      </c>
      <c r="M97" t="str">
        <f>"27.13"</f>
        <v>27.13</v>
      </c>
      <c r="N97" t="str">
        <f>"6.922"</f>
        <v>6.922</v>
      </c>
      <c r="O97" t="str">
        <f>"TC:7.005mg/L"</f>
        <v>TC:7.005mg/L</v>
      </c>
      <c r="P97">
        <v>0</v>
      </c>
      <c r="Q97" t="str">
        <f t="shared" si="20"/>
        <v>50</v>
      </c>
    </row>
    <row r="98" spans="1:17" x14ac:dyDescent="0.25">
      <c r="A98" t="str">
        <f t="shared" si="21"/>
        <v>Unknown</v>
      </c>
      <c r="B98" t="str">
        <f t="shared" si="18"/>
        <v>TC</v>
      </c>
      <c r="C98" t="str">
        <f>"Vial 33"</f>
        <v>Vial 33</v>
      </c>
      <c r="D98" t="str">
        <f>"Untitled33"</f>
        <v>Untitled33</v>
      </c>
      <c r="E98" t="str">
        <f t="shared" si="22"/>
        <v>D:\TOC3201\Methods\StomDOC.met</v>
      </c>
      <c r="F98" t="str">
        <f t="shared" si="23"/>
        <v>D:\TOC3201\CalCurves\StomDOC2.2017_06_16_16_17_28.cal</v>
      </c>
      <c r="G98">
        <v>1</v>
      </c>
      <c r="H98" t="str">
        <f>""</f>
        <v/>
      </c>
      <c r="I98" t="str">
        <f>"6/17/2017 12:48:15 AM"</f>
        <v>6/17/2017 12:48:15 AM</v>
      </c>
      <c r="J98" t="str">
        <f t="shared" si="24"/>
        <v>1</v>
      </c>
      <c r="K98" t="str">
        <f>"2"</f>
        <v>2</v>
      </c>
      <c r="L98" t="str">
        <f t="shared" si="19"/>
        <v>TC</v>
      </c>
      <c r="M98" t="str">
        <f>"25.89"</f>
        <v>25.89</v>
      </c>
      <c r="N98" t="str">
        <f>"6.605"</f>
        <v>6.605</v>
      </c>
      <c r="O98" t="str">
        <f>"TC:7.005mg/L"</f>
        <v>TC:7.005mg/L</v>
      </c>
      <c r="P98">
        <v>1</v>
      </c>
      <c r="Q98" t="str">
        <f t="shared" si="20"/>
        <v>50</v>
      </c>
    </row>
    <row r="99" spans="1:17" x14ac:dyDescent="0.25">
      <c r="A99" t="str">
        <f t="shared" si="21"/>
        <v>Unknown</v>
      </c>
      <c r="B99" t="str">
        <f t="shared" si="18"/>
        <v>TC</v>
      </c>
      <c r="C99" t="str">
        <f>"Vial 33"</f>
        <v>Vial 33</v>
      </c>
      <c r="D99" t="str">
        <f>"Untitled33"</f>
        <v>Untitled33</v>
      </c>
      <c r="E99" t="str">
        <f t="shared" si="22"/>
        <v>D:\TOC3201\Methods\StomDOC.met</v>
      </c>
      <c r="F99" t="str">
        <f t="shared" si="23"/>
        <v>D:\TOC3201\CalCurves\StomDOC2.2017_06_16_16_17_28.cal</v>
      </c>
      <c r="G99">
        <v>1</v>
      </c>
      <c r="H99" t="str">
        <f>""</f>
        <v/>
      </c>
      <c r="I99" t="str">
        <f>"6/17/2017 12:52:58 AM"</f>
        <v>6/17/2017 12:52:58 AM</v>
      </c>
      <c r="J99" t="str">
        <f t="shared" si="24"/>
        <v>1</v>
      </c>
      <c r="K99" t="str">
        <f>"3"</f>
        <v>3</v>
      </c>
      <c r="L99" t="str">
        <f t="shared" si="19"/>
        <v>TC</v>
      </c>
      <c r="M99" t="str">
        <f>"27.78"</f>
        <v>27.78</v>
      </c>
      <c r="N99" t="str">
        <f>"7.088"</f>
        <v>7.088</v>
      </c>
      <c r="O99" t="str">
        <f>"TC:7.005mg/L"</f>
        <v>TC:7.005mg/L</v>
      </c>
      <c r="P99">
        <v>0</v>
      </c>
      <c r="Q99" t="str">
        <f t="shared" si="20"/>
        <v>50</v>
      </c>
    </row>
    <row r="100" spans="1:17" x14ac:dyDescent="0.25">
      <c r="A100" t="str">
        <f t="shared" si="21"/>
        <v>Unknown</v>
      </c>
      <c r="B100" t="str">
        <f t="shared" si="18"/>
        <v>TC</v>
      </c>
      <c r="C100" t="str">
        <f>"Vial 34"</f>
        <v>Vial 34</v>
      </c>
      <c r="D100" t="str">
        <f>"Untitled34"</f>
        <v>Untitled34</v>
      </c>
      <c r="E100" t="str">
        <f t="shared" si="22"/>
        <v>D:\TOC3201\Methods\StomDOC.met</v>
      </c>
      <c r="F100" t="str">
        <f t="shared" si="23"/>
        <v>D:\TOC3201\CalCurves\StomDOC2.2017_06_16_16_17_28.cal</v>
      </c>
      <c r="G100">
        <v>1</v>
      </c>
      <c r="H100" t="str">
        <f>""</f>
        <v/>
      </c>
      <c r="I100" t="str">
        <f>"6/17/2017 1:00:47 AM"</f>
        <v>6/17/2017 1:00:47 AM</v>
      </c>
      <c r="J100" t="str">
        <f t="shared" si="24"/>
        <v>1</v>
      </c>
      <c r="K100" t="str">
        <f>"1"</f>
        <v>1</v>
      </c>
      <c r="L100" t="str">
        <f t="shared" si="19"/>
        <v>TC</v>
      </c>
      <c r="M100" t="str">
        <f>"24.92"</f>
        <v>24.92</v>
      </c>
      <c r="N100" t="str">
        <f>"6.358"</f>
        <v>6.358</v>
      </c>
      <c r="O100" t="str">
        <f>"TC:6.956mg/L"</f>
        <v>TC:6.956mg/L</v>
      </c>
      <c r="P100">
        <v>1</v>
      </c>
      <c r="Q100" t="str">
        <f t="shared" si="20"/>
        <v>50</v>
      </c>
    </row>
    <row r="101" spans="1:17" x14ac:dyDescent="0.25">
      <c r="A101" t="str">
        <f t="shared" si="21"/>
        <v>Unknown</v>
      </c>
      <c r="B101" t="str">
        <f t="shared" si="18"/>
        <v>TC</v>
      </c>
      <c r="C101" t="str">
        <f>"Vial 34"</f>
        <v>Vial 34</v>
      </c>
      <c r="D101" t="str">
        <f>"Untitled34"</f>
        <v>Untitled34</v>
      </c>
      <c r="E101" t="str">
        <f t="shared" si="22"/>
        <v>D:\TOC3201\Methods\StomDOC.met</v>
      </c>
      <c r="F101" t="str">
        <f t="shared" si="23"/>
        <v>D:\TOC3201\CalCurves\StomDOC2.2017_06_16_16_17_28.cal</v>
      </c>
      <c r="G101">
        <v>1</v>
      </c>
      <c r="H101" t="str">
        <f>""</f>
        <v/>
      </c>
      <c r="I101" t="str">
        <f>"6/17/2017 1:05:29 AM"</f>
        <v>6/17/2017 1:05:29 AM</v>
      </c>
      <c r="J101" t="str">
        <f t="shared" si="24"/>
        <v>1</v>
      </c>
      <c r="K101" t="str">
        <f>"2"</f>
        <v>2</v>
      </c>
      <c r="L101" t="str">
        <f t="shared" si="19"/>
        <v>TC</v>
      </c>
      <c r="M101" t="str">
        <f>"27.14"</f>
        <v>27.14</v>
      </c>
      <c r="N101" t="str">
        <f>"6.924"</f>
        <v>6.924</v>
      </c>
      <c r="O101" t="str">
        <f>"TC:6.956mg/L"</f>
        <v>TC:6.956mg/L</v>
      </c>
      <c r="P101">
        <v>0</v>
      </c>
      <c r="Q101" t="str">
        <f t="shared" si="20"/>
        <v>50</v>
      </c>
    </row>
    <row r="102" spans="1:17" x14ac:dyDescent="0.25">
      <c r="A102" t="str">
        <f t="shared" si="21"/>
        <v>Unknown</v>
      </c>
      <c r="B102" t="str">
        <f t="shared" si="18"/>
        <v>TC</v>
      </c>
      <c r="C102" t="str">
        <f>"Vial 34"</f>
        <v>Vial 34</v>
      </c>
      <c r="D102" t="str">
        <f>"Untitled34"</f>
        <v>Untitled34</v>
      </c>
      <c r="E102" t="str">
        <f t="shared" si="22"/>
        <v>D:\TOC3201\Methods\StomDOC.met</v>
      </c>
      <c r="F102" t="str">
        <f t="shared" si="23"/>
        <v>D:\TOC3201\CalCurves\StomDOC2.2017_06_16_16_17_28.cal</v>
      </c>
      <c r="G102">
        <v>1</v>
      </c>
      <c r="H102" t="str">
        <f>""</f>
        <v/>
      </c>
      <c r="I102" t="str">
        <f>"6/17/2017 1:10:11 AM"</f>
        <v>6/17/2017 1:10:11 AM</v>
      </c>
      <c r="J102" t="str">
        <f t="shared" si="24"/>
        <v>1</v>
      </c>
      <c r="K102" t="str">
        <f>"3"</f>
        <v>3</v>
      </c>
      <c r="L102" t="str">
        <f t="shared" si="19"/>
        <v>TC</v>
      </c>
      <c r="M102" t="str">
        <f>"27.39"</f>
        <v>27.39</v>
      </c>
      <c r="N102" t="str">
        <f>"6.988"</f>
        <v>6.988</v>
      </c>
      <c r="O102" t="str">
        <f>"TC:6.956mg/L"</f>
        <v>TC:6.956mg/L</v>
      </c>
      <c r="P102">
        <v>0</v>
      </c>
      <c r="Q102" t="str">
        <f t="shared" si="20"/>
        <v>50</v>
      </c>
    </row>
    <row r="103" spans="1:17" x14ac:dyDescent="0.25">
      <c r="A103" t="str">
        <f t="shared" si="21"/>
        <v>Unknown</v>
      </c>
      <c r="B103" t="str">
        <f t="shared" si="18"/>
        <v>TC</v>
      </c>
      <c r="C103" t="str">
        <f>"Vial 35"</f>
        <v>Vial 35</v>
      </c>
      <c r="D103" t="str">
        <f>"Untitled35"</f>
        <v>Untitled35</v>
      </c>
      <c r="E103" t="str">
        <f t="shared" si="22"/>
        <v>D:\TOC3201\Methods\StomDOC.met</v>
      </c>
      <c r="F103" t="str">
        <f t="shared" si="23"/>
        <v>D:\TOC3201\CalCurves\StomDOC2.2017_06_16_16_17_28.cal</v>
      </c>
      <c r="G103">
        <v>1</v>
      </c>
      <c r="H103" t="str">
        <f>""</f>
        <v/>
      </c>
      <c r="I103" t="str">
        <f>"6/17/2017 1:18:02 AM"</f>
        <v>6/17/2017 1:18:02 AM</v>
      </c>
      <c r="J103" t="str">
        <f t="shared" si="24"/>
        <v>1</v>
      </c>
      <c r="K103" t="str">
        <f>"1"</f>
        <v>1</v>
      </c>
      <c r="L103" t="str">
        <f t="shared" si="19"/>
        <v>TC</v>
      </c>
      <c r="M103" t="str">
        <f>"25.39"</f>
        <v>25.39</v>
      </c>
      <c r="N103" t="str">
        <f>"6.478"</f>
        <v>6.478</v>
      </c>
      <c r="O103" t="str">
        <f>"TC:7.204mg/L"</f>
        <v>TC:7.204mg/L</v>
      </c>
      <c r="P103">
        <v>1</v>
      </c>
      <c r="Q103" t="str">
        <f t="shared" si="20"/>
        <v>50</v>
      </c>
    </row>
    <row r="104" spans="1:17" x14ac:dyDescent="0.25">
      <c r="A104" t="str">
        <f t="shared" si="21"/>
        <v>Unknown</v>
      </c>
      <c r="B104" t="str">
        <f t="shared" si="18"/>
        <v>TC</v>
      </c>
      <c r="C104" t="str">
        <f>"Vial 35"</f>
        <v>Vial 35</v>
      </c>
      <c r="D104" t="str">
        <f>"Untitled35"</f>
        <v>Untitled35</v>
      </c>
      <c r="E104" t="str">
        <f t="shared" si="22"/>
        <v>D:\TOC3201\Methods\StomDOC.met</v>
      </c>
      <c r="F104" t="str">
        <f t="shared" si="23"/>
        <v>D:\TOC3201\CalCurves\StomDOC2.2017_06_16_16_17_28.cal</v>
      </c>
      <c r="G104">
        <v>1</v>
      </c>
      <c r="H104" t="str">
        <f>""</f>
        <v/>
      </c>
      <c r="I104" t="str">
        <f>"6/17/2017 1:22:45 AM"</f>
        <v>6/17/2017 1:22:45 AM</v>
      </c>
      <c r="J104" t="str">
        <f t="shared" si="24"/>
        <v>1</v>
      </c>
      <c r="K104" t="str">
        <f>"2"</f>
        <v>2</v>
      </c>
      <c r="L104" t="str">
        <f t="shared" si="19"/>
        <v>TC</v>
      </c>
      <c r="M104" t="str">
        <f>"28.39"</f>
        <v>28.39</v>
      </c>
      <c r="N104" t="str">
        <f>"7.243"</f>
        <v>7.243</v>
      </c>
      <c r="O104" t="str">
        <f>"TC:7.204mg/L"</f>
        <v>TC:7.204mg/L</v>
      </c>
      <c r="P104">
        <v>0</v>
      </c>
      <c r="Q104" t="str">
        <f t="shared" si="20"/>
        <v>50</v>
      </c>
    </row>
    <row r="105" spans="1:17" x14ac:dyDescent="0.25">
      <c r="A105" t="str">
        <f t="shared" si="21"/>
        <v>Unknown</v>
      </c>
      <c r="B105" t="str">
        <f t="shared" si="18"/>
        <v>TC</v>
      </c>
      <c r="C105" t="str">
        <f>"Vial 35"</f>
        <v>Vial 35</v>
      </c>
      <c r="D105" t="str">
        <f>"Untitled35"</f>
        <v>Untitled35</v>
      </c>
      <c r="E105" t="str">
        <f t="shared" si="22"/>
        <v>D:\TOC3201\Methods\StomDOC.met</v>
      </c>
      <c r="F105" t="str">
        <f t="shared" si="23"/>
        <v>D:\TOC3201\CalCurves\StomDOC2.2017_06_16_16_17_28.cal</v>
      </c>
      <c r="G105">
        <v>1</v>
      </c>
      <c r="H105" t="str">
        <f>""</f>
        <v/>
      </c>
      <c r="I105" t="str">
        <f>"6/17/2017 1:27:24 AM"</f>
        <v>6/17/2017 1:27:24 AM</v>
      </c>
      <c r="J105" t="str">
        <f t="shared" si="24"/>
        <v>1</v>
      </c>
      <c r="K105" t="str">
        <f>"3"</f>
        <v>3</v>
      </c>
      <c r="L105" t="str">
        <f t="shared" si="19"/>
        <v>TC</v>
      </c>
      <c r="M105" t="str">
        <f>"28.08"</f>
        <v>28.08</v>
      </c>
      <c r="N105" t="str">
        <f>"7.164"</f>
        <v>7.164</v>
      </c>
      <c r="O105" t="str">
        <f>"TC:7.204mg/L"</f>
        <v>TC:7.204mg/L</v>
      </c>
      <c r="P105">
        <v>0</v>
      </c>
      <c r="Q105" t="str">
        <f t="shared" si="20"/>
        <v>50</v>
      </c>
    </row>
    <row r="106" spans="1:17" x14ac:dyDescent="0.25">
      <c r="A106" t="str">
        <f t="shared" si="21"/>
        <v>Unknown</v>
      </c>
      <c r="B106" t="str">
        <f t="shared" si="18"/>
        <v>TC</v>
      </c>
      <c r="C106" t="str">
        <f>"Vial 36"</f>
        <v>Vial 36</v>
      </c>
      <c r="D106" t="str">
        <f>"Untitled36"</f>
        <v>Untitled36</v>
      </c>
      <c r="E106" t="str">
        <f t="shared" si="22"/>
        <v>D:\TOC3201\Methods\StomDOC.met</v>
      </c>
      <c r="F106" t="str">
        <f t="shared" si="23"/>
        <v>D:\TOC3201\CalCurves\StomDOC2.2017_06_16_16_17_28.cal</v>
      </c>
      <c r="G106">
        <v>1</v>
      </c>
      <c r="H106" t="str">
        <f>""</f>
        <v/>
      </c>
      <c r="I106" t="str">
        <f>"6/17/2017 1:35:21 AM"</f>
        <v>6/17/2017 1:35:21 AM</v>
      </c>
      <c r="J106" t="str">
        <f t="shared" si="24"/>
        <v>1</v>
      </c>
      <c r="K106" t="str">
        <f>"1"</f>
        <v>1</v>
      </c>
      <c r="L106" t="str">
        <f t="shared" si="19"/>
        <v>TC</v>
      </c>
      <c r="M106" t="str">
        <f>"30.23"</f>
        <v>30.23</v>
      </c>
      <c r="N106" t="str">
        <f>"7.713"</f>
        <v>7.713</v>
      </c>
      <c r="O106" t="str">
        <f>"TC:7.692mg/L"</f>
        <v>TC:7.692mg/L</v>
      </c>
      <c r="P106">
        <v>0</v>
      </c>
      <c r="Q106" t="str">
        <f t="shared" si="20"/>
        <v>50</v>
      </c>
    </row>
    <row r="107" spans="1:17" x14ac:dyDescent="0.25">
      <c r="A107" t="str">
        <f t="shared" si="21"/>
        <v>Unknown</v>
      </c>
      <c r="B107" t="str">
        <f t="shared" si="18"/>
        <v>TC</v>
      </c>
      <c r="C107" t="str">
        <f>"Vial 36"</f>
        <v>Vial 36</v>
      </c>
      <c r="D107" t="str">
        <f>"Untitled36"</f>
        <v>Untitled36</v>
      </c>
      <c r="E107" t="str">
        <f t="shared" si="22"/>
        <v>D:\TOC3201\Methods\StomDOC.met</v>
      </c>
      <c r="F107" t="str">
        <f t="shared" si="23"/>
        <v>D:\TOC3201\CalCurves\StomDOC2.2017_06_16_16_17_28.cal</v>
      </c>
      <c r="G107">
        <v>1</v>
      </c>
      <c r="H107" t="str">
        <f>""</f>
        <v/>
      </c>
      <c r="I107" t="str">
        <f>"6/17/2017 1:40:02 AM"</f>
        <v>6/17/2017 1:40:02 AM</v>
      </c>
      <c r="J107" t="str">
        <f t="shared" si="24"/>
        <v>1</v>
      </c>
      <c r="K107" t="str">
        <f>"2"</f>
        <v>2</v>
      </c>
      <c r="L107" t="str">
        <f t="shared" si="19"/>
        <v>TC</v>
      </c>
      <c r="M107" t="str">
        <f>"30.07"</f>
        <v>30.07</v>
      </c>
      <c r="N107" t="str">
        <f>"7.672"</f>
        <v>7.672</v>
      </c>
      <c r="O107" t="str">
        <f>"TC:7.692mg/L"</f>
        <v>TC:7.692mg/L</v>
      </c>
      <c r="P107">
        <v>0</v>
      </c>
      <c r="Q107" t="str">
        <f t="shared" si="20"/>
        <v>50</v>
      </c>
    </row>
    <row r="108" spans="1:17" x14ac:dyDescent="0.25">
      <c r="A108" t="str">
        <f t="shared" si="21"/>
        <v>Unknown</v>
      </c>
      <c r="B108" t="str">
        <f t="shared" si="18"/>
        <v>TC</v>
      </c>
      <c r="C108" t="str">
        <f>"Vial 37"</f>
        <v>Vial 37</v>
      </c>
      <c r="D108" t="str">
        <f>"Untitled37"</f>
        <v>Untitled37</v>
      </c>
      <c r="E108" t="str">
        <f t="shared" si="22"/>
        <v>D:\TOC3201\Methods\StomDOC.met</v>
      </c>
      <c r="F108" t="str">
        <f t="shared" si="23"/>
        <v>D:\TOC3201\CalCurves\StomDOC2.2017_06_16_16_17_28.cal</v>
      </c>
      <c r="G108">
        <v>1</v>
      </c>
      <c r="H108" t="str">
        <f>""</f>
        <v/>
      </c>
      <c r="I108" t="str">
        <f>"6/17/2017 1:47:48 AM"</f>
        <v>6/17/2017 1:47:48 AM</v>
      </c>
      <c r="J108" t="str">
        <f t="shared" si="24"/>
        <v>1</v>
      </c>
      <c r="K108" t="str">
        <f>"1"</f>
        <v>1</v>
      </c>
      <c r="L108" t="str">
        <f t="shared" si="19"/>
        <v>TC</v>
      </c>
      <c r="M108" t="str">
        <f>"19.80"</f>
        <v>19.80</v>
      </c>
      <c r="N108" t="str">
        <f>"5.052"</f>
        <v>5.052</v>
      </c>
      <c r="O108" t="str">
        <f>"TC:5.353mg/L"</f>
        <v>TC:5.353mg/L</v>
      </c>
      <c r="P108">
        <v>1</v>
      </c>
      <c r="Q108" t="str">
        <f t="shared" si="20"/>
        <v>50</v>
      </c>
    </row>
    <row r="109" spans="1:17" x14ac:dyDescent="0.25">
      <c r="A109" t="str">
        <f t="shared" si="21"/>
        <v>Unknown</v>
      </c>
      <c r="B109" t="str">
        <f t="shared" si="18"/>
        <v>TC</v>
      </c>
      <c r="C109" t="str">
        <f>"Vial 37"</f>
        <v>Vial 37</v>
      </c>
      <c r="D109" t="str">
        <f>"Untitled37"</f>
        <v>Untitled37</v>
      </c>
      <c r="E109" t="str">
        <f t="shared" si="22"/>
        <v>D:\TOC3201\Methods\StomDOC.met</v>
      </c>
      <c r="F109" t="str">
        <f t="shared" si="23"/>
        <v>D:\TOC3201\CalCurves\StomDOC2.2017_06_16_16_17_28.cal</v>
      </c>
      <c r="G109">
        <v>1</v>
      </c>
      <c r="H109" t="str">
        <f>""</f>
        <v/>
      </c>
      <c r="I109" t="str">
        <f>"6/17/2017 1:52:26 AM"</f>
        <v>6/17/2017 1:52:26 AM</v>
      </c>
      <c r="J109" t="str">
        <f t="shared" si="24"/>
        <v>1</v>
      </c>
      <c r="K109" t="str">
        <f>"2"</f>
        <v>2</v>
      </c>
      <c r="L109" t="str">
        <f t="shared" si="19"/>
        <v>TC</v>
      </c>
      <c r="M109" t="str">
        <f>"21.21"</f>
        <v>21.21</v>
      </c>
      <c r="N109" t="str">
        <f>"5.411"</f>
        <v>5.411</v>
      </c>
      <c r="O109" t="str">
        <f>"TC:5.353mg/L"</f>
        <v>TC:5.353mg/L</v>
      </c>
      <c r="P109">
        <v>0</v>
      </c>
      <c r="Q109" t="str">
        <f t="shared" si="20"/>
        <v>50</v>
      </c>
    </row>
    <row r="110" spans="1:17" x14ac:dyDescent="0.25">
      <c r="A110" t="str">
        <f t="shared" si="21"/>
        <v>Unknown</v>
      </c>
      <c r="B110" t="str">
        <f t="shared" si="18"/>
        <v>TC</v>
      </c>
      <c r="C110" t="str">
        <f>"Vial 37"</f>
        <v>Vial 37</v>
      </c>
      <c r="D110" t="str">
        <f>"Untitled37"</f>
        <v>Untitled37</v>
      </c>
      <c r="E110" t="str">
        <f t="shared" si="22"/>
        <v>D:\TOC3201\Methods\StomDOC.met</v>
      </c>
      <c r="F110" t="str">
        <f t="shared" si="23"/>
        <v>D:\TOC3201\CalCurves\StomDOC2.2017_06_16_16_17_28.cal</v>
      </c>
      <c r="G110">
        <v>1</v>
      </c>
      <c r="H110" t="str">
        <f>""</f>
        <v/>
      </c>
      <c r="I110" t="str">
        <f>"6/17/2017 1:56:57 AM"</f>
        <v>6/17/2017 1:56:57 AM</v>
      </c>
      <c r="J110" t="str">
        <f t="shared" si="24"/>
        <v>1</v>
      </c>
      <c r="K110" t="str">
        <f>"3"</f>
        <v>3</v>
      </c>
      <c r="L110" t="str">
        <f t="shared" si="19"/>
        <v>TC</v>
      </c>
      <c r="M110" t="str">
        <f>"20.75"</f>
        <v>20.75</v>
      </c>
      <c r="N110" t="str">
        <f>"5.294"</f>
        <v>5.294</v>
      </c>
      <c r="O110" t="str">
        <f>"TC:5.353mg/L"</f>
        <v>TC:5.353mg/L</v>
      </c>
      <c r="P110">
        <v>0</v>
      </c>
      <c r="Q110" t="str">
        <f t="shared" si="20"/>
        <v>50</v>
      </c>
    </row>
    <row r="111" spans="1:17" x14ac:dyDescent="0.25">
      <c r="A111" t="str">
        <f t="shared" si="21"/>
        <v>Unknown</v>
      </c>
      <c r="B111" t="str">
        <f t="shared" ref="B111:B141" si="25">"TC"</f>
        <v>TC</v>
      </c>
      <c r="C111" t="str">
        <f>"Vial 38"</f>
        <v>Vial 38</v>
      </c>
      <c r="D111" t="str">
        <f>"Untitled38"</f>
        <v>Untitled38</v>
      </c>
      <c r="E111" t="str">
        <f t="shared" si="22"/>
        <v>D:\TOC3201\Methods\StomDOC.met</v>
      </c>
      <c r="F111" t="str">
        <f t="shared" si="23"/>
        <v>D:\TOC3201\CalCurves\StomDOC2.2017_06_16_16_17_28.cal</v>
      </c>
      <c r="G111">
        <v>1</v>
      </c>
      <c r="H111" t="str">
        <f>""</f>
        <v/>
      </c>
      <c r="I111" t="str">
        <f>"6/17/2017 2:04:47 AM"</f>
        <v>6/17/2017 2:04:47 AM</v>
      </c>
      <c r="J111" t="str">
        <f t="shared" si="24"/>
        <v>1</v>
      </c>
      <c r="K111" t="str">
        <f>"1"</f>
        <v>1</v>
      </c>
      <c r="L111" t="str">
        <f t="shared" ref="L111:L141" si="26">"TC"</f>
        <v>TC</v>
      </c>
      <c r="M111" t="str">
        <f>"22.74"</f>
        <v>22.74</v>
      </c>
      <c r="N111" t="str">
        <f>"5.802"</f>
        <v>5.802</v>
      </c>
      <c r="O111" t="str">
        <f>"TC:6.179mg/L"</f>
        <v>TC:6.179mg/L</v>
      </c>
      <c r="P111">
        <v>1</v>
      </c>
      <c r="Q111" t="str">
        <f t="shared" ref="Q111:Q141" si="27">"50"</f>
        <v>50</v>
      </c>
    </row>
    <row r="112" spans="1:17" x14ac:dyDescent="0.25">
      <c r="A112" t="str">
        <f t="shared" si="21"/>
        <v>Unknown</v>
      </c>
      <c r="B112" t="str">
        <f t="shared" si="25"/>
        <v>TC</v>
      </c>
      <c r="C112" t="str">
        <f>"Vial 38"</f>
        <v>Vial 38</v>
      </c>
      <c r="D112" t="str">
        <f>"Untitled38"</f>
        <v>Untitled38</v>
      </c>
      <c r="E112" t="str">
        <f t="shared" si="22"/>
        <v>D:\TOC3201\Methods\StomDOC.met</v>
      </c>
      <c r="F112" t="str">
        <f t="shared" si="23"/>
        <v>D:\TOC3201\CalCurves\StomDOC2.2017_06_16_16_17_28.cal</v>
      </c>
      <c r="G112">
        <v>1</v>
      </c>
      <c r="H112" t="str">
        <f>""</f>
        <v/>
      </c>
      <c r="I112" t="str">
        <f>"6/17/2017 2:09:27 AM"</f>
        <v>6/17/2017 2:09:27 AM</v>
      </c>
      <c r="J112" t="str">
        <f t="shared" si="24"/>
        <v>1</v>
      </c>
      <c r="K112" t="str">
        <f>"2"</f>
        <v>2</v>
      </c>
      <c r="L112" t="str">
        <f t="shared" si="26"/>
        <v>TC</v>
      </c>
      <c r="M112" t="str">
        <f>"23.80"</f>
        <v>23.80</v>
      </c>
      <c r="N112" t="str">
        <f>"6.072"</f>
        <v>6.072</v>
      </c>
      <c r="O112" t="str">
        <f>"TC:6.179mg/L"</f>
        <v>TC:6.179mg/L</v>
      </c>
      <c r="P112">
        <v>0</v>
      </c>
      <c r="Q112" t="str">
        <f t="shared" si="27"/>
        <v>50</v>
      </c>
    </row>
    <row r="113" spans="1:17" x14ac:dyDescent="0.25">
      <c r="A113" t="str">
        <f t="shared" si="21"/>
        <v>Unknown</v>
      </c>
      <c r="B113" t="str">
        <f t="shared" si="25"/>
        <v>TC</v>
      </c>
      <c r="C113" t="str">
        <f>"Vial 38"</f>
        <v>Vial 38</v>
      </c>
      <c r="D113" t="str">
        <f>"Untitled38"</f>
        <v>Untitled38</v>
      </c>
      <c r="E113" t="str">
        <f t="shared" si="22"/>
        <v>D:\TOC3201\Methods\StomDOC.met</v>
      </c>
      <c r="F113" t="str">
        <f t="shared" si="23"/>
        <v>D:\TOC3201\CalCurves\StomDOC2.2017_06_16_16_17_28.cal</v>
      </c>
      <c r="G113">
        <v>1</v>
      </c>
      <c r="H113" t="str">
        <f>""</f>
        <v/>
      </c>
      <c r="I113" t="str">
        <f>"6/17/2017 2:14:04 AM"</f>
        <v>6/17/2017 2:14:04 AM</v>
      </c>
      <c r="J113" t="str">
        <f t="shared" si="24"/>
        <v>1</v>
      </c>
      <c r="K113" t="str">
        <f>"3"</f>
        <v>3</v>
      </c>
      <c r="L113" t="str">
        <f t="shared" si="26"/>
        <v>TC</v>
      </c>
      <c r="M113" t="str">
        <f>"24.64"</f>
        <v>24.64</v>
      </c>
      <c r="N113" t="str">
        <f>"6.286"</f>
        <v>6.286</v>
      </c>
      <c r="O113" t="str">
        <f>"TC:6.179mg/L"</f>
        <v>TC:6.179mg/L</v>
      </c>
      <c r="P113">
        <v>0</v>
      </c>
      <c r="Q113" t="str">
        <f t="shared" si="27"/>
        <v>50</v>
      </c>
    </row>
    <row r="114" spans="1:17" x14ac:dyDescent="0.25">
      <c r="A114" t="str">
        <f t="shared" si="21"/>
        <v>Unknown</v>
      </c>
      <c r="B114" t="str">
        <f t="shared" si="25"/>
        <v>TC</v>
      </c>
      <c r="C114" t="str">
        <f>"Vial 39"</f>
        <v>Vial 39</v>
      </c>
      <c r="D114" t="str">
        <f>"Untitled39"</f>
        <v>Untitled39</v>
      </c>
      <c r="E114" t="str">
        <f t="shared" si="22"/>
        <v>D:\TOC3201\Methods\StomDOC.met</v>
      </c>
      <c r="F114" t="str">
        <f t="shared" si="23"/>
        <v>D:\TOC3201\CalCurves\StomDOC2.2017_06_16_16_17_28.cal</v>
      </c>
      <c r="G114">
        <v>1</v>
      </c>
      <c r="H114" t="str">
        <f>""</f>
        <v/>
      </c>
      <c r="I114" t="str">
        <f>"6/17/2017 2:21:57 AM"</f>
        <v>6/17/2017 2:21:57 AM</v>
      </c>
      <c r="J114" t="str">
        <f t="shared" si="24"/>
        <v>1</v>
      </c>
      <c r="K114" t="str">
        <f>"1"</f>
        <v>1</v>
      </c>
      <c r="L114" t="str">
        <f t="shared" si="26"/>
        <v>TC</v>
      </c>
      <c r="M114" t="str">
        <f>"35.57"</f>
        <v>35.57</v>
      </c>
      <c r="N114" t="str">
        <f>"9.075"</f>
        <v>9.075</v>
      </c>
      <c r="O114" t="str">
        <f>"TC:9.167mg/L"</f>
        <v>TC:9.167mg/L</v>
      </c>
      <c r="P114">
        <v>0</v>
      </c>
      <c r="Q114" t="str">
        <f t="shared" si="27"/>
        <v>50</v>
      </c>
    </row>
    <row r="115" spans="1:17" x14ac:dyDescent="0.25">
      <c r="A115" t="str">
        <f t="shared" si="21"/>
        <v>Unknown</v>
      </c>
      <c r="B115" t="str">
        <f t="shared" si="25"/>
        <v>TC</v>
      </c>
      <c r="C115" t="str">
        <f>"Vial 39"</f>
        <v>Vial 39</v>
      </c>
      <c r="D115" t="str">
        <f>"Untitled39"</f>
        <v>Untitled39</v>
      </c>
      <c r="E115" t="str">
        <f t="shared" si="22"/>
        <v>D:\TOC3201\Methods\StomDOC.met</v>
      </c>
      <c r="F115" t="str">
        <f t="shared" si="23"/>
        <v>D:\TOC3201\CalCurves\StomDOC2.2017_06_16_16_17_28.cal</v>
      </c>
      <c r="G115">
        <v>1</v>
      </c>
      <c r="H115" t="str">
        <f>""</f>
        <v/>
      </c>
      <c r="I115" t="str">
        <f>"6/17/2017 2:26:49 AM"</f>
        <v>6/17/2017 2:26:49 AM</v>
      </c>
      <c r="J115" t="str">
        <f t="shared" si="24"/>
        <v>1</v>
      </c>
      <c r="K115" t="str">
        <f>"2"</f>
        <v>2</v>
      </c>
      <c r="L115" t="str">
        <f t="shared" si="26"/>
        <v>TC</v>
      </c>
      <c r="M115" t="str">
        <f>"37.17"</f>
        <v>37.17</v>
      </c>
      <c r="N115" t="str">
        <f>"9.483"</f>
        <v>9.483</v>
      </c>
      <c r="O115" t="str">
        <f>"TC:9.167mg/L"</f>
        <v>TC:9.167mg/L</v>
      </c>
      <c r="P115">
        <v>1</v>
      </c>
      <c r="Q115" t="str">
        <f t="shared" si="27"/>
        <v>50</v>
      </c>
    </row>
    <row r="116" spans="1:17" x14ac:dyDescent="0.25">
      <c r="A116" t="str">
        <f t="shared" si="21"/>
        <v>Unknown</v>
      </c>
      <c r="B116" t="str">
        <f t="shared" si="25"/>
        <v>TC</v>
      </c>
      <c r="C116" t="str">
        <f>"Vial 39"</f>
        <v>Vial 39</v>
      </c>
      <c r="D116" t="str">
        <f>"Untitled39"</f>
        <v>Untitled39</v>
      </c>
      <c r="E116" t="str">
        <f t="shared" si="22"/>
        <v>D:\TOC3201\Methods\StomDOC.met</v>
      </c>
      <c r="F116" t="str">
        <f t="shared" si="23"/>
        <v>D:\TOC3201\CalCurves\StomDOC2.2017_06_16_16_17_28.cal</v>
      </c>
      <c r="G116">
        <v>1</v>
      </c>
      <c r="H116" t="str">
        <f>""</f>
        <v/>
      </c>
      <c r="I116" t="str">
        <f>"6/17/2017 2:31:43 AM"</f>
        <v>6/17/2017 2:31:43 AM</v>
      </c>
      <c r="J116" t="str">
        <f t="shared" si="24"/>
        <v>1</v>
      </c>
      <c r="K116" t="str">
        <f>"3"</f>
        <v>3</v>
      </c>
      <c r="L116" t="str">
        <f t="shared" si="26"/>
        <v>TC</v>
      </c>
      <c r="M116" t="str">
        <f>"36.29"</f>
        <v>36.29</v>
      </c>
      <c r="N116" t="str">
        <f>"9.259"</f>
        <v>9.259</v>
      </c>
      <c r="O116" t="str">
        <f>"TC:9.167mg/L"</f>
        <v>TC:9.167mg/L</v>
      </c>
      <c r="P116">
        <v>0</v>
      </c>
      <c r="Q116" t="str">
        <f t="shared" si="27"/>
        <v>50</v>
      </c>
    </row>
    <row r="117" spans="1:17" x14ac:dyDescent="0.25">
      <c r="A117" t="str">
        <f t="shared" si="21"/>
        <v>Unknown</v>
      </c>
      <c r="B117" t="str">
        <f t="shared" si="25"/>
        <v>TC</v>
      </c>
      <c r="C117" t="str">
        <f>"Vial 40"</f>
        <v>Vial 40</v>
      </c>
      <c r="D117" t="str">
        <f>"Untitled40"</f>
        <v>Untitled40</v>
      </c>
      <c r="E117" t="str">
        <f t="shared" si="22"/>
        <v>D:\TOC3201\Methods\StomDOC.met</v>
      </c>
      <c r="F117" t="str">
        <f t="shared" si="23"/>
        <v>D:\TOC3201\CalCurves\StomDOC2.2017_06_16_16_17_28.cal</v>
      </c>
      <c r="G117">
        <v>1</v>
      </c>
      <c r="H117" t="str">
        <f>""</f>
        <v/>
      </c>
      <c r="I117" t="str">
        <f>"6/17/2017 2:39:29 AM"</f>
        <v>6/17/2017 2:39:29 AM</v>
      </c>
      <c r="J117" t="str">
        <f t="shared" si="24"/>
        <v>1</v>
      </c>
      <c r="K117" t="str">
        <f>"1"</f>
        <v>1</v>
      </c>
      <c r="L117" t="str">
        <f t="shared" si="26"/>
        <v>TC</v>
      </c>
      <c r="M117" t="str">
        <f>"21.34"</f>
        <v>21.34</v>
      </c>
      <c r="N117" t="str">
        <f>"5.445"</f>
        <v>5.445</v>
      </c>
      <c r="O117" t="str">
        <f>"TC:5.480mg/L"</f>
        <v>TC:5.480mg/L</v>
      </c>
      <c r="P117">
        <v>0</v>
      </c>
      <c r="Q117" t="str">
        <f t="shared" si="27"/>
        <v>50</v>
      </c>
    </row>
    <row r="118" spans="1:17" x14ac:dyDescent="0.25">
      <c r="A118" t="str">
        <f t="shared" si="21"/>
        <v>Unknown</v>
      </c>
      <c r="B118" t="str">
        <f t="shared" si="25"/>
        <v>TC</v>
      </c>
      <c r="C118" t="str">
        <f>"Vial 40"</f>
        <v>Vial 40</v>
      </c>
      <c r="D118" t="str">
        <f>"Untitled40"</f>
        <v>Untitled40</v>
      </c>
      <c r="E118" t="str">
        <f t="shared" si="22"/>
        <v>D:\TOC3201\Methods\StomDOC.met</v>
      </c>
      <c r="F118" t="str">
        <f t="shared" si="23"/>
        <v>D:\TOC3201\CalCurves\StomDOC2.2017_06_16_16_17_28.cal</v>
      </c>
      <c r="G118">
        <v>1</v>
      </c>
      <c r="H118" t="str">
        <f>""</f>
        <v/>
      </c>
      <c r="I118" t="str">
        <f>"6/17/2017 2:43:58 AM"</f>
        <v>6/17/2017 2:43:58 AM</v>
      </c>
      <c r="J118" t="str">
        <f t="shared" si="24"/>
        <v>1</v>
      </c>
      <c r="K118" t="str">
        <f>"2"</f>
        <v>2</v>
      </c>
      <c r="L118" t="str">
        <f t="shared" si="26"/>
        <v>TC</v>
      </c>
      <c r="M118" t="str">
        <f>"21.62"</f>
        <v>21.62</v>
      </c>
      <c r="N118" t="str">
        <f>"5.516"</f>
        <v>5.516</v>
      </c>
      <c r="O118" t="str">
        <f>"TC:5.480mg/L"</f>
        <v>TC:5.480mg/L</v>
      </c>
      <c r="P118">
        <v>0</v>
      </c>
      <c r="Q118" t="str">
        <f t="shared" si="27"/>
        <v>50</v>
      </c>
    </row>
    <row r="119" spans="1:17" x14ac:dyDescent="0.25">
      <c r="A119" t="str">
        <f t="shared" si="21"/>
        <v>Unknown</v>
      </c>
      <c r="B119" t="str">
        <f t="shared" si="25"/>
        <v>TC</v>
      </c>
      <c r="C119" t="str">
        <f>"Vial 41"</f>
        <v>Vial 41</v>
      </c>
      <c r="D119" t="str">
        <f>"Untitled41"</f>
        <v>Untitled41</v>
      </c>
      <c r="E119" t="str">
        <f t="shared" si="22"/>
        <v>D:\TOC3201\Methods\StomDOC.met</v>
      </c>
      <c r="F119" t="str">
        <f t="shared" si="23"/>
        <v>D:\TOC3201\CalCurves\StomDOC2.2017_06_16_16_17_28.cal</v>
      </c>
      <c r="G119">
        <v>1</v>
      </c>
      <c r="H119" t="str">
        <f>""</f>
        <v/>
      </c>
      <c r="I119" t="str">
        <f>"6/17/2017 2:51:54 AM"</f>
        <v>6/17/2017 2:51:54 AM</v>
      </c>
      <c r="J119" t="str">
        <f t="shared" si="24"/>
        <v>1</v>
      </c>
      <c r="K119" t="str">
        <f>"1"</f>
        <v>1</v>
      </c>
      <c r="L119" t="str">
        <f t="shared" si="26"/>
        <v>TC</v>
      </c>
      <c r="M119" t="str">
        <f>"26.74"</f>
        <v>26.74</v>
      </c>
      <c r="N119" t="str">
        <f>"6.822"</f>
        <v>6.822</v>
      </c>
      <c r="O119" t="str">
        <f>"TC:6.859mg/L"</f>
        <v>TC:6.859mg/L</v>
      </c>
      <c r="P119">
        <v>0</v>
      </c>
      <c r="Q119" t="str">
        <f t="shared" si="27"/>
        <v>50</v>
      </c>
    </row>
    <row r="120" spans="1:17" x14ac:dyDescent="0.25">
      <c r="A120" t="str">
        <f t="shared" si="21"/>
        <v>Unknown</v>
      </c>
      <c r="B120" t="str">
        <f t="shared" si="25"/>
        <v>TC</v>
      </c>
      <c r="C120" t="str">
        <f>"Vial 41"</f>
        <v>Vial 41</v>
      </c>
      <c r="D120" t="str">
        <f>"Untitled41"</f>
        <v>Untitled41</v>
      </c>
      <c r="E120" t="str">
        <f t="shared" si="22"/>
        <v>D:\TOC3201\Methods\StomDOC.met</v>
      </c>
      <c r="F120" t="str">
        <f t="shared" si="23"/>
        <v>D:\TOC3201\CalCurves\StomDOC2.2017_06_16_16_17_28.cal</v>
      </c>
      <c r="G120">
        <v>1</v>
      </c>
      <c r="H120" t="str">
        <f>""</f>
        <v/>
      </c>
      <c r="I120" t="str">
        <f>"6/17/2017 2:56:33 AM"</f>
        <v>6/17/2017 2:56:33 AM</v>
      </c>
      <c r="J120" t="str">
        <f t="shared" si="24"/>
        <v>1</v>
      </c>
      <c r="K120" t="str">
        <f>"2"</f>
        <v>2</v>
      </c>
      <c r="L120" t="str">
        <f t="shared" si="26"/>
        <v>TC</v>
      </c>
      <c r="M120" t="str">
        <f>"27.03"</f>
        <v>27.03</v>
      </c>
      <c r="N120" t="str">
        <f>"6.896"</f>
        <v>6.896</v>
      </c>
      <c r="O120" t="str">
        <f>"TC:6.859mg/L"</f>
        <v>TC:6.859mg/L</v>
      </c>
      <c r="P120">
        <v>0</v>
      </c>
      <c r="Q120" t="str">
        <f t="shared" si="27"/>
        <v>50</v>
      </c>
    </row>
    <row r="121" spans="1:17" x14ac:dyDescent="0.25">
      <c r="A121" t="str">
        <f t="shared" ref="A121:A141" si="28">"Unknown"</f>
        <v>Unknown</v>
      </c>
      <c r="B121" t="str">
        <f t="shared" si="25"/>
        <v>TC</v>
      </c>
      <c r="C121" t="str">
        <f>"Vial 42"</f>
        <v>Vial 42</v>
      </c>
      <c r="D121" t="str">
        <f>"Untitled42"</f>
        <v>Untitled42</v>
      </c>
      <c r="E121" t="str">
        <f t="shared" ref="E121:E141" si="29">"D:\TOC3201\Methods\StomDOC.met"</f>
        <v>D:\TOC3201\Methods\StomDOC.met</v>
      </c>
      <c r="F121" t="str">
        <f t="shared" ref="F121:F141" si="30">"D:\TOC3201\CalCurves\StomDOC2.2017_06_16_16_17_28.cal"</f>
        <v>D:\TOC3201\CalCurves\StomDOC2.2017_06_16_16_17_28.cal</v>
      </c>
      <c r="G121">
        <v>1</v>
      </c>
      <c r="H121" t="str">
        <f>""</f>
        <v/>
      </c>
      <c r="I121" t="str">
        <f>"6/17/2017 3:04:26 AM"</f>
        <v>6/17/2017 3:04:26 AM</v>
      </c>
      <c r="J121" t="str">
        <f t="shared" si="24"/>
        <v>1</v>
      </c>
      <c r="K121" t="str">
        <f>"1"</f>
        <v>1</v>
      </c>
      <c r="L121" t="str">
        <f t="shared" si="26"/>
        <v>TC</v>
      </c>
      <c r="M121" t="str">
        <f>"19.91"</f>
        <v>19.91</v>
      </c>
      <c r="N121" t="str">
        <f>"5.080"</f>
        <v>5.080</v>
      </c>
      <c r="O121" t="str">
        <f>"TC:5.087mg/L"</f>
        <v>TC:5.087mg/L</v>
      </c>
      <c r="P121">
        <v>0</v>
      </c>
      <c r="Q121" t="str">
        <f t="shared" si="27"/>
        <v>50</v>
      </c>
    </row>
    <row r="122" spans="1:17" x14ac:dyDescent="0.25">
      <c r="A122" t="str">
        <f t="shared" si="28"/>
        <v>Unknown</v>
      </c>
      <c r="B122" t="str">
        <f t="shared" si="25"/>
        <v>TC</v>
      </c>
      <c r="C122" t="str">
        <f>"Vial 42"</f>
        <v>Vial 42</v>
      </c>
      <c r="D122" t="str">
        <f>"Untitled42"</f>
        <v>Untitled42</v>
      </c>
      <c r="E122" t="str">
        <f t="shared" si="29"/>
        <v>D:\TOC3201\Methods\StomDOC.met</v>
      </c>
      <c r="F122" t="str">
        <f t="shared" si="30"/>
        <v>D:\TOC3201\CalCurves\StomDOC2.2017_06_16_16_17_28.cal</v>
      </c>
      <c r="G122">
        <v>1</v>
      </c>
      <c r="H122" t="str">
        <f>""</f>
        <v/>
      </c>
      <c r="I122" t="str">
        <f>"6/17/2017 3:09:08 AM"</f>
        <v>6/17/2017 3:09:08 AM</v>
      </c>
      <c r="J122" t="str">
        <f t="shared" ref="J122:J141" si="31">"1"</f>
        <v>1</v>
      </c>
      <c r="K122" t="str">
        <f>"2"</f>
        <v>2</v>
      </c>
      <c r="L122" t="str">
        <f t="shared" si="26"/>
        <v>TC</v>
      </c>
      <c r="M122" t="str">
        <f>"19.97"</f>
        <v>19.97</v>
      </c>
      <c r="N122" t="str">
        <f>"5.095"</f>
        <v>5.095</v>
      </c>
      <c r="O122" t="str">
        <f>"TC:5.087mg/L"</f>
        <v>TC:5.087mg/L</v>
      </c>
      <c r="P122">
        <v>0</v>
      </c>
      <c r="Q122" t="str">
        <f t="shared" si="27"/>
        <v>50</v>
      </c>
    </row>
    <row r="123" spans="1:17" x14ac:dyDescent="0.25">
      <c r="A123" t="str">
        <f t="shared" si="28"/>
        <v>Unknown</v>
      </c>
      <c r="B123" t="str">
        <f t="shared" si="25"/>
        <v>TC</v>
      </c>
      <c r="C123" t="str">
        <f>"Vial 43"</f>
        <v>Vial 43</v>
      </c>
      <c r="D123" t="str">
        <f>"Untitled43"</f>
        <v>Untitled43</v>
      </c>
      <c r="E123" t="str">
        <f t="shared" si="29"/>
        <v>D:\TOC3201\Methods\StomDOC.met</v>
      </c>
      <c r="F123" t="str">
        <f t="shared" si="30"/>
        <v>D:\TOC3201\CalCurves\StomDOC2.2017_06_16_16_17_28.cal</v>
      </c>
      <c r="G123">
        <v>1</v>
      </c>
      <c r="H123" t="str">
        <f>""</f>
        <v/>
      </c>
      <c r="I123" t="str">
        <f>"6/17/2017 3:17:03 AM"</f>
        <v>6/17/2017 3:17:03 AM</v>
      </c>
      <c r="J123" t="str">
        <f t="shared" si="31"/>
        <v>1</v>
      </c>
      <c r="K123" t="str">
        <f>"1"</f>
        <v>1</v>
      </c>
      <c r="L123" t="str">
        <f t="shared" si="26"/>
        <v>TC</v>
      </c>
      <c r="M123" t="str">
        <f>"25.65"</f>
        <v>25.65</v>
      </c>
      <c r="N123" t="str">
        <f>"6.544"</f>
        <v>6.544</v>
      </c>
      <c r="O123" t="str">
        <f>"TC:6.548mg/L"</f>
        <v>TC:6.548mg/L</v>
      </c>
      <c r="P123">
        <v>0</v>
      </c>
      <c r="Q123" t="str">
        <f t="shared" si="27"/>
        <v>50</v>
      </c>
    </row>
    <row r="124" spans="1:17" x14ac:dyDescent="0.25">
      <c r="A124" t="str">
        <f t="shared" si="28"/>
        <v>Unknown</v>
      </c>
      <c r="B124" t="str">
        <f t="shared" si="25"/>
        <v>TC</v>
      </c>
      <c r="C124" t="str">
        <f>"Vial 43"</f>
        <v>Vial 43</v>
      </c>
      <c r="D124" t="str">
        <f>"Untitled43"</f>
        <v>Untitled43</v>
      </c>
      <c r="E124" t="str">
        <f t="shared" si="29"/>
        <v>D:\TOC3201\Methods\StomDOC.met</v>
      </c>
      <c r="F124" t="str">
        <f t="shared" si="30"/>
        <v>D:\TOC3201\CalCurves\StomDOC2.2017_06_16_16_17_28.cal</v>
      </c>
      <c r="G124">
        <v>1</v>
      </c>
      <c r="H124" t="str">
        <f>""</f>
        <v/>
      </c>
      <c r="I124" t="str">
        <f>"6/17/2017 3:21:51 AM"</f>
        <v>6/17/2017 3:21:51 AM</v>
      </c>
      <c r="J124" t="str">
        <f t="shared" si="31"/>
        <v>1</v>
      </c>
      <c r="K124" t="str">
        <f>"2"</f>
        <v>2</v>
      </c>
      <c r="L124" t="str">
        <f t="shared" si="26"/>
        <v>TC</v>
      </c>
      <c r="M124" t="str">
        <f>"25.68"</f>
        <v>25.68</v>
      </c>
      <c r="N124" t="str">
        <f>"6.552"</f>
        <v>6.552</v>
      </c>
      <c r="O124" t="str">
        <f>"TC:6.548mg/L"</f>
        <v>TC:6.548mg/L</v>
      </c>
      <c r="P124">
        <v>0</v>
      </c>
      <c r="Q124" t="str">
        <f t="shared" si="27"/>
        <v>50</v>
      </c>
    </row>
    <row r="125" spans="1:17" x14ac:dyDescent="0.25">
      <c r="A125" t="str">
        <f t="shared" si="28"/>
        <v>Unknown</v>
      </c>
      <c r="B125" t="str">
        <f t="shared" si="25"/>
        <v>TC</v>
      </c>
      <c r="C125" t="str">
        <f>"Vial 44"</f>
        <v>Vial 44</v>
      </c>
      <c r="D125" t="str">
        <f>"Untitled44"</f>
        <v>Untitled44</v>
      </c>
      <c r="E125" t="str">
        <f t="shared" si="29"/>
        <v>D:\TOC3201\Methods\StomDOC.met</v>
      </c>
      <c r="F125" t="str">
        <f t="shared" si="30"/>
        <v>D:\TOC3201\CalCurves\StomDOC2.2017_06_16_16_17_28.cal</v>
      </c>
      <c r="G125">
        <v>1</v>
      </c>
      <c r="H125" t="str">
        <f>""</f>
        <v/>
      </c>
      <c r="I125" t="str">
        <f>"6/17/2017 3:30:03 AM"</f>
        <v>6/17/2017 3:30:03 AM</v>
      </c>
      <c r="J125" t="str">
        <f t="shared" si="31"/>
        <v>1</v>
      </c>
      <c r="K125" t="str">
        <f>"1"</f>
        <v>1</v>
      </c>
      <c r="L125" t="str">
        <f t="shared" si="26"/>
        <v>TC</v>
      </c>
      <c r="M125" t="str">
        <f>"31.32"</f>
        <v>31.32</v>
      </c>
      <c r="N125" t="str">
        <f>"7.991"</f>
        <v>7.991</v>
      </c>
      <c r="O125" t="str">
        <f>"TC:8.058mg/L"</f>
        <v>TC:8.058mg/L</v>
      </c>
      <c r="P125">
        <v>0</v>
      </c>
      <c r="Q125" t="str">
        <f t="shared" si="27"/>
        <v>50</v>
      </c>
    </row>
    <row r="126" spans="1:17" x14ac:dyDescent="0.25">
      <c r="A126" t="str">
        <f t="shared" si="28"/>
        <v>Unknown</v>
      </c>
      <c r="B126" t="str">
        <f t="shared" si="25"/>
        <v>TC</v>
      </c>
      <c r="C126" t="str">
        <f>"Vial 44"</f>
        <v>Vial 44</v>
      </c>
      <c r="D126" t="str">
        <f>"Untitled44"</f>
        <v>Untitled44</v>
      </c>
      <c r="E126" t="str">
        <f t="shared" si="29"/>
        <v>D:\TOC3201\Methods\StomDOC.met</v>
      </c>
      <c r="F126" t="str">
        <f t="shared" si="30"/>
        <v>D:\TOC3201\CalCurves\StomDOC2.2017_06_16_16_17_28.cal</v>
      </c>
      <c r="G126">
        <v>1</v>
      </c>
      <c r="H126" t="str">
        <f>""</f>
        <v/>
      </c>
      <c r="I126" t="str">
        <f>"6/17/2017 3:34:52 AM"</f>
        <v>6/17/2017 3:34:52 AM</v>
      </c>
      <c r="J126" t="str">
        <f t="shared" si="31"/>
        <v>1</v>
      </c>
      <c r="K126" t="str">
        <f>"2"</f>
        <v>2</v>
      </c>
      <c r="L126" t="str">
        <f t="shared" si="26"/>
        <v>TC</v>
      </c>
      <c r="M126" t="str">
        <f>"31.85"</f>
        <v>31.85</v>
      </c>
      <c r="N126" t="str">
        <f>"8.126"</f>
        <v>8.126</v>
      </c>
      <c r="O126" t="str">
        <f>"TC:8.058mg/L"</f>
        <v>TC:8.058mg/L</v>
      </c>
      <c r="P126">
        <v>0</v>
      </c>
      <c r="Q126" t="str">
        <f t="shared" si="27"/>
        <v>50</v>
      </c>
    </row>
    <row r="127" spans="1:17" x14ac:dyDescent="0.25">
      <c r="A127" t="str">
        <f t="shared" si="28"/>
        <v>Unknown</v>
      </c>
      <c r="B127" t="str">
        <f t="shared" si="25"/>
        <v>TC</v>
      </c>
      <c r="C127" t="str">
        <f>"Vial 45"</f>
        <v>Vial 45</v>
      </c>
      <c r="D127" t="str">
        <f>"Untitled45"</f>
        <v>Untitled45</v>
      </c>
      <c r="E127" t="str">
        <f t="shared" si="29"/>
        <v>D:\TOC3201\Methods\StomDOC.met</v>
      </c>
      <c r="F127" t="str">
        <f t="shared" si="30"/>
        <v>D:\TOC3201\CalCurves\StomDOC2.2017_06_16_16_17_28.cal</v>
      </c>
      <c r="G127">
        <v>1</v>
      </c>
      <c r="H127" t="str">
        <f>""</f>
        <v/>
      </c>
      <c r="I127" t="str">
        <f>"6/17/2017 3:42:52 AM"</f>
        <v>6/17/2017 3:42:52 AM</v>
      </c>
      <c r="J127" t="str">
        <f t="shared" si="31"/>
        <v>1</v>
      </c>
      <c r="K127" t="str">
        <f>"1"</f>
        <v>1</v>
      </c>
      <c r="L127" t="str">
        <f t="shared" si="26"/>
        <v>TC</v>
      </c>
      <c r="M127" t="str">
        <f>"28.85"</f>
        <v>28.85</v>
      </c>
      <c r="N127" t="str">
        <f>"7.361"</f>
        <v>7.361</v>
      </c>
      <c r="O127" t="str">
        <f>"TC:7.410mg/L"</f>
        <v>TC:7.410mg/L</v>
      </c>
      <c r="P127">
        <v>0</v>
      </c>
      <c r="Q127" t="str">
        <f t="shared" si="27"/>
        <v>50</v>
      </c>
    </row>
    <row r="128" spans="1:17" x14ac:dyDescent="0.25">
      <c r="A128" t="str">
        <f t="shared" si="28"/>
        <v>Unknown</v>
      </c>
      <c r="B128" t="str">
        <f t="shared" si="25"/>
        <v>TC</v>
      </c>
      <c r="C128" t="str">
        <f>"Vial 45"</f>
        <v>Vial 45</v>
      </c>
      <c r="D128" t="str">
        <f>"Untitled45"</f>
        <v>Untitled45</v>
      </c>
      <c r="E128" t="str">
        <f t="shared" si="29"/>
        <v>D:\TOC3201\Methods\StomDOC.met</v>
      </c>
      <c r="F128" t="str">
        <f t="shared" si="30"/>
        <v>D:\TOC3201\CalCurves\StomDOC2.2017_06_16_16_17_28.cal</v>
      </c>
      <c r="G128">
        <v>1</v>
      </c>
      <c r="H128" t="str">
        <f>""</f>
        <v/>
      </c>
      <c r="I128" t="str">
        <f>"6/17/2017 3:47:36 AM"</f>
        <v>6/17/2017 3:47:36 AM</v>
      </c>
      <c r="J128" t="str">
        <f t="shared" si="31"/>
        <v>1</v>
      </c>
      <c r="K128" t="str">
        <f>"2"</f>
        <v>2</v>
      </c>
      <c r="L128" t="str">
        <f t="shared" si="26"/>
        <v>TC</v>
      </c>
      <c r="M128" t="str">
        <f>"29.24"</f>
        <v>29.24</v>
      </c>
      <c r="N128" t="str">
        <f>"7.460"</f>
        <v>7.460</v>
      </c>
      <c r="O128" t="str">
        <f>"TC:7.410mg/L"</f>
        <v>TC:7.410mg/L</v>
      </c>
      <c r="P128">
        <v>0</v>
      </c>
      <c r="Q128" t="str">
        <f t="shared" si="27"/>
        <v>50</v>
      </c>
    </row>
    <row r="129" spans="1:17" x14ac:dyDescent="0.25">
      <c r="A129" t="str">
        <f t="shared" si="28"/>
        <v>Unknown</v>
      </c>
      <c r="B129" t="str">
        <f t="shared" si="25"/>
        <v>TC</v>
      </c>
      <c r="C129" t="str">
        <f>"Vial 46"</f>
        <v>Vial 46</v>
      </c>
      <c r="D129" t="str">
        <f>"Untitled46"</f>
        <v>Untitled46</v>
      </c>
      <c r="E129" t="str">
        <f t="shared" si="29"/>
        <v>D:\TOC3201\Methods\StomDOC.met</v>
      </c>
      <c r="F129" t="str">
        <f t="shared" si="30"/>
        <v>D:\TOC3201\CalCurves\StomDOC2.2017_06_16_16_17_28.cal</v>
      </c>
      <c r="G129">
        <v>1</v>
      </c>
      <c r="H129" t="str">
        <f>""</f>
        <v/>
      </c>
      <c r="I129" t="str">
        <f>"6/17/2017 3:55:35 AM"</f>
        <v>6/17/2017 3:55:35 AM</v>
      </c>
      <c r="J129" t="str">
        <f t="shared" si="31"/>
        <v>1</v>
      </c>
      <c r="K129" t="str">
        <f>"1"</f>
        <v>1</v>
      </c>
      <c r="L129" t="str">
        <f t="shared" si="26"/>
        <v>TC</v>
      </c>
      <c r="M129" t="str">
        <f>"30.06"</f>
        <v>30.06</v>
      </c>
      <c r="N129" t="str">
        <f>"7.669"</f>
        <v>7.669</v>
      </c>
      <c r="O129" t="str">
        <f>"TC:7.769mg/L"</f>
        <v>TC:7.769mg/L</v>
      </c>
      <c r="P129">
        <v>0</v>
      </c>
      <c r="Q129" t="str">
        <f t="shared" si="27"/>
        <v>50</v>
      </c>
    </row>
    <row r="130" spans="1:17" x14ac:dyDescent="0.25">
      <c r="A130" t="str">
        <f t="shared" si="28"/>
        <v>Unknown</v>
      </c>
      <c r="B130" t="str">
        <f t="shared" si="25"/>
        <v>TC</v>
      </c>
      <c r="C130" t="str">
        <f>"Vial 46"</f>
        <v>Vial 46</v>
      </c>
      <c r="D130" t="str">
        <f>"Untitled46"</f>
        <v>Untitled46</v>
      </c>
      <c r="E130" t="str">
        <f t="shared" si="29"/>
        <v>D:\TOC3201\Methods\StomDOC.met</v>
      </c>
      <c r="F130" t="str">
        <f t="shared" si="30"/>
        <v>D:\TOC3201\CalCurves\StomDOC2.2017_06_16_16_17_28.cal</v>
      </c>
      <c r="G130">
        <v>1</v>
      </c>
      <c r="H130" t="str">
        <f>""</f>
        <v/>
      </c>
      <c r="I130" t="str">
        <f>"6/17/2017 4:00:19 AM"</f>
        <v>6/17/2017 4:00:19 AM</v>
      </c>
      <c r="J130" t="str">
        <f t="shared" si="31"/>
        <v>1</v>
      </c>
      <c r="K130" t="str">
        <f>"2"</f>
        <v>2</v>
      </c>
      <c r="L130" t="str">
        <f t="shared" si="26"/>
        <v>TC</v>
      </c>
      <c r="M130" t="str">
        <f>"30.84"</f>
        <v>30.84</v>
      </c>
      <c r="N130" t="str">
        <f>"7.868"</f>
        <v>7.868</v>
      </c>
      <c r="O130" t="str">
        <f>"TC:7.769mg/L"</f>
        <v>TC:7.769mg/L</v>
      </c>
      <c r="P130">
        <v>0</v>
      </c>
      <c r="Q130" t="str">
        <f t="shared" si="27"/>
        <v>50</v>
      </c>
    </row>
    <row r="131" spans="1:17" x14ac:dyDescent="0.25">
      <c r="A131" t="str">
        <f t="shared" si="28"/>
        <v>Unknown</v>
      </c>
      <c r="B131" t="str">
        <f t="shared" si="25"/>
        <v>TC</v>
      </c>
      <c r="C131" t="str">
        <f>"Vial 47"</f>
        <v>Vial 47</v>
      </c>
      <c r="D131" t="str">
        <f>"Untitled47"</f>
        <v>Untitled47</v>
      </c>
      <c r="E131" t="str">
        <f t="shared" si="29"/>
        <v>D:\TOC3201\Methods\StomDOC.met</v>
      </c>
      <c r="F131" t="str">
        <f t="shared" si="30"/>
        <v>D:\TOC3201\CalCurves\StomDOC2.2017_06_16_16_17_28.cal</v>
      </c>
      <c r="G131">
        <v>1</v>
      </c>
      <c r="H131" t="str">
        <f>""</f>
        <v/>
      </c>
      <c r="I131" t="str">
        <f>"6/17/2017 4:08:07 AM"</f>
        <v>6/17/2017 4:08:07 AM</v>
      </c>
      <c r="J131" t="str">
        <f t="shared" si="31"/>
        <v>1</v>
      </c>
      <c r="K131" t="str">
        <f>"1"</f>
        <v>1</v>
      </c>
      <c r="L131" t="str">
        <f t="shared" si="26"/>
        <v>TC</v>
      </c>
      <c r="M131" t="str">
        <f>"18.10"</f>
        <v>18.10</v>
      </c>
      <c r="N131" t="str">
        <f>"4.618"</f>
        <v>4.618</v>
      </c>
      <c r="O131" t="str">
        <f>"TC:4.608mg/L"</f>
        <v>TC:4.608mg/L</v>
      </c>
      <c r="P131">
        <v>0</v>
      </c>
      <c r="Q131" t="str">
        <f t="shared" si="27"/>
        <v>50</v>
      </c>
    </row>
    <row r="132" spans="1:17" x14ac:dyDescent="0.25">
      <c r="A132" t="str">
        <f t="shared" si="28"/>
        <v>Unknown</v>
      </c>
      <c r="B132" t="str">
        <f t="shared" si="25"/>
        <v>TC</v>
      </c>
      <c r="C132" t="str">
        <f>"Vial 47"</f>
        <v>Vial 47</v>
      </c>
      <c r="D132" t="str">
        <f>"Untitled47"</f>
        <v>Untitled47</v>
      </c>
      <c r="E132" t="str">
        <f t="shared" si="29"/>
        <v>D:\TOC3201\Methods\StomDOC.met</v>
      </c>
      <c r="F132" t="str">
        <f t="shared" si="30"/>
        <v>D:\TOC3201\CalCurves\StomDOC2.2017_06_16_16_17_28.cal</v>
      </c>
      <c r="G132">
        <v>1</v>
      </c>
      <c r="H132" t="str">
        <f>""</f>
        <v/>
      </c>
      <c r="I132" t="str">
        <f>"6/17/2017 4:12:40 AM"</f>
        <v>6/17/2017 4:12:40 AM</v>
      </c>
      <c r="J132" t="str">
        <f t="shared" si="31"/>
        <v>1</v>
      </c>
      <c r="K132" t="str">
        <f>"2"</f>
        <v>2</v>
      </c>
      <c r="L132" t="str">
        <f t="shared" si="26"/>
        <v>TC</v>
      </c>
      <c r="M132" t="str">
        <f>"17.47"</f>
        <v>17.47</v>
      </c>
      <c r="N132" t="str">
        <f>"4.457"</f>
        <v>4.457</v>
      </c>
      <c r="O132" t="str">
        <f>"TC:4.608mg/L"</f>
        <v>TC:4.608mg/L</v>
      </c>
      <c r="P132">
        <v>1</v>
      </c>
      <c r="Q132" t="str">
        <f t="shared" si="27"/>
        <v>50</v>
      </c>
    </row>
    <row r="133" spans="1:17" x14ac:dyDescent="0.25">
      <c r="A133" t="str">
        <f t="shared" si="28"/>
        <v>Unknown</v>
      </c>
      <c r="B133" t="str">
        <f t="shared" si="25"/>
        <v>TC</v>
      </c>
      <c r="C133" t="str">
        <f>"Vial 47"</f>
        <v>Vial 47</v>
      </c>
      <c r="D133" t="str">
        <f>"Untitled47"</f>
        <v>Untitled47</v>
      </c>
      <c r="E133" t="str">
        <f t="shared" si="29"/>
        <v>D:\TOC3201\Methods\StomDOC.met</v>
      </c>
      <c r="F133" t="str">
        <f t="shared" si="30"/>
        <v>D:\TOC3201\CalCurves\StomDOC2.2017_06_16_16_17_28.cal</v>
      </c>
      <c r="G133">
        <v>1</v>
      </c>
      <c r="H133" t="str">
        <f>""</f>
        <v/>
      </c>
      <c r="I133" t="str">
        <f>"6/17/2017 4:17:15 AM"</f>
        <v>6/17/2017 4:17:15 AM</v>
      </c>
      <c r="J133" t="str">
        <f t="shared" si="31"/>
        <v>1</v>
      </c>
      <c r="K133" t="str">
        <f>"3"</f>
        <v>3</v>
      </c>
      <c r="L133" t="str">
        <f t="shared" si="26"/>
        <v>TC</v>
      </c>
      <c r="M133" t="str">
        <f>"18.02"</f>
        <v>18.02</v>
      </c>
      <c r="N133" t="str">
        <f>"4.597"</f>
        <v>4.597</v>
      </c>
      <c r="O133" t="str">
        <f>"TC:4.608mg/L"</f>
        <v>TC:4.608mg/L</v>
      </c>
      <c r="P133">
        <v>0</v>
      </c>
      <c r="Q133" t="str">
        <f t="shared" si="27"/>
        <v>50</v>
      </c>
    </row>
    <row r="134" spans="1:17" x14ac:dyDescent="0.25">
      <c r="A134" t="str">
        <f t="shared" si="28"/>
        <v>Unknown</v>
      </c>
      <c r="B134" t="str">
        <f t="shared" si="25"/>
        <v>TC</v>
      </c>
      <c r="C134" t="str">
        <f>"Vial 48"</f>
        <v>Vial 48</v>
      </c>
      <c r="D134" t="str">
        <f>"Untitled48"</f>
        <v>Untitled48</v>
      </c>
      <c r="E134" t="str">
        <f t="shared" si="29"/>
        <v>D:\TOC3201\Methods\StomDOC.met</v>
      </c>
      <c r="F134" t="str">
        <f t="shared" si="30"/>
        <v>D:\TOC3201\CalCurves\StomDOC2.2017_06_16_16_17_28.cal</v>
      </c>
      <c r="G134">
        <v>1</v>
      </c>
      <c r="H134" t="str">
        <f>""</f>
        <v/>
      </c>
      <c r="I134" t="str">
        <f>"6/17/2017 4:24:54 AM"</f>
        <v>6/17/2017 4:24:54 AM</v>
      </c>
      <c r="J134" t="str">
        <f t="shared" si="31"/>
        <v>1</v>
      </c>
      <c r="K134" t="str">
        <f>"1"</f>
        <v>1</v>
      </c>
      <c r="L134" t="str">
        <f t="shared" si="26"/>
        <v>TC</v>
      </c>
      <c r="M134" t="str">
        <f>"15.56"</f>
        <v>15.56</v>
      </c>
      <c r="N134" t="str">
        <f>"3.970"</f>
        <v>3.970</v>
      </c>
      <c r="O134" t="str">
        <f>"TC:4.004mg/L"</f>
        <v>TC:4.004mg/L</v>
      </c>
      <c r="P134">
        <v>0</v>
      </c>
      <c r="Q134" t="str">
        <f t="shared" si="27"/>
        <v>50</v>
      </c>
    </row>
    <row r="135" spans="1:17" x14ac:dyDescent="0.25">
      <c r="A135" t="str">
        <f t="shared" si="28"/>
        <v>Unknown</v>
      </c>
      <c r="B135" t="str">
        <f t="shared" si="25"/>
        <v>TC</v>
      </c>
      <c r="C135" t="str">
        <f>"Vial 48"</f>
        <v>Vial 48</v>
      </c>
      <c r="D135" t="str">
        <f>"Untitled48"</f>
        <v>Untitled48</v>
      </c>
      <c r="E135" t="str">
        <f t="shared" si="29"/>
        <v>D:\TOC3201\Methods\StomDOC.met</v>
      </c>
      <c r="F135" t="str">
        <f t="shared" si="30"/>
        <v>D:\TOC3201\CalCurves\StomDOC2.2017_06_16_16_17_28.cal</v>
      </c>
      <c r="G135">
        <v>1</v>
      </c>
      <c r="H135" t="str">
        <f>""</f>
        <v/>
      </c>
      <c r="I135" t="str">
        <f>"6/17/2017 4:29:22 AM"</f>
        <v>6/17/2017 4:29:22 AM</v>
      </c>
      <c r="J135" t="str">
        <f t="shared" si="31"/>
        <v>1</v>
      </c>
      <c r="K135" t="str">
        <f>"2"</f>
        <v>2</v>
      </c>
      <c r="L135" t="str">
        <f t="shared" si="26"/>
        <v>TC</v>
      </c>
      <c r="M135" t="str">
        <f>"15.83"</f>
        <v>15.83</v>
      </c>
      <c r="N135" t="str">
        <f>"4.039"</f>
        <v>4.039</v>
      </c>
      <c r="O135" t="str">
        <f>"TC:4.004mg/L"</f>
        <v>TC:4.004mg/L</v>
      </c>
      <c r="P135">
        <v>0</v>
      </c>
      <c r="Q135" t="str">
        <f t="shared" si="27"/>
        <v>50</v>
      </c>
    </row>
    <row r="136" spans="1:17" x14ac:dyDescent="0.25">
      <c r="A136" t="str">
        <f t="shared" si="28"/>
        <v>Unknown</v>
      </c>
      <c r="B136" t="str">
        <f t="shared" si="25"/>
        <v>TC</v>
      </c>
      <c r="C136" t="str">
        <f>"Vial 49"</f>
        <v>Vial 49</v>
      </c>
      <c r="D136" t="str">
        <f>"Untitled49"</f>
        <v>Untitled49</v>
      </c>
      <c r="E136" t="str">
        <f t="shared" si="29"/>
        <v>D:\TOC3201\Methods\StomDOC.met</v>
      </c>
      <c r="F136" t="str">
        <f t="shared" si="30"/>
        <v>D:\TOC3201\CalCurves\StomDOC2.2017_06_16_16_17_28.cal</v>
      </c>
      <c r="G136">
        <v>1</v>
      </c>
      <c r="H136" t="str">
        <f>""</f>
        <v/>
      </c>
      <c r="I136" t="str">
        <f>"6/17/2017 4:36:41 AM"</f>
        <v>6/17/2017 4:36:41 AM</v>
      </c>
      <c r="J136" t="str">
        <f t="shared" si="31"/>
        <v>1</v>
      </c>
      <c r="K136" t="str">
        <f>"1"</f>
        <v>1</v>
      </c>
      <c r="L136" t="str">
        <f t="shared" si="26"/>
        <v>TC</v>
      </c>
      <c r="M136" t="str">
        <f>"5.124"</f>
        <v>5.124</v>
      </c>
      <c r="N136" t="str">
        <f>"1.307"</f>
        <v>1.307</v>
      </c>
      <c r="O136" t="str">
        <f>"TC:1.081mg/L"</f>
        <v>TC:1.081mg/L</v>
      </c>
      <c r="P136">
        <v>1</v>
      </c>
      <c r="Q136" t="str">
        <f t="shared" si="27"/>
        <v>50</v>
      </c>
    </row>
    <row r="137" spans="1:17" x14ac:dyDescent="0.25">
      <c r="A137" t="str">
        <f t="shared" si="28"/>
        <v>Unknown</v>
      </c>
      <c r="B137" t="str">
        <f t="shared" si="25"/>
        <v>TC</v>
      </c>
      <c r="C137" t="str">
        <f>"Vial 49"</f>
        <v>Vial 49</v>
      </c>
      <c r="D137" t="str">
        <f>"Untitled49"</f>
        <v>Untitled49</v>
      </c>
      <c r="E137" t="str">
        <f t="shared" si="29"/>
        <v>D:\TOC3201\Methods\StomDOC.met</v>
      </c>
      <c r="F137" t="str">
        <f t="shared" si="30"/>
        <v>D:\TOC3201\CalCurves\StomDOC2.2017_06_16_16_17_28.cal</v>
      </c>
      <c r="G137">
        <v>1</v>
      </c>
      <c r="H137" t="str">
        <f>""</f>
        <v/>
      </c>
      <c r="I137" t="str">
        <f>"6/17/2017 4:40:33 AM"</f>
        <v>6/17/2017 4:40:33 AM</v>
      </c>
      <c r="J137" t="str">
        <f t="shared" si="31"/>
        <v>1</v>
      </c>
      <c r="K137" t="str">
        <f>"2"</f>
        <v>2</v>
      </c>
      <c r="L137" t="str">
        <f t="shared" si="26"/>
        <v>TC</v>
      </c>
      <c r="M137" t="str">
        <f>"4.371"</f>
        <v>4.371</v>
      </c>
      <c r="N137" t="str">
        <f>"1.115"</f>
        <v>1.115</v>
      </c>
      <c r="O137" t="str">
        <f>"TC:1.081mg/L"</f>
        <v>TC:1.081mg/L</v>
      </c>
      <c r="P137">
        <v>0</v>
      </c>
      <c r="Q137" t="str">
        <f t="shared" si="27"/>
        <v>50</v>
      </c>
    </row>
    <row r="138" spans="1:17" x14ac:dyDescent="0.25">
      <c r="A138" t="str">
        <f t="shared" si="28"/>
        <v>Unknown</v>
      </c>
      <c r="B138" t="str">
        <f t="shared" si="25"/>
        <v>TC</v>
      </c>
      <c r="C138" t="str">
        <f>"Vial 49"</f>
        <v>Vial 49</v>
      </c>
      <c r="D138" t="str">
        <f>"Untitled49"</f>
        <v>Untitled49</v>
      </c>
      <c r="E138" t="str">
        <f t="shared" si="29"/>
        <v>D:\TOC3201\Methods\StomDOC.met</v>
      </c>
      <c r="F138" t="str">
        <f t="shared" si="30"/>
        <v>D:\TOC3201\CalCurves\StomDOC2.2017_06_16_16_17_28.cal</v>
      </c>
      <c r="G138">
        <v>1</v>
      </c>
      <c r="H138" t="str">
        <f>""</f>
        <v/>
      </c>
      <c r="I138" t="str">
        <f>"6/17/2017 4:44:30 AM"</f>
        <v>6/17/2017 4:44:30 AM</v>
      </c>
      <c r="J138" t="str">
        <f t="shared" si="31"/>
        <v>1</v>
      </c>
      <c r="K138" t="str">
        <f>"3"</f>
        <v>3</v>
      </c>
      <c r="L138" t="str">
        <f t="shared" si="26"/>
        <v>TC</v>
      </c>
      <c r="M138" t="str">
        <f>"4.104"</f>
        <v>4.104</v>
      </c>
      <c r="N138" t="str">
        <f>"1.047"</f>
        <v>1.047</v>
      </c>
      <c r="O138" t="str">
        <f>"TC:1.081mg/L"</f>
        <v>TC:1.081mg/L</v>
      </c>
      <c r="P138">
        <v>0</v>
      </c>
      <c r="Q138" t="str">
        <f t="shared" si="27"/>
        <v>50</v>
      </c>
    </row>
    <row r="139" spans="1:17" x14ac:dyDescent="0.25">
      <c r="A139" t="str">
        <f t="shared" si="28"/>
        <v>Unknown</v>
      </c>
      <c r="B139" t="str">
        <f t="shared" si="25"/>
        <v>TC</v>
      </c>
      <c r="C139" t="str">
        <f>"Vial 50"</f>
        <v>Vial 50</v>
      </c>
      <c r="D139" t="str">
        <f>"Untitled50"</f>
        <v>Untitled50</v>
      </c>
      <c r="E139" t="str">
        <f t="shared" si="29"/>
        <v>D:\TOC3201\Methods\StomDOC.met</v>
      </c>
      <c r="F139" t="str">
        <f t="shared" si="30"/>
        <v>D:\TOC3201\CalCurves\StomDOC2.2017_06_16_16_17_28.cal</v>
      </c>
      <c r="G139">
        <v>1</v>
      </c>
      <c r="H139" t="str">
        <f>""</f>
        <v/>
      </c>
      <c r="I139" t="str">
        <f>"6/17/2017 4:51:34 AM"</f>
        <v>6/17/2017 4:51:34 AM</v>
      </c>
      <c r="J139" t="str">
        <f t="shared" si="31"/>
        <v>1</v>
      </c>
      <c r="K139" t="str">
        <f>"1"</f>
        <v>1</v>
      </c>
      <c r="L139" t="str">
        <f t="shared" si="26"/>
        <v>TC</v>
      </c>
      <c r="M139" t="str">
        <f>"2.578"</f>
        <v>2.578</v>
      </c>
      <c r="N139" t="str">
        <f>"0.6577"</f>
        <v>0.6577</v>
      </c>
      <c r="O139" t="str">
        <f>"TC:0.7140mg/L"</f>
        <v>TC:0.7140mg/L</v>
      </c>
      <c r="P139">
        <v>0</v>
      </c>
      <c r="Q139" t="str">
        <f t="shared" si="27"/>
        <v>50</v>
      </c>
    </row>
    <row r="140" spans="1:17" x14ac:dyDescent="0.25">
      <c r="A140" t="str">
        <f t="shared" si="28"/>
        <v>Unknown</v>
      </c>
      <c r="B140" t="str">
        <f t="shared" si="25"/>
        <v>TC</v>
      </c>
      <c r="C140" t="str">
        <f>"Vial 50"</f>
        <v>Vial 50</v>
      </c>
      <c r="D140" t="str">
        <f>"Untitled50"</f>
        <v>Untitled50</v>
      </c>
      <c r="E140" t="str">
        <f t="shared" si="29"/>
        <v>D:\TOC3201\Methods\StomDOC.met</v>
      </c>
      <c r="F140" t="str">
        <f t="shared" si="30"/>
        <v>D:\TOC3201\CalCurves\StomDOC2.2017_06_16_16_17_28.cal</v>
      </c>
      <c r="G140">
        <v>1</v>
      </c>
      <c r="H140" t="str">
        <f>""</f>
        <v/>
      </c>
      <c r="I140" t="str">
        <f>"6/17/2017 4:55:23 AM"</f>
        <v>6/17/2017 4:55:23 AM</v>
      </c>
      <c r="J140" t="str">
        <f t="shared" si="31"/>
        <v>1</v>
      </c>
      <c r="K140" t="str">
        <f>"2"</f>
        <v>2</v>
      </c>
      <c r="L140" t="str">
        <f t="shared" si="26"/>
        <v>TC</v>
      </c>
      <c r="M140" t="str">
        <f>"3.809"</f>
        <v>3.809</v>
      </c>
      <c r="N140" t="str">
        <f>"0.9718"</f>
        <v>0.9718</v>
      </c>
      <c r="O140" t="str">
        <f>"TC:0.7140mg/L"</f>
        <v>TC:0.7140mg/L</v>
      </c>
      <c r="P140">
        <v>1</v>
      </c>
      <c r="Q140" t="str">
        <f t="shared" si="27"/>
        <v>50</v>
      </c>
    </row>
    <row r="141" spans="1:17" x14ac:dyDescent="0.25">
      <c r="A141" t="str">
        <f t="shared" si="28"/>
        <v>Unknown</v>
      </c>
      <c r="B141" t="str">
        <f t="shared" si="25"/>
        <v>TC</v>
      </c>
      <c r="C141" t="str">
        <f>"Vial 50"</f>
        <v>Vial 50</v>
      </c>
      <c r="D141" t="str">
        <f>"Untitled50"</f>
        <v>Untitled50</v>
      </c>
      <c r="E141" t="str">
        <f t="shared" si="29"/>
        <v>D:\TOC3201\Methods\StomDOC.met</v>
      </c>
      <c r="F141" t="str">
        <f t="shared" si="30"/>
        <v>D:\TOC3201\CalCurves\StomDOC2.2017_06_16_16_17_28.cal</v>
      </c>
      <c r="G141">
        <v>1</v>
      </c>
      <c r="H141" t="str">
        <f>""</f>
        <v/>
      </c>
      <c r="I141" t="str">
        <f>"6/17/2017 4:59:18 AM"</f>
        <v>6/17/2017 4:59:18 AM</v>
      </c>
      <c r="J141" t="str">
        <f t="shared" si="31"/>
        <v>1</v>
      </c>
      <c r="K141" t="str">
        <f>"3"</f>
        <v>3</v>
      </c>
      <c r="L141" t="str">
        <f t="shared" si="26"/>
        <v>TC</v>
      </c>
      <c r="M141" t="str">
        <f>"3.019"</f>
        <v>3.019</v>
      </c>
      <c r="N141" t="str">
        <f>"0.7702"</f>
        <v>0.7702</v>
      </c>
      <c r="O141" t="str">
        <f>"TC:0.7140mg/L"</f>
        <v>TC:0.7140mg/L</v>
      </c>
      <c r="P141">
        <v>0</v>
      </c>
      <c r="Q141" t="str">
        <f t="shared" si="27"/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G1" sqref="G1"/>
    </sheetView>
  </sheetViews>
  <sheetFormatPr defaultRowHeight="15" x14ac:dyDescent="0.25"/>
  <cols>
    <col min="2" max="2" width="13.85546875" bestFit="1" customWidth="1"/>
    <col min="4" max="4" width="13.140625" bestFit="1" customWidth="1"/>
    <col min="5" max="5" width="15.42578125" bestFit="1" customWidth="1"/>
  </cols>
  <sheetData>
    <row r="1" spans="1:6" x14ac:dyDescent="0.25">
      <c r="A1" t="s">
        <v>49</v>
      </c>
      <c r="B1" t="s">
        <v>1</v>
      </c>
      <c r="D1" s="2" t="s">
        <v>2</v>
      </c>
      <c r="E1" t="s">
        <v>50</v>
      </c>
      <c r="F1" t="s">
        <v>95</v>
      </c>
    </row>
    <row r="2" spans="1:6" x14ac:dyDescent="0.25">
      <c r="A2" t="s">
        <v>43</v>
      </c>
      <c r="B2">
        <v>18.78</v>
      </c>
      <c r="D2" s="3">
        <v>5</v>
      </c>
      <c r="E2" s="4">
        <v>18.78</v>
      </c>
      <c r="F2" t="s">
        <v>51</v>
      </c>
    </row>
    <row r="3" spans="1:6" x14ac:dyDescent="0.25">
      <c r="A3" t="s">
        <v>43</v>
      </c>
      <c r="B3">
        <v>18.78</v>
      </c>
      <c r="D3" s="3">
        <v>6</v>
      </c>
      <c r="E3" s="4">
        <v>9.6549999999999994</v>
      </c>
      <c r="F3" t="s">
        <v>52</v>
      </c>
    </row>
    <row r="4" spans="1:6" x14ac:dyDescent="0.25">
      <c r="A4" t="s">
        <v>43</v>
      </c>
      <c r="B4">
        <v>18.78</v>
      </c>
      <c r="D4" s="3">
        <v>7</v>
      </c>
      <c r="E4" s="4">
        <v>12.949999999999998</v>
      </c>
      <c r="F4" t="s">
        <v>53</v>
      </c>
    </row>
    <row r="5" spans="1:6" x14ac:dyDescent="0.25">
      <c r="A5" t="s">
        <v>45</v>
      </c>
      <c r="B5">
        <v>9.6549999999999994</v>
      </c>
      <c r="D5" s="3">
        <v>8</v>
      </c>
      <c r="E5" s="4">
        <v>13.11</v>
      </c>
      <c r="F5" t="s">
        <v>54</v>
      </c>
    </row>
    <row r="6" spans="1:6" x14ac:dyDescent="0.25">
      <c r="A6" t="s">
        <v>45</v>
      </c>
      <c r="B6">
        <v>9.6549999999999994</v>
      </c>
      <c r="D6" s="3">
        <v>9</v>
      </c>
      <c r="E6" s="4">
        <v>9.9969999999999999</v>
      </c>
      <c r="F6" t="s">
        <v>55</v>
      </c>
    </row>
    <row r="7" spans="1:6" x14ac:dyDescent="0.25">
      <c r="A7" t="s">
        <v>45</v>
      </c>
      <c r="B7">
        <v>9.6549999999999994</v>
      </c>
      <c r="D7" s="3">
        <v>10</v>
      </c>
      <c r="E7" s="4">
        <v>11.64</v>
      </c>
      <c r="F7" t="s">
        <v>56</v>
      </c>
    </row>
    <row r="8" spans="1:6" x14ac:dyDescent="0.25">
      <c r="A8" t="s">
        <v>46</v>
      </c>
      <c r="B8">
        <v>12.95</v>
      </c>
      <c r="D8" s="3">
        <v>11</v>
      </c>
      <c r="E8" s="4">
        <v>14.56</v>
      </c>
      <c r="F8" t="s">
        <v>57</v>
      </c>
    </row>
    <row r="9" spans="1:6" x14ac:dyDescent="0.25">
      <c r="A9" t="s">
        <v>46</v>
      </c>
      <c r="B9">
        <v>12.95</v>
      </c>
      <c r="D9" s="3">
        <v>12</v>
      </c>
      <c r="E9" s="4">
        <v>10.67</v>
      </c>
      <c r="F9" t="s">
        <v>58</v>
      </c>
    </row>
    <row r="10" spans="1:6" x14ac:dyDescent="0.25">
      <c r="A10" t="s">
        <v>46</v>
      </c>
      <c r="B10">
        <v>12.95</v>
      </c>
      <c r="D10" s="3">
        <v>13</v>
      </c>
      <c r="E10" s="4">
        <v>13.520000000000001</v>
      </c>
      <c r="F10" t="s">
        <v>59</v>
      </c>
    </row>
    <row r="11" spans="1:6" x14ac:dyDescent="0.25">
      <c r="A11" t="s">
        <v>47</v>
      </c>
      <c r="B11">
        <v>13.11</v>
      </c>
      <c r="D11" s="3">
        <v>14</v>
      </c>
      <c r="E11" s="4">
        <v>10.95</v>
      </c>
      <c r="F11" t="s">
        <v>60</v>
      </c>
    </row>
    <row r="12" spans="1:6" x14ac:dyDescent="0.25">
      <c r="A12" t="s">
        <v>47</v>
      </c>
      <c r="B12">
        <v>13.11</v>
      </c>
      <c r="D12" s="3">
        <v>15</v>
      </c>
      <c r="E12" s="4">
        <v>11.18</v>
      </c>
      <c r="F12" t="s">
        <v>61</v>
      </c>
    </row>
    <row r="13" spans="1:6" x14ac:dyDescent="0.25">
      <c r="A13" t="s">
        <v>47</v>
      </c>
      <c r="B13">
        <v>13.11</v>
      </c>
      <c r="D13" s="3">
        <v>16</v>
      </c>
      <c r="E13" s="4">
        <v>12.9</v>
      </c>
      <c r="F13" t="s">
        <v>62</v>
      </c>
    </row>
    <row r="14" spans="1:6" x14ac:dyDescent="0.25">
      <c r="A14" t="s">
        <v>48</v>
      </c>
      <c r="B14">
        <v>9.9969999999999999</v>
      </c>
      <c r="D14" s="3">
        <v>17</v>
      </c>
      <c r="E14" s="4">
        <v>11.56</v>
      </c>
      <c r="F14" t="s">
        <v>63</v>
      </c>
    </row>
    <row r="15" spans="1:6" x14ac:dyDescent="0.25">
      <c r="A15" t="s">
        <v>48</v>
      </c>
      <c r="B15">
        <v>9.9969999999999999</v>
      </c>
      <c r="D15" s="3">
        <v>18</v>
      </c>
      <c r="E15" s="4">
        <v>12.07</v>
      </c>
      <c r="F15" t="s">
        <v>64</v>
      </c>
    </row>
    <row r="16" spans="1:6" x14ac:dyDescent="0.25">
      <c r="A16" t="s">
        <v>48</v>
      </c>
      <c r="B16">
        <v>9.9969999999999999</v>
      </c>
      <c r="D16" s="3">
        <v>19</v>
      </c>
      <c r="E16" s="4">
        <v>10.800000000000002</v>
      </c>
      <c r="F16" t="s">
        <v>65</v>
      </c>
    </row>
    <row r="17" spans="1:6" x14ac:dyDescent="0.25">
      <c r="A17" t="s">
        <v>3</v>
      </c>
      <c r="B17">
        <v>11.64</v>
      </c>
      <c r="D17" s="3">
        <v>20</v>
      </c>
      <c r="E17" s="4">
        <v>9.3529999999999998</v>
      </c>
      <c r="F17" t="s">
        <v>66</v>
      </c>
    </row>
    <row r="18" spans="1:6" x14ac:dyDescent="0.25">
      <c r="A18" t="s">
        <v>3</v>
      </c>
      <c r="B18">
        <v>11.64</v>
      </c>
      <c r="D18" s="3">
        <v>21</v>
      </c>
      <c r="E18" s="4">
        <v>9.9269999999999996</v>
      </c>
      <c r="F18" t="s">
        <v>67</v>
      </c>
    </row>
    <row r="19" spans="1:6" x14ac:dyDescent="0.25">
      <c r="A19" t="s">
        <v>4</v>
      </c>
      <c r="B19">
        <v>14.56</v>
      </c>
      <c r="D19" s="3">
        <v>22</v>
      </c>
      <c r="E19" s="4">
        <v>12.88</v>
      </c>
      <c r="F19" t="s">
        <v>68</v>
      </c>
    </row>
    <row r="20" spans="1:6" x14ac:dyDescent="0.25">
      <c r="A20" t="s">
        <v>4</v>
      </c>
      <c r="B20">
        <v>14.56</v>
      </c>
      <c r="D20" s="3">
        <v>23</v>
      </c>
      <c r="E20" s="4">
        <v>10.93</v>
      </c>
      <c r="F20" t="s">
        <v>69</v>
      </c>
    </row>
    <row r="21" spans="1:6" x14ac:dyDescent="0.25">
      <c r="A21" t="s">
        <v>5</v>
      </c>
      <c r="B21">
        <v>10.67</v>
      </c>
      <c r="D21" s="3">
        <v>24</v>
      </c>
      <c r="E21" s="4">
        <v>10.11</v>
      </c>
      <c r="F21" t="s">
        <v>70</v>
      </c>
    </row>
    <row r="22" spans="1:6" x14ac:dyDescent="0.25">
      <c r="A22" t="s">
        <v>5</v>
      </c>
      <c r="B22">
        <v>10.67</v>
      </c>
      <c r="D22" s="3">
        <v>25</v>
      </c>
      <c r="E22" s="4">
        <v>10.93</v>
      </c>
      <c r="F22" t="s">
        <v>71</v>
      </c>
    </row>
    <row r="23" spans="1:6" x14ac:dyDescent="0.25">
      <c r="A23" t="s">
        <v>6</v>
      </c>
      <c r="B23">
        <v>13.52</v>
      </c>
      <c r="D23" s="3">
        <v>26</v>
      </c>
      <c r="E23" s="4">
        <v>1.2330000000000001</v>
      </c>
      <c r="F23" t="s">
        <v>72</v>
      </c>
    </row>
    <row r="24" spans="1:6" x14ac:dyDescent="0.25">
      <c r="A24" t="s">
        <v>6</v>
      </c>
      <c r="B24">
        <v>13.52</v>
      </c>
      <c r="D24" s="3">
        <v>27</v>
      </c>
      <c r="E24" s="4">
        <v>1.1379999999999999</v>
      </c>
      <c r="F24" t="s">
        <v>73</v>
      </c>
    </row>
    <row r="25" spans="1:6" x14ac:dyDescent="0.25">
      <c r="A25" t="s">
        <v>6</v>
      </c>
      <c r="B25">
        <v>13.52</v>
      </c>
      <c r="D25" s="3">
        <v>28</v>
      </c>
      <c r="E25" s="4">
        <v>8.5250000000000004</v>
      </c>
      <c r="F25" t="s">
        <v>74</v>
      </c>
    </row>
    <row r="26" spans="1:6" x14ac:dyDescent="0.25">
      <c r="A26" t="s">
        <v>7</v>
      </c>
      <c r="B26">
        <v>10.95</v>
      </c>
      <c r="D26" s="3">
        <v>29</v>
      </c>
      <c r="E26" s="4">
        <v>7.6639999999999988</v>
      </c>
      <c r="F26" t="s">
        <v>75</v>
      </c>
    </row>
    <row r="27" spans="1:6" x14ac:dyDescent="0.25">
      <c r="A27" t="s">
        <v>7</v>
      </c>
      <c r="B27">
        <v>10.95</v>
      </c>
      <c r="D27" s="3">
        <v>30</v>
      </c>
      <c r="E27" s="4">
        <v>6.5449999999999999</v>
      </c>
      <c r="F27" t="s">
        <v>76</v>
      </c>
    </row>
    <row r="28" spans="1:6" x14ac:dyDescent="0.25">
      <c r="A28" t="s">
        <v>8</v>
      </c>
      <c r="B28">
        <v>11.18</v>
      </c>
      <c r="D28" s="3">
        <v>31</v>
      </c>
      <c r="E28" s="4">
        <v>7.5469999999999997</v>
      </c>
      <c r="F28" t="s">
        <v>77</v>
      </c>
    </row>
    <row r="29" spans="1:6" x14ac:dyDescent="0.25">
      <c r="A29" t="s">
        <v>8</v>
      </c>
      <c r="B29">
        <v>11.18</v>
      </c>
      <c r="D29" s="3">
        <v>32</v>
      </c>
      <c r="E29" s="4">
        <v>6.2779999999999996</v>
      </c>
      <c r="F29" t="s">
        <v>78</v>
      </c>
    </row>
    <row r="30" spans="1:6" x14ac:dyDescent="0.25">
      <c r="A30" t="s">
        <v>9</v>
      </c>
      <c r="B30">
        <v>12.9</v>
      </c>
      <c r="D30" s="3">
        <v>33</v>
      </c>
      <c r="E30" s="4">
        <v>7.0049999999999999</v>
      </c>
      <c r="F30" t="s">
        <v>79</v>
      </c>
    </row>
    <row r="31" spans="1:6" x14ac:dyDescent="0.25">
      <c r="A31" t="s">
        <v>9</v>
      </c>
      <c r="B31">
        <v>12.9</v>
      </c>
      <c r="D31" s="3">
        <v>34</v>
      </c>
      <c r="E31" s="4">
        <v>6.9560000000000004</v>
      </c>
      <c r="F31" t="s">
        <v>80</v>
      </c>
    </row>
    <row r="32" spans="1:6" x14ac:dyDescent="0.25">
      <c r="A32" t="s">
        <v>9</v>
      </c>
      <c r="B32">
        <v>12.9</v>
      </c>
      <c r="D32" s="3">
        <v>35</v>
      </c>
      <c r="E32" s="4">
        <v>7.2039999999999997</v>
      </c>
      <c r="F32" t="s">
        <v>81</v>
      </c>
    </row>
    <row r="33" spans="1:6" x14ac:dyDescent="0.25">
      <c r="A33" t="s">
        <v>10</v>
      </c>
      <c r="B33">
        <v>11.56</v>
      </c>
      <c r="D33" s="3">
        <v>36</v>
      </c>
      <c r="E33" s="4">
        <v>7.6920000000000002</v>
      </c>
      <c r="F33" t="s">
        <v>82</v>
      </c>
    </row>
    <row r="34" spans="1:6" x14ac:dyDescent="0.25">
      <c r="A34" t="s">
        <v>10</v>
      </c>
      <c r="B34">
        <v>11.56</v>
      </c>
      <c r="D34" s="3">
        <v>37</v>
      </c>
      <c r="E34" s="4">
        <v>5.3529999999999989</v>
      </c>
      <c r="F34" t="s">
        <v>83</v>
      </c>
    </row>
    <row r="35" spans="1:6" x14ac:dyDescent="0.25">
      <c r="A35" t="s">
        <v>11</v>
      </c>
      <c r="B35">
        <v>12.07</v>
      </c>
      <c r="D35" s="3">
        <v>38</v>
      </c>
      <c r="E35" s="4">
        <v>6.1789999999999994</v>
      </c>
      <c r="F35" t="s">
        <v>84</v>
      </c>
    </row>
    <row r="36" spans="1:6" x14ac:dyDescent="0.25">
      <c r="A36" t="s">
        <v>11</v>
      </c>
      <c r="B36">
        <v>12.07</v>
      </c>
      <c r="D36" s="3">
        <v>39</v>
      </c>
      <c r="E36" s="4">
        <v>9.1669999999999998</v>
      </c>
      <c r="F36" t="s">
        <v>85</v>
      </c>
    </row>
    <row r="37" spans="1:6" x14ac:dyDescent="0.25">
      <c r="A37" t="s">
        <v>12</v>
      </c>
      <c r="B37">
        <v>10.8</v>
      </c>
      <c r="D37" s="3">
        <v>40</v>
      </c>
      <c r="E37" s="4">
        <v>5.48</v>
      </c>
      <c r="F37" t="s">
        <v>86</v>
      </c>
    </row>
    <row r="38" spans="1:6" x14ac:dyDescent="0.25">
      <c r="A38" t="s">
        <v>12</v>
      </c>
      <c r="B38">
        <v>10.8</v>
      </c>
      <c r="D38" s="3">
        <v>41</v>
      </c>
      <c r="E38" s="4">
        <v>6.859</v>
      </c>
      <c r="F38" t="s">
        <v>87</v>
      </c>
    </row>
    <row r="39" spans="1:6" x14ac:dyDescent="0.25">
      <c r="A39" t="s">
        <v>12</v>
      </c>
      <c r="B39">
        <v>10.8</v>
      </c>
      <c r="D39" s="3">
        <v>42</v>
      </c>
      <c r="E39" s="4">
        <v>5.0869999999999997</v>
      </c>
      <c r="F39" t="s">
        <v>88</v>
      </c>
    </row>
    <row r="40" spans="1:6" x14ac:dyDescent="0.25">
      <c r="A40" t="s">
        <v>13</v>
      </c>
      <c r="B40">
        <v>9.3529999999999998</v>
      </c>
      <c r="D40" s="3">
        <v>43</v>
      </c>
      <c r="E40" s="4">
        <v>6.548</v>
      </c>
      <c r="F40" t="s">
        <v>89</v>
      </c>
    </row>
    <row r="41" spans="1:6" x14ac:dyDescent="0.25">
      <c r="A41" t="s">
        <v>13</v>
      </c>
      <c r="B41">
        <v>9.3529999999999998</v>
      </c>
      <c r="D41" s="3">
        <v>44</v>
      </c>
      <c r="E41" s="4">
        <v>8.0579999999999998</v>
      </c>
      <c r="F41" t="s">
        <v>90</v>
      </c>
    </row>
    <row r="42" spans="1:6" x14ac:dyDescent="0.25">
      <c r="A42" t="s">
        <v>13</v>
      </c>
      <c r="B42">
        <v>9.3529999999999998</v>
      </c>
      <c r="D42" s="3">
        <v>45</v>
      </c>
      <c r="E42" s="4">
        <v>7.41</v>
      </c>
      <c r="F42" t="s">
        <v>91</v>
      </c>
    </row>
    <row r="43" spans="1:6" x14ac:dyDescent="0.25">
      <c r="A43" t="s">
        <v>14</v>
      </c>
      <c r="B43">
        <v>9.9269999999999996</v>
      </c>
      <c r="D43" s="3">
        <v>46</v>
      </c>
      <c r="E43" s="4">
        <v>7.7690000000000001</v>
      </c>
      <c r="F43" t="s">
        <v>92</v>
      </c>
    </row>
    <row r="44" spans="1:6" x14ac:dyDescent="0.25">
      <c r="A44" t="s">
        <v>14</v>
      </c>
      <c r="B44">
        <v>9.9269999999999996</v>
      </c>
      <c r="D44" s="3">
        <v>47</v>
      </c>
      <c r="E44" s="4">
        <v>4.6079999999999997</v>
      </c>
      <c r="F44" t="s">
        <v>93</v>
      </c>
    </row>
    <row r="45" spans="1:6" x14ac:dyDescent="0.25">
      <c r="A45" t="s">
        <v>14</v>
      </c>
      <c r="B45">
        <v>9.9269999999999996</v>
      </c>
      <c r="D45" s="3">
        <v>48</v>
      </c>
      <c r="E45" s="4">
        <v>4.0039999999999996</v>
      </c>
      <c r="F45" t="s">
        <v>71</v>
      </c>
    </row>
    <row r="46" spans="1:6" x14ac:dyDescent="0.25">
      <c r="A46" t="s">
        <v>15</v>
      </c>
      <c r="B46">
        <v>12.88</v>
      </c>
      <c r="D46" s="3">
        <v>49</v>
      </c>
      <c r="E46" s="4">
        <v>1.081</v>
      </c>
      <c r="F46" t="s">
        <v>72</v>
      </c>
    </row>
    <row r="47" spans="1:6" x14ac:dyDescent="0.25">
      <c r="A47" t="s">
        <v>15</v>
      </c>
      <c r="B47">
        <v>12.88</v>
      </c>
      <c r="D47" s="3">
        <v>50</v>
      </c>
      <c r="E47" s="4">
        <v>0.71399999999999997</v>
      </c>
      <c r="F47" t="s">
        <v>73</v>
      </c>
    </row>
    <row r="48" spans="1:6" x14ac:dyDescent="0.25">
      <c r="A48" t="s">
        <v>16</v>
      </c>
      <c r="B48">
        <v>10.93</v>
      </c>
      <c r="D48" s="3"/>
      <c r="E48" s="4"/>
      <c r="F48" t="s">
        <v>94</v>
      </c>
    </row>
    <row r="49" spans="1:2" x14ac:dyDescent="0.25">
      <c r="A49" t="s">
        <v>16</v>
      </c>
      <c r="B49">
        <v>10.93</v>
      </c>
    </row>
    <row r="50" spans="1:2" x14ac:dyDescent="0.25">
      <c r="A50" t="s">
        <v>16</v>
      </c>
      <c r="B50">
        <v>10.93</v>
      </c>
    </row>
    <row r="51" spans="1:2" x14ac:dyDescent="0.25">
      <c r="A51" t="s">
        <v>17</v>
      </c>
      <c r="B51">
        <v>10.11</v>
      </c>
    </row>
    <row r="52" spans="1:2" x14ac:dyDescent="0.25">
      <c r="A52" t="s">
        <v>17</v>
      </c>
      <c r="B52">
        <v>10.11</v>
      </c>
    </row>
    <row r="53" spans="1:2" x14ac:dyDescent="0.25">
      <c r="A53" t="s">
        <v>17</v>
      </c>
      <c r="B53">
        <v>10.11</v>
      </c>
    </row>
    <row r="54" spans="1:2" x14ac:dyDescent="0.25">
      <c r="A54" t="s">
        <v>18</v>
      </c>
      <c r="B54">
        <v>10.93</v>
      </c>
    </row>
    <row r="55" spans="1:2" x14ac:dyDescent="0.25">
      <c r="A55" t="s">
        <v>18</v>
      </c>
      <c r="B55">
        <v>10.93</v>
      </c>
    </row>
    <row r="56" spans="1:2" x14ac:dyDescent="0.25">
      <c r="A56" t="s">
        <v>19</v>
      </c>
      <c r="B56">
        <v>1.2330000000000001</v>
      </c>
    </row>
    <row r="57" spans="1:2" x14ac:dyDescent="0.25">
      <c r="A57" t="s">
        <v>19</v>
      </c>
      <c r="B57">
        <v>1.2330000000000001</v>
      </c>
    </row>
    <row r="58" spans="1:2" x14ac:dyDescent="0.25">
      <c r="A58" t="s">
        <v>19</v>
      </c>
      <c r="B58">
        <v>1.2330000000000001</v>
      </c>
    </row>
    <row r="59" spans="1:2" x14ac:dyDescent="0.25">
      <c r="A59" t="s">
        <v>20</v>
      </c>
      <c r="B59">
        <v>1.1379999999999999</v>
      </c>
    </row>
    <row r="60" spans="1:2" x14ac:dyDescent="0.25">
      <c r="A60" t="s">
        <v>20</v>
      </c>
      <c r="B60">
        <v>1.1379999999999999</v>
      </c>
    </row>
    <row r="61" spans="1:2" x14ac:dyDescent="0.25">
      <c r="A61" t="s">
        <v>20</v>
      </c>
      <c r="B61">
        <v>1.1379999999999999</v>
      </c>
    </row>
    <row r="62" spans="1:2" x14ac:dyDescent="0.25">
      <c r="A62" t="s">
        <v>21</v>
      </c>
      <c r="B62">
        <v>8.5250000000000004</v>
      </c>
    </row>
    <row r="63" spans="1:2" x14ac:dyDescent="0.25">
      <c r="A63" t="s">
        <v>21</v>
      </c>
      <c r="B63">
        <v>8.5250000000000004</v>
      </c>
    </row>
    <row r="64" spans="1:2" x14ac:dyDescent="0.25">
      <c r="A64" t="s">
        <v>21</v>
      </c>
      <c r="B64">
        <v>8.5250000000000004</v>
      </c>
    </row>
    <row r="65" spans="1:2" x14ac:dyDescent="0.25">
      <c r="A65" t="s">
        <v>22</v>
      </c>
      <c r="B65">
        <v>7.6639999999999997</v>
      </c>
    </row>
    <row r="66" spans="1:2" x14ac:dyDescent="0.25">
      <c r="A66" t="s">
        <v>22</v>
      </c>
      <c r="B66">
        <v>7.6639999999999997</v>
      </c>
    </row>
    <row r="67" spans="1:2" x14ac:dyDescent="0.25">
      <c r="A67" t="s">
        <v>22</v>
      </c>
      <c r="B67">
        <v>7.6639999999999997</v>
      </c>
    </row>
    <row r="68" spans="1:2" x14ac:dyDescent="0.25">
      <c r="A68" t="s">
        <v>23</v>
      </c>
      <c r="B68">
        <v>6.5449999999999999</v>
      </c>
    </row>
    <row r="69" spans="1:2" x14ac:dyDescent="0.25">
      <c r="A69" t="s">
        <v>23</v>
      </c>
      <c r="B69">
        <v>6.5449999999999999</v>
      </c>
    </row>
    <row r="70" spans="1:2" x14ac:dyDescent="0.25">
      <c r="A70" t="s">
        <v>24</v>
      </c>
      <c r="B70">
        <v>7.5469999999999997</v>
      </c>
    </row>
    <row r="71" spans="1:2" x14ac:dyDescent="0.25">
      <c r="A71" t="s">
        <v>24</v>
      </c>
      <c r="B71">
        <v>7.5469999999999997</v>
      </c>
    </row>
    <row r="72" spans="1:2" x14ac:dyDescent="0.25">
      <c r="A72" t="s">
        <v>25</v>
      </c>
      <c r="B72">
        <v>6.2779999999999996</v>
      </c>
    </row>
    <row r="73" spans="1:2" x14ac:dyDescent="0.25">
      <c r="A73" t="s">
        <v>25</v>
      </c>
      <c r="B73">
        <v>6.2779999999999996</v>
      </c>
    </row>
    <row r="74" spans="1:2" x14ac:dyDescent="0.25">
      <c r="A74" t="s">
        <v>26</v>
      </c>
      <c r="B74">
        <v>7.0049999999999999</v>
      </c>
    </row>
    <row r="75" spans="1:2" x14ac:dyDescent="0.25">
      <c r="A75" t="s">
        <v>26</v>
      </c>
      <c r="B75">
        <v>7.0049999999999999</v>
      </c>
    </row>
    <row r="76" spans="1:2" x14ac:dyDescent="0.25">
      <c r="A76" t="s">
        <v>26</v>
      </c>
      <c r="B76">
        <v>7.0049999999999999</v>
      </c>
    </row>
    <row r="77" spans="1:2" x14ac:dyDescent="0.25">
      <c r="A77" t="s">
        <v>27</v>
      </c>
      <c r="B77">
        <v>6.9560000000000004</v>
      </c>
    </row>
    <row r="78" spans="1:2" x14ac:dyDescent="0.25">
      <c r="A78" t="s">
        <v>27</v>
      </c>
      <c r="B78">
        <v>6.9560000000000004</v>
      </c>
    </row>
    <row r="79" spans="1:2" x14ac:dyDescent="0.25">
      <c r="A79" t="s">
        <v>27</v>
      </c>
      <c r="B79">
        <v>6.9560000000000004</v>
      </c>
    </row>
    <row r="80" spans="1:2" x14ac:dyDescent="0.25">
      <c r="A80" t="s">
        <v>28</v>
      </c>
      <c r="B80">
        <v>7.2039999999999997</v>
      </c>
    </row>
    <row r="81" spans="1:2" x14ac:dyDescent="0.25">
      <c r="A81" t="s">
        <v>28</v>
      </c>
      <c r="B81">
        <v>7.2039999999999997</v>
      </c>
    </row>
    <row r="82" spans="1:2" x14ac:dyDescent="0.25">
      <c r="A82" t="s">
        <v>28</v>
      </c>
      <c r="B82">
        <v>7.2039999999999997</v>
      </c>
    </row>
    <row r="83" spans="1:2" x14ac:dyDescent="0.25">
      <c r="A83" t="s">
        <v>29</v>
      </c>
      <c r="B83">
        <v>7.6920000000000002</v>
      </c>
    </row>
    <row r="84" spans="1:2" x14ac:dyDescent="0.25">
      <c r="A84" t="s">
        <v>29</v>
      </c>
      <c r="B84">
        <v>7.6920000000000002</v>
      </c>
    </row>
    <row r="85" spans="1:2" x14ac:dyDescent="0.25">
      <c r="A85" t="s">
        <v>30</v>
      </c>
      <c r="B85">
        <v>5.3529999999999998</v>
      </c>
    </row>
    <row r="86" spans="1:2" x14ac:dyDescent="0.25">
      <c r="A86" t="s">
        <v>30</v>
      </c>
      <c r="B86">
        <v>5.3529999999999998</v>
      </c>
    </row>
    <row r="87" spans="1:2" x14ac:dyDescent="0.25">
      <c r="A87" t="s">
        <v>30</v>
      </c>
      <c r="B87">
        <v>5.3529999999999998</v>
      </c>
    </row>
    <row r="88" spans="1:2" x14ac:dyDescent="0.25">
      <c r="A88" t="s">
        <v>31</v>
      </c>
      <c r="B88">
        <v>6.1790000000000003</v>
      </c>
    </row>
    <row r="89" spans="1:2" x14ac:dyDescent="0.25">
      <c r="A89" t="s">
        <v>31</v>
      </c>
      <c r="B89">
        <v>6.1790000000000003</v>
      </c>
    </row>
    <row r="90" spans="1:2" x14ac:dyDescent="0.25">
      <c r="A90" t="s">
        <v>31</v>
      </c>
      <c r="B90">
        <v>6.1790000000000003</v>
      </c>
    </row>
    <row r="91" spans="1:2" x14ac:dyDescent="0.25">
      <c r="A91" t="s">
        <v>32</v>
      </c>
      <c r="B91">
        <v>9.1669999999999998</v>
      </c>
    </row>
    <row r="92" spans="1:2" x14ac:dyDescent="0.25">
      <c r="A92" t="s">
        <v>32</v>
      </c>
      <c r="B92">
        <v>9.1669999999999998</v>
      </c>
    </row>
    <row r="93" spans="1:2" x14ac:dyDescent="0.25">
      <c r="A93" t="s">
        <v>32</v>
      </c>
      <c r="B93">
        <v>9.1669999999999998</v>
      </c>
    </row>
    <row r="94" spans="1:2" x14ac:dyDescent="0.25">
      <c r="A94" t="s">
        <v>33</v>
      </c>
      <c r="B94">
        <v>5.48</v>
      </c>
    </row>
    <row r="95" spans="1:2" x14ac:dyDescent="0.25">
      <c r="A95" t="s">
        <v>33</v>
      </c>
      <c r="B95">
        <v>5.48</v>
      </c>
    </row>
    <row r="96" spans="1:2" x14ac:dyDescent="0.25">
      <c r="A96" t="s">
        <v>34</v>
      </c>
      <c r="B96">
        <v>6.859</v>
      </c>
    </row>
    <row r="97" spans="1:2" x14ac:dyDescent="0.25">
      <c r="A97" t="s">
        <v>34</v>
      </c>
      <c r="B97">
        <v>6.859</v>
      </c>
    </row>
    <row r="98" spans="1:2" x14ac:dyDescent="0.25">
      <c r="A98" t="s">
        <v>35</v>
      </c>
      <c r="B98">
        <v>5.0869999999999997</v>
      </c>
    </row>
    <row r="99" spans="1:2" x14ac:dyDescent="0.25">
      <c r="A99" t="s">
        <v>35</v>
      </c>
      <c r="B99">
        <v>5.0869999999999997</v>
      </c>
    </row>
    <row r="100" spans="1:2" x14ac:dyDescent="0.25">
      <c r="A100" t="s">
        <v>36</v>
      </c>
      <c r="B100">
        <v>6.548</v>
      </c>
    </row>
    <row r="101" spans="1:2" x14ac:dyDescent="0.25">
      <c r="A101" t="s">
        <v>36</v>
      </c>
      <c r="B101">
        <v>6.548</v>
      </c>
    </row>
    <row r="102" spans="1:2" x14ac:dyDescent="0.25">
      <c r="A102" t="s">
        <v>37</v>
      </c>
      <c r="B102">
        <v>8.0579999999999998</v>
      </c>
    </row>
    <row r="103" spans="1:2" x14ac:dyDescent="0.25">
      <c r="A103" t="s">
        <v>37</v>
      </c>
      <c r="B103">
        <v>8.0579999999999998</v>
      </c>
    </row>
    <row r="104" spans="1:2" x14ac:dyDescent="0.25">
      <c r="A104" t="s">
        <v>38</v>
      </c>
      <c r="B104">
        <v>7.41</v>
      </c>
    </row>
    <row r="105" spans="1:2" x14ac:dyDescent="0.25">
      <c r="A105" t="s">
        <v>38</v>
      </c>
      <c r="B105">
        <v>7.41</v>
      </c>
    </row>
    <row r="106" spans="1:2" x14ac:dyDescent="0.25">
      <c r="A106" t="s">
        <v>39</v>
      </c>
      <c r="B106">
        <v>7.7690000000000001</v>
      </c>
    </row>
    <row r="107" spans="1:2" x14ac:dyDescent="0.25">
      <c r="A107" t="s">
        <v>39</v>
      </c>
      <c r="B107">
        <v>7.7690000000000001</v>
      </c>
    </row>
    <row r="108" spans="1:2" x14ac:dyDescent="0.25">
      <c r="A108" t="s">
        <v>40</v>
      </c>
      <c r="B108">
        <v>4.6079999999999997</v>
      </c>
    </row>
    <row r="109" spans="1:2" x14ac:dyDescent="0.25">
      <c r="A109" t="s">
        <v>40</v>
      </c>
      <c r="B109">
        <v>4.6079999999999997</v>
      </c>
    </row>
    <row r="110" spans="1:2" x14ac:dyDescent="0.25">
      <c r="A110" t="s">
        <v>40</v>
      </c>
      <c r="B110">
        <v>4.6079999999999997</v>
      </c>
    </row>
    <row r="111" spans="1:2" x14ac:dyDescent="0.25">
      <c r="A111" t="s">
        <v>41</v>
      </c>
      <c r="B111">
        <v>4.0039999999999996</v>
      </c>
    </row>
    <row r="112" spans="1:2" x14ac:dyDescent="0.25">
      <c r="A112" t="s">
        <v>41</v>
      </c>
      <c r="B112">
        <v>4.0039999999999996</v>
      </c>
    </row>
    <row r="113" spans="1:2" x14ac:dyDescent="0.25">
      <c r="A113" t="s">
        <v>42</v>
      </c>
      <c r="B113">
        <v>1.081</v>
      </c>
    </row>
    <row r="114" spans="1:2" x14ac:dyDescent="0.25">
      <c r="A114" t="s">
        <v>42</v>
      </c>
      <c r="B114">
        <v>1.081</v>
      </c>
    </row>
    <row r="115" spans="1:2" x14ac:dyDescent="0.25">
      <c r="A115" t="s">
        <v>42</v>
      </c>
      <c r="B115">
        <v>1.081</v>
      </c>
    </row>
    <row r="116" spans="1:2" x14ac:dyDescent="0.25">
      <c r="A116" t="s">
        <v>44</v>
      </c>
      <c r="B116">
        <v>0.71399999999999997</v>
      </c>
    </row>
    <row r="117" spans="1:2" x14ac:dyDescent="0.25">
      <c r="A117" t="s">
        <v>44</v>
      </c>
      <c r="B117">
        <v>0.71399999999999997</v>
      </c>
    </row>
    <row r="118" spans="1:2" x14ac:dyDescent="0.25">
      <c r="A118" t="s">
        <v>44</v>
      </c>
      <c r="B118">
        <v>0.71399999999999997</v>
      </c>
    </row>
  </sheetData>
  <sortState ref="D2:E141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1" sqref="A1:D1048576"/>
    </sheetView>
  </sheetViews>
  <sheetFormatPr defaultRowHeight="15" x14ac:dyDescent="0.25"/>
  <cols>
    <col min="1" max="1" width="13.140625" bestFit="1" customWidth="1"/>
    <col min="3" max="3" width="15.42578125" bestFit="1" customWidth="1"/>
    <col min="4" max="4" width="19.42578125" bestFit="1" customWidth="1"/>
  </cols>
  <sheetData>
    <row r="1" spans="1:4" x14ac:dyDescent="0.25">
      <c r="A1" t="s">
        <v>2</v>
      </c>
      <c r="B1" t="s">
        <v>95</v>
      </c>
      <c r="C1" t="s">
        <v>96</v>
      </c>
      <c r="D1" t="s">
        <v>97</v>
      </c>
    </row>
    <row r="2" spans="1:4" x14ac:dyDescent="0.25">
      <c r="A2" s="3">
        <v>5</v>
      </c>
      <c r="B2" t="s">
        <v>51</v>
      </c>
      <c r="C2" s="4">
        <v>18.78</v>
      </c>
      <c r="D2">
        <f>C2-C$23</f>
        <v>17.547000000000001</v>
      </c>
    </row>
    <row r="3" spans="1:4" x14ac:dyDescent="0.25">
      <c r="A3" s="3">
        <v>6</v>
      </c>
      <c r="B3" t="s">
        <v>52</v>
      </c>
      <c r="C3" s="4">
        <v>9.6549999999999994</v>
      </c>
      <c r="D3">
        <f t="shared" ref="D3:D47" si="0">C3-C$23</f>
        <v>8.4219999999999988</v>
      </c>
    </row>
    <row r="4" spans="1:4" x14ac:dyDescent="0.25">
      <c r="A4" s="3">
        <v>7</v>
      </c>
      <c r="B4" t="s">
        <v>53</v>
      </c>
      <c r="C4" s="4">
        <v>12.949999999999998</v>
      </c>
      <c r="D4">
        <f t="shared" si="0"/>
        <v>11.716999999999997</v>
      </c>
    </row>
    <row r="5" spans="1:4" x14ac:dyDescent="0.25">
      <c r="A5" s="3">
        <v>8</v>
      </c>
      <c r="B5" t="s">
        <v>54</v>
      </c>
      <c r="C5" s="4">
        <v>13.11</v>
      </c>
      <c r="D5">
        <f t="shared" si="0"/>
        <v>11.876999999999999</v>
      </c>
    </row>
    <row r="6" spans="1:4" x14ac:dyDescent="0.25">
      <c r="A6" s="3">
        <v>9</v>
      </c>
      <c r="B6" t="s">
        <v>55</v>
      </c>
      <c r="C6" s="4">
        <v>9.9969999999999999</v>
      </c>
      <c r="D6">
        <f t="shared" si="0"/>
        <v>8.7639999999999993</v>
      </c>
    </row>
    <row r="7" spans="1:4" x14ac:dyDescent="0.25">
      <c r="A7" s="3">
        <v>10</v>
      </c>
      <c r="B7" t="s">
        <v>56</v>
      </c>
      <c r="C7" s="4">
        <v>11.64</v>
      </c>
      <c r="D7">
        <f t="shared" si="0"/>
        <v>10.407</v>
      </c>
    </row>
    <row r="8" spans="1:4" x14ac:dyDescent="0.25">
      <c r="A8" s="3">
        <v>11</v>
      </c>
      <c r="B8" t="s">
        <v>57</v>
      </c>
      <c r="C8" s="4">
        <v>14.56</v>
      </c>
      <c r="D8">
        <f t="shared" si="0"/>
        <v>13.327</v>
      </c>
    </row>
    <row r="9" spans="1:4" x14ac:dyDescent="0.25">
      <c r="A9" s="3">
        <v>12</v>
      </c>
      <c r="B9" t="s">
        <v>58</v>
      </c>
      <c r="C9" s="4">
        <v>10.67</v>
      </c>
      <c r="D9">
        <f t="shared" si="0"/>
        <v>9.4369999999999994</v>
      </c>
    </row>
    <row r="10" spans="1:4" x14ac:dyDescent="0.25">
      <c r="A10" s="3">
        <v>13</v>
      </c>
      <c r="B10" t="s">
        <v>59</v>
      </c>
      <c r="C10" s="4">
        <v>13.520000000000001</v>
      </c>
      <c r="D10">
        <f t="shared" si="0"/>
        <v>12.287000000000001</v>
      </c>
    </row>
    <row r="11" spans="1:4" x14ac:dyDescent="0.25">
      <c r="A11" s="3">
        <v>14</v>
      </c>
      <c r="B11" t="s">
        <v>60</v>
      </c>
      <c r="C11" s="4">
        <v>10.95</v>
      </c>
      <c r="D11">
        <f t="shared" si="0"/>
        <v>9.7169999999999987</v>
      </c>
    </row>
    <row r="12" spans="1:4" x14ac:dyDescent="0.25">
      <c r="A12" s="3">
        <v>15</v>
      </c>
      <c r="B12" t="s">
        <v>61</v>
      </c>
      <c r="C12" s="4">
        <v>11.18</v>
      </c>
      <c r="D12">
        <f t="shared" si="0"/>
        <v>9.9469999999999992</v>
      </c>
    </row>
    <row r="13" spans="1:4" x14ac:dyDescent="0.25">
      <c r="A13" s="3">
        <v>16</v>
      </c>
      <c r="B13" t="s">
        <v>62</v>
      </c>
      <c r="C13" s="4">
        <v>12.9</v>
      </c>
      <c r="D13">
        <f t="shared" si="0"/>
        <v>11.667</v>
      </c>
    </row>
    <row r="14" spans="1:4" x14ac:dyDescent="0.25">
      <c r="A14" s="3">
        <v>17</v>
      </c>
      <c r="B14" t="s">
        <v>63</v>
      </c>
      <c r="C14" s="4">
        <v>11.56</v>
      </c>
      <c r="D14">
        <f t="shared" si="0"/>
        <v>10.327</v>
      </c>
    </row>
    <row r="15" spans="1:4" x14ac:dyDescent="0.25">
      <c r="A15" s="3">
        <v>18</v>
      </c>
      <c r="B15" t="s">
        <v>64</v>
      </c>
      <c r="C15" s="4">
        <v>12.07</v>
      </c>
      <c r="D15">
        <f t="shared" si="0"/>
        <v>10.837</v>
      </c>
    </row>
    <row r="16" spans="1:4" x14ac:dyDescent="0.25">
      <c r="A16" s="3">
        <v>19</v>
      </c>
      <c r="B16" t="s">
        <v>65</v>
      </c>
      <c r="C16" s="4">
        <v>10.800000000000002</v>
      </c>
      <c r="D16">
        <f t="shared" si="0"/>
        <v>9.5670000000000019</v>
      </c>
    </row>
    <row r="17" spans="1:4" x14ac:dyDescent="0.25">
      <c r="A17" s="3">
        <v>20</v>
      </c>
      <c r="B17" t="s">
        <v>66</v>
      </c>
      <c r="C17" s="4">
        <v>9.3529999999999998</v>
      </c>
      <c r="D17">
        <f t="shared" si="0"/>
        <v>8.1199999999999992</v>
      </c>
    </row>
    <row r="18" spans="1:4" x14ac:dyDescent="0.25">
      <c r="A18" s="3">
        <v>21</v>
      </c>
      <c r="B18" t="s">
        <v>67</v>
      </c>
      <c r="C18" s="4">
        <v>9.9269999999999996</v>
      </c>
      <c r="D18">
        <f t="shared" si="0"/>
        <v>8.6939999999999991</v>
      </c>
    </row>
    <row r="19" spans="1:4" x14ac:dyDescent="0.25">
      <c r="A19" s="3">
        <v>22</v>
      </c>
      <c r="B19" t="s">
        <v>68</v>
      </c>
      <c r="C19" s="4">
        <v>12.88</v>
      </c>
      <c r="D19">
        <f t="shared" si="0"/>
        <v>11.647</v>
      </c>
    </row>
    <row r="20" spans="1:4" x14ac:dyDescent="0.25">
      <c r="A20" s="3">
        <v>23</v>
      </c>
      <c r="B20" t="s">
        <v>69</v>
      </c>
      <c r="C20" s="4">
        <v>10.93</v>
      </c>
      <c r="D20">
        <f t="shared" si="0"/>
        <v>9.6969999999999992</v>
      </c>
    </row>
    <row r="21" spans="1:4" x14ac:dyDescent="0.25">
      <c r="A21" s="3">
        <v>24</v>
      </c>
      <c r="B21" t="s">
        <v>70</v>
      </c>
      <c r="C21" s="4">
        <v>10.11</v>
      </c>
      <c r="D21">
        <f t="shared" si="0"/>
        <v>8.8769999999999989</v>
      </c>
    </row>
    <row r="22" spans="1:4" x14ac:dyDescent="0.25">
      <c r="A22" s="3">
        <v>25</v>
      </c>
      <c r="B22" t="s">
        <v>71</v>
      </c>
      <c r="C22" s="4">
        <v>10.93</v>
      </c>
      <c r="D22">
        <f t="shared" si="0"/>
        <v>9.6969999999999992</v>
      </c>
    </row>
    <row r="23" spans="1:4" x14ac:dyDescent="0.25">
      <c r="A23" s="3">
        <v>26</v>
      </c>
      <c r="B23" t="s">
        <v>72</v>
      </c>
      <c r="C23" s="4">
        <v>1.2330000000000001</v>
      </c>
    </row>
    <row r="24" spans="1:4" x14ac:dyDescent="0.25">
      <c r="A24" s="3">
        <v>27</v>
      </c>
      <c r="B24" t="s">
        <v>73</v>
      </c>
      <c r="C24" s="4">
        <v>1.1379999999999999</v>
      </c>
    </row>
    <row r="25" spans="1:4" x14ac:dyDescent="0.25">
      <c r="A25" s="3">
        <v>28</v>
      </c>
      <c r="B25" t="s">
        <v>74</v>
      </c>
      <c r="C25" s="4">
        <v>8.5250000000000004</v>
      </c>
      <c r="D25">
        <f>C25-C$46</f>
        <v>7.4440000000000008</v>
      </c>
    </row>
    <row r="26" spans="1:4" x14ac:dyDescent="0.25">
      <c r="A26" s="3">
        <v>29</v>
      </c>
      <c r="B26" t="s">
        <v>75</v>
      </c>
      <c r="C26" s="4">
        <v>7.6639999999999988</v>
      </c>
      <c r="D26">
        <f t="shared" ref="D26:D47" si="1">C26-C$46</f>
        <v>6.5829999999999984</v>
      </c>
    </row>
    <row r="27" spans="1:4" x14ac:dyDescent="0.25">
      <c r="A27" s="3">
        <v>30</v>
      </c>
      <c r="B27" t="s">
        <v>76</v>
      </c>
      <c r="C27" s="4">
        <v>6.5449999999999999</v>
      </c>
      <c r="D27">
        <f t="shared" si="1"/>
        <v>5.4640000000000004</v>
      </c>
    </row>
    <row r="28" spans="1:4" x14ac:dyDescent="0.25">
      <c r="A28" s="3">
        <v>31</v>
      </c>
      <c r="B28" t="s">
        <v>77</v>
      </c>
      <c r="C28" s="4">
        <v>7.5469999999999997</v>
      </c>
      <c r="D28">
        <f t="shared" si="1"/>
        <v>6.4659999999999993</v>
      </c>
    </row>
    <row r="29" spans="1:4" x14ac:dyDescent="0.25">
      <c r="A29" s="3">
        <v>32</v>
      </c>
      <c r="B29" t="s">
        <v>78</v>
      </c>
      <c r="C29" s="4">
        <v>6.2779999999999996</v>
      </c>
      <c r="D29">
        <f t="shared" si="1"/>
        <v>5.1969999999999992</v>
      </c>
    </row>
    <row r="30" spans="1:4" x14ac:dyDescent="0.25">
      <c r="A30" s="3">
        <v>33</v>
      </c>
      <c r="B30" t="s">
        <v>79</v>
      </c>
      <c r="C30" s="4">
        <v>7.0049999999999999</v>
      </c>
      <c r="D30">
        <f t="shared" si="1"/>
        <v>5.9239999999999995</v>
      </c>
    </row>
    <row r="31" spans="1:4" x14ac:dyDescent="0.25">
      <c r="A31" s="3">
        <v>34</v>
      </c>
      <c r="B31" t="s">
        <v>80</v>
      </c>
      <c r="C31" s="4">
        <v>6.9560000000000004</v>
      </c>
      <c r="D31">
        <f t="shared" si="1"/>
        <v>5.875</v>
      </c>
    </row>
    <row r="32" spans="1:4" x14ac:dyDescent="0.25">
      <c r="A32" s="3">
        <v>35</v>
      </c>
      <c r="B32" t="s">
        <v>81</v>
      </c>
      <c r="C32" s="4">
        <v>7.2039999999999997</v>
      </c>
      <c r="D32">
        <f t="shared" si="1"/>
        <v>6.1229999999999993</v>
      </c>
    </row>
    <row r="33" spans="1:4" x14ac:dyDescent="0.25">
      <c r="A33" s="3">
        <v>36</v>
      </c>
      <c r="B33" t="s">
        <v>82</v>
      </c>
      <c r="C33" s="4">
        <v>7.6920000000000002</v>
      </c>
      <c r="D33">
        <f t="shared" si="1"/>
        <v>6.6110000000000007</v>
      </c>
    </row>
    <row r="34" spans="1:4" x14ac:dyDescent="0.25">
      <c r="A34" s="3">
        <v>37</v>
      </c>
      <c r="B34" t="s">
        <v>83</v>
      </c>
      <c r="C34" s="4">
        <v>5.3529999999999989</v>
      </c>
      <c r="D34">
        <f t="shared" si="1"/>
        <v>4.2719999999999985</v>
      </c>
    </row>
    <row r="35" spans="1:4" x14ac:dyDescent="0.25">
      <c r="A35" s="3">
        <v>38</v>
      </c>
      <c r="B35" t="s">
        <v>84</v>
      </c>
      <c r="C35" s="4">
        <v>6.1789999999999994</v>
      </c>
      <c r="D35">
        <f t="shared" si="1"/>
        <v>5.097999999999999</v>
      </c>
    </row>
    <row r="36" spans="1:4" x14ac:dyDescent="0.25">
      <c r="A36" s="3">
        <v>39</v>
      </c>
      <c r="B36" t="s">
        <v>85</v>
      </c>
      <c r="C36" s="4">
        <v>9.1669999999999998</v>
      </c>
      <c r="D36">
        <f t="shared" si="1"/>
        <v>8.0860000000000003</v>
      </c>
    </row>
    <row r="37" spans="1:4" x14ac:dyDescent="0.25">
      <c r="A37" s="3">
        <v>40</v>
      </c>
      <c r="B37" t="s">
        <v>86</v>
      </c>
      <c r="C37" s="4">
        <v>5.48</v>
      </c>
      <c r="D37">
        <f t="shared" si="1"/>
        <v>4.3990000000000009</v>
      </c>
    </row>
    <row r="38" spans="1:4" x14ac:dyDescent="0.25">
      <c r="A38" s="3">
        <v>41</v>
      </c>
      <c r="B38" t="s">
        <v>87</v>
      </c>
      <c r="C38" s="4">
        <v>6.859</v>
      </c>
      <c r="D38">
        <f t="shared" si="1"/>
        <v>5.7780000000000005</v>
      </c>
    </row>
    <row r="39" spans="1:4" x14ac:dyDescent="0.25">
      <c r="A39" s="3">
        <v>42</v>
      </c>
      <c r="B39" t="s">
        <v>88</v>
      </c>
      <c r="C39" s="4">
        <v>5.0869999999999997</v>
      </c>
      <c r="D39">
        <f t="shared" si="1"/>
        <v>4.0060000000000002</v>
      </c>
    </row>
    <row r="40" spans="1:4" x14ac:dyDescent="0.25">
      <c r="A40" s="3">
        <v>43</v>
      </c>
      <c r="B40" t="s">
        <v>89</v>
      </c>
      <c r="C40" s="4">
        <v>6.548</v>
      </c>
      <c r="D40">
        <f t="shared" si="1"/>
        <v>5.4670000000000005</v>
      </c>
    </row>
    <row r="41" spans="1:4" x14ac:dyDescent="0.25">
      <c r="A41" s="3">
        <v>44</v>
      </c>
      <c r="B41" t="s">
        <v>90</v>
      </c>
      <c r="C41" s="4">
        <v>8.0579999999999998</v>
      </c>
      <c r="D41">
        <f t="shared" si="1"/>
        <v>6.9770000000000003</v>
      </c>
    </row>
    <row r="42" spans="1:4" x14ac:dyDescent="0.25">
      <c r="A42" s="3">
        <v>45</v>
      </c>
      <c r="B42" t="s">
        <v>91</v>
      </c>
      <c r="C42" s="4">
        <v>7.41</v>
      </c>
      <c r="D42">
        <f t="shared" si="1"/>
        <v>6.3290000000000006</v>
      </c>
    </row>
    <row r="43" spans="1:4" x14ac:dyDescent="0.25">
      <c r="A43" s="3">
        <v>46</v>
      </c>
      <c r="B43" t="s">
        <v>92</v>
      </c>
      <c r="C43" s="4">
        <v>7.7690000000000001</v>
      </c>
      <c r="D43">
        <f t="shared" si="1"/>
        <v>6.6880000000000006</v>
      </c>
    </row>
    <row r="44" spans="1:4" x14ac:dyDescent="0.25">
      <c r="A44" s="3">
        <v>47</v>
      </c>
      <c r="B44" t="s">
        <v>93</v>
      </c>
      <c r="C44" s="4">
        <v>4.6079999999999997</v>
      </c>
      <c r="D44">
        <f t="shared" si="1"/>
        <v>3.5269999999999997</v>
      </c>
    </row>
    <row r="45" spans="1:4" x14ac:dyDescent="0.25">
      <c r="A45" s="3">
        <v>48</v>
      </c>
      <c r="B45" t="s">
        <v>71</v>
      </c>
      <c r="C45" s="4">
        <v>4.0039999999999996</v>
      </c>
      <c r="D45">
        <f t="shared" si="1"/>
        <v>2.9229999999999996</v>
      </c>
    </row>
    <row r="46" spans="1:4" x14ac:dyDescent="0.25">
      <c r="A46" s="3">
        <v>49</v>
      </c>
      <c r="B46" t="s">
        <v>72</v>
      </c>
      <c r="C46" s="4">
        <v>1.081</v>
      </c>
    </row>
    <row r="47" spans="1:4" x14ac:dyDescent="0.25">
      <c r="A47" s="3">
        <v>50</v>
      </c>
      <c r="B47" t="s">
        <v>73</v>
      </c>
      <c r="C47" s="4">
        <v>0.71399999999999997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1" sqref="E11"/>
    </sheetView>
  </sheetViews>
  <sheetFormatPr defaultRowHeight="15" x14ac:dyDescent="0.25"/>
  <cols>
    <col min="1" max="2" width="9.140625" style="1"/>
    <col min="5" max="5" width="15.28515625" style="1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E1" s="1" t="s">
        <v>0</v>
      </c>
      <c r="F1" s="2" t="s">
        <v>1</v>
      </c>
    </row>
    <row r="2" spans="1:6" x14ac:dyDescent="0.25">
      <c r="A2" s="1">
        <f>5.703</f>
        <v>5.7030000000000003</v>
      </c>
      <c r="B2" s="1">
        <f>0</f>
        <v>0</v>
      </c>
      <c r="E2" s="1">
        <v>5.4085000000000001</v>
      </c>
      <c r="F2" s="3">
        <v>0</v>
      </c>
    </row>
    <row r="3" spans="1:6" x14ac:dyDescent="0.25">
      <c r="A3" s="1">
        <f>5.114</f>
        <v>5.1139999999999999</v>
      </c>
      <c r="B3" s="1">
        <f>0</f>
        <v>0</v>
      </c>
      <c r="E3" s="1">
        <v>86.07</v>
      </c>
      <c r="F3" s="3">
        <v>20</v>
      </c>
    </row>
    <row r="4" spans="1:6" x14ac:dyDescent="0.25">
      <c r="A4" s="1">
        <f>85.5</f>
        <v>85.5</v>
      </c>
      <c r="B4" s="1">
        <f>20</f>
        <v>20</v>
      </c>
      <c r="E4" s="1">
        <v>209.45</v>
      </c>
      <c r="F4" s="3">
        <v>50</v>
      </c>
    </row>
    <row r="5" spans="1:6" x14ac:dyDescent="0.25">
      <c r="A5" s="1">
        <f>86.64</f>
        <v>86.64</v>
      </c>
      <c r="B5" s="1">
        <f>20</f>
        <v>20</v>
      </c>
      <c r="E5" s="1">
        <v>397.20000000000005</v>
      </c>
      <c r="F5" s="3">
        <v>100</v>
      </c>
    </row>
    <row r="6" spans="1:6" x14ac:dyDescent="0.25">
      <c r="A6" s="1">
        <f>207.5</f>
        <v>207.5</v>
      </c>
      <c r="B6" s="1">
        <f>50</f>
        <v>50</v>
      </c>
      <c r="F6" s="3"/>
    </row>
    <row r="7" spans="1:6" x14ac:dyDescent="0.25">
      <c r="A7" s="1">
        <f>211.4</f>
        <v>211.4</v>
      </c>
      <c r="B7" s="1">
        <f>50</f>
        <v>50</v>
      </c>
      <c r="F7" s="3"/>
    </row>
    <row r="8" spans="1:6" x14ac:dyDescent="0.25">
      <c r="A8" s="1">
        <f>404.1</f>
        <v>404.1</v>
      </c>
      <c r="B8" s="1">
        <f>100</f>
        <v>100</v>
      </c>
    </row>
    <row r="9" spans="1:6" x14ac:dyDescent="0.25">
      <c r="A9" s="1">
        <f>390.3</f>
        <v>390.3</v>
      </c>
      <c r="B9" s="1">
        <f>100</f>
        <v>100</v>
      </c>
    </row>
  </sheetData>
  <pageMargins left="0.7" right="0.7" top="0.75" bottom="0.75" header="0.3" footer="0.3"/>
  <drawing r:id="rId1"/>
</worksheet>
</file>