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Model" sheetId="1" r:id="rId1"/>
    <sheet name="Wor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4" i="1" l="1"/>
  <c r="J124" i="1"/>
  <c r="I124" i="1"/>
  <c r="J87" i="1"/>
  <c r="K87" i="1" s="1"/>
  <c r="I87" i="1"/>
  <c r="J59" i="2"/>
  <c r="K59" i="2" s="1"/>
  <c r="I59" i="2"/>
  <c r="K119" i="1" l="1"/>
  <c r="J119" i="1"/>
  <c r="K115" i="1"/>
  <c r="J115" i="1"/>
  <c r="I115" i="1"/>
  <c r="I119" i="1"/>
  <c r="I92" i="1" l="1"/>
  <c r="J92" i="1" s="1"/>
  <c r="K92" i="1" s="1"/>
  <c r="I68" i="1"/>
  <c r="J68" i="1" s="1"/>
  <c r="K68" i="1" s="1"/>
  <c r="I65" i="1"/>
  <c r="J65" i="1" s="1"/>
  <c r="K65" i="1" s="1"/>
  <c r="I59" i="1"/>
  <c r="K57" i="1"/>
  <c r="J57" i="1"/>
  <c r="I57" i="1"/>
  <c r="I58" i="2"/>
  <c r="J58" i="2" s="1"/>
  <c r="K58" i="2" s="1"/>
  <c r="K81" i="2"/>
  <c r="J81" i="2"/>
  <c r="I81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4" i="2"/>
  <c r="G74" i="2"/>
  <c r="F74" i="2"/>
  <c r="E74" i="2"/>
  <c r="D74" i="2"/>
  <c r="H73" i="2"/>
  <c r="G73" i="2"/>
  <c r="F73" i="2"/>
  <c r="E73" i="2"/>
  <c r="D73" i="2"/>
  <c r="C79" i="2"/>
  <c r="C78" i="2"/>
  <c r="C77" i="2"/>
  <c r="C74" i="2"/>
  <c r="C73" i="2"/>
  <c r="I4" i="2"/>
  <c r="I117" i="1" l="1"/>
  <c r="J59" i="1"/>
  <c r="J4" i="2"/>
  <c r="C81" i="2"/>
  <c r="D81" i="2"/>
  <c r="E81" i="2"/>
  <c r="G81" i="2"/>
  <c r="H81" i="2"/>
  <c r="F81" i="2"/>
  <c r="H7" i="2"/>
  <c r="H117" i="1"/>
  <c r="H95" i="1"/>
  <c r="H69" i="1"/>
  <c r="I69" i="1" s="1"/>
  <c r="J69" i="1" s="1"/>
  <c r="K69" i="1" s="1"/>
  <c r="H61" i="1"/>
  <c r="I61" i="1" s="1"/>
  <c r="J61" i="1" s="1"/>
  <c r="K61" i="1" s="1"/>
  <c r="H39" i="1"/>
  <c r="H35" i="1"/>
  <c r="I35" i="1" s="1"/>
  <c r="H13" i="1"/>
  <c r="H8" i="1"/>
  <c r="K4" i="2" l="1"/>
  <c r="I105" i="1"/>
  <c r="I118" i="1" s="1"/>
  <c r="I121" i="1" s="1"/>
  <c r="J35" i="1"/>
  <c r="K59" i="1"/>
  <c r="K117" i="1" s="1"/>
  <c r="J117" i="1"/>
  <c r="D64" i="2"/>
  <c r="D62" i="2" s="1"/>
  <c r="H59" i="2"/>
  <c r="G59" i="2"/>
  <c r="F59" i="2"/>
  <c r="E59" i="2"/>
  <c r="D59" i="2"/>
  <c r="C59" i="2"/>
  <c r="H57" i="2"/>
  <c r="G57" i="2"/>
  <c r="F57" i="2"/>
  <c r="E57" i="2"/>
  <c r="D57" i="2"/>
  <c r="C57" i="2"/>
  <c r="H52" i="2"/>
  <c r="G52" i="2"/>
  <c r="F52" i="2"/>
  <c r="E52" i="2"/>
  <c r="D52" i="2"/>
  <c r="C52" i="2"/>
  <c r="H45" i="2"/>
  <c r="I45" i="2" s="1"/>
  <c r="G45" i="2"/>
  <c r="F45" i="2"/>
  <c r="E45" i="2"/>
  <c r="D45" i="2"/>
  <c r="H44" i="2"/>
  <c r="G44" i="2"/>
  <c r="F44" i="2"/>
  <c r="E44" i="2"/>
  <c r="D44" i="2"/>
  <c r="C45" i="2"/>
  <c r="C44" i="2"/>
  <c r="H38" i="2"/>
  <c r="G38" i="2"/>
  <c r="F38" i="2"/>
  <c r="E38" i="2"/>
  <c r="D38" i="2"/>
  <c r="C38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G61" i="1"/>
  <c r="F61" i="1"/>
  <c r="E61" i="1"/>
  <c r="D61" i="1"/>
  <c r="C61" i="1"/>
  <c r="G33" i="2"/>
  <c r="F33" i="2"/>
  <c r="E33" i="2"/>
  <c r="D33" i="2"/>
  <c r="C33" i="2"/>
  <c r="C3" i="1"/>
  <c r="H11" i="2"/>
  <c r="H26" i="2" s="1"/>
  <c r="H9" i="2"/>
  <c r="H17" i="2"/>
  <c r="H108" i="1"/>
  <c r="H130" i="1"/>
  <c r="H125" i="1"/>
  <c r="H64" i="2" s="1"/>
  <c r="H66" i="2" s="1"/>
  <c r="H123" i="1"/>
  <c r="H115" i="1"/>
  <c r="H135" i="1" s="1"/>
  <c r="H111" i="1"/>
  <c r="H110" i="1" s="1"/>
  <c r="H70" i="1"/>
  <c r="H77" i="1" s="1"/>
  <c r="H88" i="1"/>
  <c r="H75" i="1"/>
  <c r="I75" i="1" s="1"/>
  <c r="J75" i="1" s="1"/>
  <c r="K75" i="1" s="1"/>
  <c r="H15" i="1"/>
  <c r="H17" i="1" s="1"/>
  <c r="G15" i="1"/>
  <c r="F15" i="1"/>
  <c r="E15" i="1"/>
  <c r="D15" i="1"/>
  <c r="C15" i="1"/>
  <c r="H5" i="2"/>
  <c r="K35" i="1" l="1"/>
  <c r="K105" i="1" s="1"/>
  <c r="K118" i="1" s="1"/>
  <c r="K121" i="1" s="1"/>
  <c r="J105" i="1"/>
  <c r="J118" i="1" s="1"/>
  <c r="H81" i="1"/>
  <c r="J121" i="1"/>
  <c r="I17" i="2"/>
  <c r="I86" i="1"/>
  <c r="I57" i="2"/>
  <c r="H25" i="2"/>
  <c r="I9" i="2"/>
  <c r="I90" i="1"/>
  <c r="J45" i="2"/>
  <c r="F32" i="2"/>
  <c r="F39" i="2" s="1"/>
  <c r="J17" i="2"/>
  <c r="H93" i="1"/>
  <c r="I93" i="1" s="1"/>
  <c r="J93" i="1" s="1"/>
  <c r="K93" i="1" s="1"/>
  <c r="H36" i="2"/>
  <c r="D68" i="2"/>
  <c r="H98" i="1"/>
  <c r="H127" i="1"/>
  <c r="D66" i="2"/>
  <c r="H62" i="2"/>
  <c r="H68" i="2" s="1"/>
  <c r="E48" i="2"/>
  <c r="D46" i="2"/>
  <c r="E32" i="2"/>
  <c r="E39" i="2" s="1"/>
  <c r="D48" i="2"/>
  <c r="G49" i="2"/>
  <c r="H46" i="2"/>
  <c r="G48" i="2"/>
  <c r="H48" i="2"/>
  <c r="F46" i="2"/>
  <c r="G46" i="2"/>
  <c r="F48" i="2"/>
  <c r="E46" i="2"/>
  <c r="C46" i="2"/>
  <c r="C32" i="2"/>
  <c r="C39" i="2" s="1"/>
  <c r="D49" i="2"/>
  <c r="E49" i="2"/>
  <c r="F49" i="2"/>
  <c r="H49" i="2"/>
  <c r="D32" i="2"/>
  <c r="D39" i="2" s="1"/>
  <c r="G32" i="2"/>
  <c r="H120" i="1"/>
  <c r="H8" i="2"/>
  <c r="H20" i="2" s="1"/>
  <c r="H12" i="2"/>
  <c r="H18" i="1"/>
  <c r="H24" i="1"/>
  <c r="H14" i="2" s="1"/>
  <c r="G135" i="1"/>
  <c r="F135" i="1"/>
  <c r="E135" i="1"/>
  <c r="D135" i="1"/>
  <c r="C135" i="1"/>
  <c r="G70" i="1"/>
  <c r="F70" i="1"/>
  <c r="E70" i="1"/>
  <c r="D70" i="1"/>
  <c r="C70" i="1"/>
  <c r="J7" i="2" l="1"/>
  <c r="J72" i="1" s="1"/>
  <c r="I7" i="2"/>
  <c r="J9" i="2"/>
  <c r="I25" i="2"/>
  <c r="I21" i="1"/>
  <c r="J10" i="1"/>
  <c r="J73" i="1"/>
  <c r="J90" i="1"/>
  <c r="K45" i="2"/>
  <c r="J86" i="1"/>
  <c r="J57" i="2"/>
  <c r="K17" i="2"/>
  <c r="H23" i="2"/>
  <c r="H28" i="2" s="1"/>
  <c r="I20" i="2"/>
  <c r="I8" i="2" s="1"/>
  <c r="G50" i="2"/>
  <c r="F53" i="2"/>
  <c r="E50" i="2"/>
  <c r="D50" i="2"/>
  <c r="D53" i="2"/>
  <c r="E53" i="2"/>
  <c r="G53" i="2"/>
  <c r="H50" i="2"/>
  <c r="H53" i="2"/>
  <c r="F50" i="2"/>
  <c r="H32" i="2"/>
  <c r="H41" i="2" s="1"/>
  <c r="G39" i="2"/>
  <c r="H30" i="1"/>
  <c r="H25" i="1"/>
  <c r="G7" i="2"/>
  <c r="F7" i="2"/>
  <c r="E7" i="2"/>
  <c r="D7" i="2"/>
  <c r="C7" i="2"/>
  <c r="G11" i="2"/>
  <c r="G26" i="2" s="1"/>
  <c r="F11" i="2"/>
  <c r="E11" i="2"/>
  <c r="E26" i="2" s="1"/>
  <c r="D11" i="2"/>
  <c r="D26" i="2" s="1"/>
  <c r="G9" i="2"/>
  <c r="H10" i="2" s="1"/>
  <c r="F9" i="2"/>
  <c r="F25" i="2" s="1"/>
  <c r="E9" i="2"/>
  <c r="E25" i="2" s="1"/>
  <c r="D9" i="2"/>
  <c r="C11" i="2"/>
  <c r="C26" i="2" s="1"/>
  <c r="C9" i="2"/>
  <c r="C25" i="2" s="1"/>
  <c r="D5" i="2"/>
  <c r="E5" i="2"/>
  <c r="F5" i="2"/>
  <c r="G5" i="2"/>
  <c r="C4" i="1"/>
  <c r="G123" i="1"/>
  <c r="F123" i="1"/>
  <c r="C123" i="1"/>
  <c r="D123" i="1"/>
  <c r="G117" i="1"/>
  <c r="F117" i="1"/>
  <c r="E117" i="1"/>
  <c r="D117" i="1"/>
  <c r="C125" i="1"/>
  <c r="C64" i="2" s="1"/>
  <c r="C124" i="1"/>
  <c r="C117" i="1"/>
  <c r="F111" i="1"/>
  <c r="F110" i="1" s="1"/>
  <c r="E111" i="1"/>
  <c r="E110" i="1" s="1"/>
  <c r="D111" i="1"/>
  <c r="D110" i="1" s="1"/>
  <c r="C111" i="1"/>
  <c r="C110" i="1" s="1"/>
  <c r="G111" i="1"/>
  <c r="G110" i="1" s="1"/>
  <c r="C35" i="1"/>
  <c r="F125" i="1"/>
  <c r="F64" i="2" s="1"/>
  <c r="G125" i="1"/>
  <c r="G64" i="2" s="1"/>
  <c r="E125" i="1"/>
  <c r="E64" i="2" s="1"/>
  <c r="E123" i="1"/>
  <c r="D35" i="1"/>
  <c r="E35" i="1"/>
  <c r="C95" i="1"/>
  <c r="D95" i="1"/>
  <c r="E95" i="1"/>
  <c r="E75" i="1"/>
  <c r="D75" i="1"/>
  <c r="C75" i="1"/>
  <c r="F35" i="1"/>
  <c r="G35" i="1"/>
  <c r="F8" i="2"/>
  <c r="F20" i="2" s="1"/>
  <c r="E8" i="2"/>
  <c r="E20" i="2" s="1"/>
  <c r="D8" i="2"/>
  <c r="D20" i="2" s="1"/>
  <c r="C8" i="2"/>
  <c r="C20" i="2" s="1"/>
  <c r="G8" i="2"/>
  <c r="G20" i="2" s="1"/>
  <c r="H21" i="2" s="1"/>
  <c r="F8" i="1"/>
  <c r="E8" i="1"/>
  <c r="D8" i="1"/>
  <c r="C8" i="1"/>
  <c r="G8" i="1"/>
  <c r="F95" i="1"/>
  <c r="G95" i="1"/>
  <c r="J67" i="1" l="1"/>
  <c r="J74" i="1"/>
  <c r="J44" i="2" s="1"/>
  <c r="J11" i="2"/>
  <c r="J66" i="1"/>
  <c r="C17" i="2"/>
  <c r="C41" i="2"/>
  <c r="D17" i="2"/>
  <c r="E18" i="2" s="1"/>
  <c r="D41" i="2"/>
  <c r="E17" i="2"/>
  <c r="E23" i="2" s="1"/>
  <c r="E28" i="2" s="1"/>
  <c r="E41" i="2"/>
  <c r="F17" i="2"/>
  <c r="F23" i="2" s="1"/>
  <c r="F41" i="2"/>
  <c r="G17" i="2"/>
  <c r="H18" i="2" s="1"/>
  <c r="G41" i="2"/>
  <c r="K7" i="2"/>
  <c r="K67" i="1" s="1"/>
  <c r="I32" i="2"/>
  <c r="I41" i="2" s="1"/>
  <c r="I10" i="1"/>
  <c r="I8" i="1" s="1"/>
  <c r="I74" i="1"/>
  <c r="I44" i="2" s="1"/>
  <c r="I66" i="1"/>
  <c r="I11" i="2"/>
  <c r="I14" i="2" s="1"/>
  <c r="I73" i="1"/>
  <c r="I67" i="1"/>
  <c r="I72" i="1"/>
  <c r="J46" i="2"/>
  <c r="H39" i="2"/>
  <c r="J26" i="2"/>
  <c r="J22" i="1"/>
  <c r="J70" i="1"/>
  <c r="K86" i="1"/>
  <c r="K57" i="2"/>
  <c r="J76" i="1"/>
  <c r="I15" i="1"/>
  <c r="K9" i="2"/>
  <c r="J25" i="2"/>
  <c r="J21" i="1"/>
  <c r="K90" i="1"/>
  <c r="K74" i="1"/>
  <c r="K44" i="2" s="1"/>
  <c r="K48" i="2" s="1"/>
  <c r="K50" i="2" s="1"/>
  <c r="K123" i="1" s="1"/>
  <c r="J8" i="1"/>
  <c r="J20" i="2"/>
  <c r="J8" i="2" s="1"/>
  <c r="I23" i="2"/>
  <c r="F62" i="2"/>
  <c r="F68" i="2" s="1"/>
  <c r="F66" i="2"/>
  <c r="C62" i="2"/>
  <c r="C68" i="2" s="1"/>
  <c r="C66" i="2"/>
  <c r="E62" i="2"/>
  <c r="E68" i="2" s="1"/>
  <c r="E66" i="2"/>
  <c r="G62" i="2"/>
  <c r="G68" i="2" s="1"/>
  <c r="G66" i="2"/>
  <c r="H33" i="2"/>
  <c r="C120" i="1"/>
  <c r="G25" i="2"/>
  <c r="H31" i="1"/>
  <c r="H38" i="1"/>
  <c r="G108" i="1"/>
  <c r="F12" i="2"/>
  <c r="D108" i="1"/>
  <c r="F26" i="2"/>
  <c r="D12" i="2"/>
  <c r="C108" i="1"/>
  <c r="D120" i="1"/>
  <c r="E120" i="1"/>
  <c r="G10" i="2"/>
  <c r="G17" i="1"/>
  <c r="F10" i="2"/>
  <c r="F108" i="1"/>
  <c r="E108" i="1"/>
  <c r="G120" i="1"/>
  <c r="D127" i="1"/>
  <c r="D10" i="2"/>
  <c r="E10" i="2"/>
  <c r="G21" i="2"/>
  <c r="E12" i="2"/>
  <c r="G12" i="2"/>
  <c r="D21" i="2"/>
  <c r="C23" i="2"/>
  <c r="C28" i="2" s="1"/>
  <c r="D18" i="2"/>
  <c r="D25" i="2"/>
  <c r="F21" i="2"/>
  <c r="E21" i="2"/>
  <c r="C12" i="2"/>
  <c r="F120" i="1"/>
  <c r="C127" i="1"/>
  <c r="F127" i="1"/>
  <c r="G127" i="1"/>
  <c r="E127" i="1"/>
  <c r="D23" i="2" l="1"/>
  <c r="G18" i="2"/>
  <c r="G23" i="2"/>
  <c r="F18" i="2"/>
  <c r="K11" i="2"/>
  <c r="K22" i="1" s="1"/>
  <c r="K66" i="1"/>
  <c r="K70" i="1" s="1"/>
  <c r="I70" i="1"/>
  <c r="K72" i="1"/>
  <c r="K76" i="1" s="1"/>
  <c r="J77" i="1"/>
  <c r="I76" i="1"/>
  <c r="K46" i="2"/>
  <c r="K52" i="2" s="1"/>
  <c r="K34" i="1" s="1"/>
  <c r="K107" i="1" s="1"/>
  <c r="K126" i="1" s="1"/>
  <c r="K73" i="1"/>
  <c r="K10" i="1"/>
  <c r="I26" i="2"/>
  <c r="I28" i="2" s="1"/>
  <c r="I22" i="1"/>
  <c r="I17" i="1"/>
  <c r="I19" i="1" s="1"/>
  <c r="I48" i="2"/>
  <c r="I50" i="2" s="1"/>
  <c r="I123" i="1" s="1"/>
  <c r="I46" i="2"/>
  <c r="I52" i="2" s="1"/>
  <c r="I34" i="1" s="1"/>
  <c r="I107" i="1" s="1"/>
  <c r="I126" i="1" s="1"/>
  <c r="J48" i="2"/>
  <c r="J50" i="2" s="1"/>
  <c r="J123" i="1" s="1"/>
  <c r="J15" i="1"/>
  <c r="J17" i="1" s="1"/>
  <c r="J14" i="2"/>
  <c r="K21" i="1"/>
  <c r="K25" i="2"/>
  <c r="K8" i="1"/>
  <c r="I38" i="2"/>
  <c r="I28" i="1" s="1"/>
  <c r="J32" i="2"/>
  <c r="K20" i="2"/>
  <c r="J23" i="2"/>
  <c r="J28" i="2" s="1"/>
  <c r="G28" i="2"/>
  <c r="H40" i="1"/>
  <c r="H41" i="1"/>
  <c r="H19" i="1"/>
  <c r="F28" i="2"/>
  <c r="D28" i="2"/>
  <c r="I77" i="1" l="1"/>
  <c r="K26" i="2"/>
  <c r="J41" i="2"/>
  <c r="I33" i="2"/>
  <c r="I34" i="2" s="1"/>
  <c r="K77" i="1"/>
  <c r="I24" i="1"/>
  <c r="I26" i="1" s="1"/>
  <c r="K110" i="1"/>
  <c r="I18" i="1"/>
  <c r="J52" i="2"/>
  <c r="J34" i="1" s="1"/>
  <c r="J107" i="1" s="1"/>
  <c r="J126" i="1" s="1"/>
  <c r="I104" i="1"/>
  <c r="I110" i="1"/>
  <c r="J110" i="1"/>
  <c r="K23" i="2"/>
  <c r="K28" i="2" s="1"/>
  <c r="K8" i="2"/>
  <c r="K32" i="2"/>
  <c r="J38" i="2"/>
  <c r="J28" i="1" s="1"/>
  <c r="J18" i="1"/>
  <c r="J24" i="1"/>
  <c r="J19" i="1"/>
  <c r="H42" i="1"/>
  <c r="H67" i="2"/>
  <c r="H43" i="1"/>
  <c r="H45" i="1"/>
  <c r="H46" i="1" s="1"/>
  <c r="G88" i="1"/>
  <c r="G93" i="1" s="1"/>
  <c r="C88" i="1"/>
  <c r="C93" i="1" s="1"/>
  <c r="D88" i="1"/>
  <c r="D93" i="1" s="1"/>
  <c r="E88" i="1"/>
  <c r="E93" i="1" s="1"/>
  <c r="F88" i="1"/>
  <c r="F93" i="1" s="1"/>
  <c r="F77" i="1"/>
  <c r="E77" i="1"/>
  <c r="D77" i="1"/>
  <c r="C77" i="1"/>
  <c r="G77" i="1"/>
  <c r="F75" i="1"/>
  <c r="G75" i="1"/>
  <c r="G130" i="1"/>
  <c r="F130" i="1"/>
  <c r="E130" i="1"/>
  <c r="D130" i="1"/>
  <c r="D133" i="1" s="1"/>
  <c r="E132" i="1" s="1"/>
  <c r="K41" i="2" l="1"/>
  <c r="I25" i="1"/>
  <c r="J104" i="1"/>
  <c r="I30" i="1"/>
  <c r="I31" i="1" s="1"/>
  <c r="J26" i="1"/>
  <c r="J30" i="1"/>
  <c r="J25" i="1"/>
  <c r="K38" i="2"/>
  <c r="K28" i="1" s="1"/>
  <c r="K15" i="1"/>
  <c r="K17" i="1" s="1"/>
  <c r="K14" i="2"/>
  <c r="I38" i="1"/>
  <c r="J33" i="2"/>
  <c r="I56" i="1"/>
  <c r="I63" i="1" s="1"/>
  <c r="H48" i="1"/>
  <c r="H49" i="1" s="1"/>
  <c r="E81" i="1"/>
  <c r="E98" i="1" s="1"/>
  <c r="F81" i="1"/>
  <c r="F98" i="1" s="1"/>
  <c r="G81" i="1"/>
  <c r="G98" i="1" s="1"/>
  <c r="D81" i="1"/>
  <c r="D98" i="1" s="1"/>
  <c r="C81" i="1"/>
  <c r="C98" i="1" s="1"/>
  <c r="E133" i="1"/>
  <c r="F132" i="1" s="1"/>
  <c r="F133" i="1" s="1"/>
  <c r="G132" i="1" s="1"/>
  <c r="G133" i="1" s="1"/>
  <c r="H132" i="1" s="1"/>
  <c r="H133" i="1" s="1"/>
  <c r="I132" i="1" s="1"/>
  <c r="D17" i="1"/>
  <c r="D24" i="1" s="1"/>
  <c r="C17" i="1"/>
  <c r="C18" i="1" s="1"/>
  <c r="F17" i="1"/>
  <c r="G19" i="1" s="1"/>
  <c r="E17" i="1"/>
  <c r="I32" i="1" l="1"/>
  <c r="K104" i="1"/>
  <c r="K33" i="2"/>
  <c r="K34" i="2" s="1"/>
  <c r="K56" i="1" s="1"/>
  <c r="K63" i="1" s="1"/>
  <c r="J34" i="2"/>
  <c r="J56" i="1" s="1"/>
  <c r="J63" i="1" s="1"/>
  <c r="I39" i="1"/>
  <c r="I112" i="1" s="1"/>
  <c r="I103" i="1"/>
  <c r="I109" i="1" s="1"/>
  <c r="I111" i="1" s="1"/>
  <c r="K18" i="1"/>
  <c r="K24" i="1"/>
  <c r="K19" i="1"/>
  <c r="J31" i="1"/>
  <c r="J32" i="1"/>
  <c r="J38" i="1"/>
  <c r="D30" i="1"/>
  <c r="D38" i="1" s="1"/>
  <c r="D14" i="2"/>
  <c r="D19" i="1"/>
  <c r="D18" i="1"/>
  <c r="C24" i="1"/>
  <c r="E24" i="1"/>
  <c r="E14" i="2" s="1"/>
  <c r="E19" i="1"/>
  <c r="E18" i="1"/>
  <c r="F19" i="1"/>
  <c r="F18" i="1"/>
  <c r="F24" i="1"/>
  <c r="F14" i="2" s="1"/>
  <c r="G24" i="1"/>
  <c r="G18" i="1"/>
  <c r="D25" i="1"/>
  <c r="C130" i="1"/>
  <c r="C133" i="1" s="1"/>
  <c r="I113" i="1" l="1"/>
  <c r="I135" i="1"/>
  <c r="K26" i="1"/>
  <c r="K30" i="1"/>
  <c r="K25" i="1"/>
  <c r="J103" i="1"/>
  <c r="J109" i="1" s="1"/>
  <c r="J111" i="1" s="1"/>
  <c r="J39" i="1"/>
  <c r="J112" i="1" s="1"/>
  <c r="I41" i="1"/>
  <c r="G14" i="2"/>
  <c r="H26" i="1"/>
  <c r="D31" i="1"/>
  <c r="C30" i="1"/>
  <c r="D32" i="1" s="1"/>
  <c r="C14" i="2"/>
  <c r="D41" i="1"/>
  <c r="D40" i="1"/>
  <c r="C25" i="1"/>
  <c r="D26" i="1"/>
  <c r="E25" i="1"/>
  <c r="E30" i="1"/>
  <c r="E38" i="1" s="1"/>
  <c r="E26" i="1"/>
  <c r="G25" i="1"/>
  <c r="G26" i="1"/>
  <c r="G30" i="1"/>
  <c r="F30" i="1"/>
  <c r="F38" i="1" s="1"/>
  <c r="F26" i="1"/>
  <c r="F25" i="1"/>
  <c r="K32" i="1" l="1"/>
  <c r="K31" i="1"/>
  <c r="K38" i="1"/>
  <c r="I45" i="1"/>
  <c r="I42" i="1"/>
  <c r="I43" i="1"/>
  <c r="I64" i="2"/>
  <c r="I125" i="1" s="1"/>
  <c r="I128" i="1" s="1"/>
  <c r="I130" i="1" s="1"/>
  <c r="I133" i="1" s="1"/>
  <c r="J113" i="1"/>
  <c r="J41" i="1"/>
  <c r="D43" i="1"/>
  <c r="D42" i="1"/>
  <c r="D67" i="2"/>
  <c r="G38" i="1"/>
  <c r="G41" i="1" s="1"/>
  <c r="H32" i="1"/>
  <c r="D45" i="1"/>
  <c r="D46" i="1" s="1"/>
  <c r="F41" i="1"/>
  <c r="F40" i="1"/>
  <c r="E41" i="1"/>
  <c r="E40" i="1"/>
  <c r="C31" i="1"/>
  <c r="C38" i="1"/>
  <c r="G31" i="1"/>
  <c r="G32" i="1"/>
  <c r="F31" i="1"/>
  <c r="F32" i="1"/>
  <c r="E32" i="1"/>
  <c r="E31" i="1"/>
  <c r="J135" i="1" l="1"/>
  <c r="J132" i="1"/>
  <c r="I79" i="1"/>
  <c r="K103" i="1"/>
  <c r="K109" i="1" s="1"/>
  <c r="K111" i="1" s="1"/>
  <c r="K39" i="1"/>
  <c r="K112" i="1" s="1"/>
  <c r="J45" i="1"/>
  <c r="J42" i="1"/>
  <c r="J64" i="2"/>
  <c r="J125" i="1" s="1"/>
  <c r="J128" i="1" s="1"/>
  <c r="J130" i="1" s="1"/>
  <c r="J43" i="1"/>
  <c r="I48" i="1"/>
  <c r="I49" i="1" s="1"/>
  <c r="I46" i="1"/>
  <c r="I51" i="1"/>
  <c r="I63" i="2"/>
  <c r="I62" i="2" s="1"/>
  <c r="I68" i="2" s="1"/>
  <c r="G42" i="1"/>
  <c r="G43" i="1"/>
  <c r="G67" i="2"/>
  <c r="F42" i="1"/>
  <c r="F43" i="1"/>
  <c r="F67" i="2"/>
  <c r="E42" i="1"/>
  <c r="E43" i="1"/>
  <c r="E67" i="2"/>
  <c r="G40" i="1"/>
  <c r="G45" i="1" s="1"/>
  <c r="G46" i="1" s="1"/>
  <c r="F45" i="1"/>
  <c r="F46" i="1" s="1"/>
  <c r="D48" i="1"/>
  <c r="D49" i="1" s="1"/>
  <c r="E45" i="1"/>
  <c r="E46" i="1" s="1"/>
  <c r="C40" i="1"/>
  <c r="C41" i="1"/>
  <c r="I81" i="1" l="1"/>
  <c r="I98" i="1" s="1"/>
  <c r="J133" i="1"/>
  <c r="J79" i="1" s="1"/>
  <c r="J81" i="1" s="1"/>
  <c r="J98" i="1" s="1"/>
  <c r="K113" i="1"/>
  <c r="K41" i="1"/>
  <c r="J46" i="1"/>
  <c r="J48" i="1"/>
  <c r="J49" i="1" s="1"/>
  <c r="I88" i="1"/>
  <c r="I95" i="1" s="1"/>
  <c r="J51" i="1"/>
  <c r="J63" i="2"/>
  <c r="J62" i="2" s="1"/>
  <c r="J68" i="2" s="1"/>
  <c r="C43" i="1"/>
  <c r="C42" i="1"/>
  <c r="C67" i="2"/>
  <c r="C45" i="1"/>
  <c r="F48" i="1"/>
  <c r="F49" i="1" s="1"/>
  <c r="E48" i="1"/>
  <c r="E49" i="1" s="1"/>
  <c r="G48" i="1"/>
  <c r="G49" i="1" s="1"/>
  <c r="K132" i="1" l="1"/>
  <c r="K135" i="1"/>
  <c r="J88" i="1"/>
  <c r="J95" i="1" s="1"/>
  <c r="K45" i="1"/>
  <c r="K42" i="1"/>
  <c r="K43" i="1"/>
  <c r="K64" i="2"/>
  <c r="K125" i="1" s="1"/>
  <c r="K128" i="1" s="1"/>
  <c r="K130" i="1" s="1"/>
  <c r="C48" i="1"/>
  <c r="C49" i="1" s="1"/>
  <c r="C46" i="1"/>
  <c r="K133" i="1" l="1"/>
  <c r="K79" i="1" s="1"/>
  <c r="K81" i="1" s="1"/>
  <c r="K98" i="1" s="1"/>
  <c r="K46" i="1"/>
  <c r="K48" i="1"/>
  <c r="K49" i="1" s="1"/>
  <c r="K63" i="2"/>
  <c r="K62" i="2" s="1"/>
  <c r="K68" i="2" s="1"/>
  <c r="K51" i="1"/>
  <c r="K88" i="1" s="1"/>
  <c r="K95" i="1" s="1"/>
</calcChain>
</file>

<file path=xl/sharedStrings.xml><?xml version="1.0" encoding="utf-8"?>
<sst xmlns="http://schemas.openxmlformats.org/spreadsheetml/2006/main" count="290" uniqueCount="223">
  <si>
    <t>Revenue</t>
  </si>
  <si>
    <t>Less: Excise Duty</t>
  </si>
  <si>
    <t>Net Revenues</t>
  </si>
  <si>
    <t>COGS</t>
  </si>
  <si>
    <t>Other Exp</t>
  </si>
  <si>
    <t>EBITDA Margin%</t>
  </si>
  <si>
    <t xml:space="preserve">EBITDA </t>
  </si>
  <si>
    <t>Depreciation</t>
  </si>
  <si>
    <t>EBIT</t>
  </si>
  <si>
    <t>EBIT Margin%</t>
  </si>
  <si>
    <t>(Rs Crore)</t>
  </si>
  <si>
    <t>P&amp;L Statement</t>
  </si>
  <si>
    <t>PBT</t>
  </si>
  <si>
    <t>PAT Margin %</t>
  </si>
  <si>
    <t>Other income</t>
  </si>
  <si>
    <t>Change in stock</t>
  </si>
  <si>
    <t>Assets</t>
  </si>
  <si>
    <t>Net Fixed Assets</t>
  </si>
  <si>
    <t>Capital WIP</t>
  </si>
  <si>
    <t>Inventories</t>
  </si>
  <si>
    <t>Trade Payables</t>
  </si>
  <si>
    <t>Cash &amp; Cash Equivalents</t>
  </si>
  <si>
    <t>Loans &amp; Advances</t>
  </si>
  <si>
    <t>Trade Receivables</t>
  </si>
  <si>
    <t>Liabilities</t>
  </si>
  <si>
    <t>Share Capital</t>
  </si>
  <si>
    <t>Reserves &amp; surplus</t>
  </si>
  <si>
    <t>Shareholders Equity</t>
  </si>
  <si>
    <t>Total Liability</t>
  </si>
  <si>
    <t>Check</t>
  </si>
  <si>
    <t>CASH FLOWS</t>
  </si>
  <si>
    <t>BALANCE SHEET</t>
  </si>
  <si>
    <t>Interest Income</t>
  </si>
  <si>
    <t>Dividend Income</t>
  </si>
  <si>
    <t>Others</t>
  </si>
  <si>
    <t>Operating Profit Before WC changes</t>
  </si>
  <si>
    <t>(consumption)/releases of WC</t>
  </si>
  <si>
    <t>Cash Generated from operations</t>
  </si>
  <si>
    <t>Taxes Paid</t>
  </si>
  <si>
    <t>Net CFO</t>
  </si>
  <si>
    <t>Capex</t>
  </si>
  <si>
    <t>Sales/(purchase) of Investments</t>
  </si>
  <si>
    <t>Ineterest Received</t>
  </si>
  <si>
    <t>Dividend Received</t>
  </si>
  <si>
    <t>Net Cash Flow from Investing Activities</t>
  </si>
  <si>
    <t>Issue of Equity</t>
  </si>
  <si>
    <t>Net Cash from Financing Activities</t>
  </si>
  <si>
    <t>Net Change In Cash</t>
  </si>
  <si>
    <t>Finance Cost</t>
  </si>
  <si>
    <t>Investments in subsidiaries and associates</t>
  </si>
  <si>
    <t>Dividend Paid</t>
  </si>
  <si>
    <t>Name of the Company</t>
  </si>
  <si>
    <t>CMP(Rs)</t>
  </si>
  <si>
    <t>No. of outstanding shares (crore)</t>
  </si>
  <si>
    <t>Market Cap. (Rs crore)</t>
  </si>
  <si>
    <t>CEAT</t>
  </si>
  <si>
    <t>Total Assets</t>
  </si>
  <si>
    <t>YoY Growth %</t>
  </si>
  <si>
    <t>(Rs. Crore)</t>
  </si>
  <si>
    <t>Employee Cost</t>
  </si>
  <si>
    <t>Per unit analysis (Rs.)</t>
  </si>
  <si>
    <t>EBITDA</t>
  </si>
  <si>
    <t>% of sales</t>
  </si>
  <si>
    <t>Employee Exp</t>
  </si>
  <si>
    <t>Raw Material Consumed</t>
  </si>
  <si>
    <t>Gross Profit</t>
  </si>
  <si>
    <t>GP Margin%</t>
  </si>
  <si>
    <t>Business PAT</t>
  </si>
  <si>
    <t>Investment</t>
  </si>
  <si>
    <t>Total Non Current Assets</t>
  </si>
  <si>
    <t>Current Investment</t>
  </si>
  <si>
    <t>Other Current Assets</t>
  </si>
  <si>
    <t>Total Current Assets</t>
  </si>
  <si>
    <t>Working Capital</t>
  </si>
  <si>
    <t>Provisions</t>
  </si>
  <si>
    <t>Other Current Liablities</t>
  </si>
  <si>
    <t>Short Term Debt</t>
  </si>
  <si>
    <t>Total Long Term Debt</t>
  </si>
  <si>
    <t>Interest Paid</t>
  </si>
  <si>
    <t>Other Non Current Assets</t>
  </si>
  <si>
    <t>Other Non Current Liabilities</t>
  </si>
  <si>
    <t>Net Deferred Tax Liabilities</t>
  </si>
  <si>
    <t>Restated</t>
  </si>
  <si>
    <t>Core Earnings</t>
  </si>
  <si>
    <t>ETR</t>
  </si>
  <si>
    <t>Gross Fixed Assets</t>
  </si>
  <si>
    <t>Dividend (incl. DDT)</t>
  </si>
  <si>
    <t>Net Revenue + Excise Duty</t>
  </si>
  <si>
    <t>Net Rev - COGS</t>
  </si>
  <si>
    <t>GP / Net Rev</t>
  </si>
  <si>
    <t>Curr. Value / Prev. Value -1</t>
  </si>
  <si>
    <t>GP - Emp Exp - Other Exp</t>
  </si>
  <si>
    <t>EBITDA / Net Rev</t>
  </si>
  <si>
    <t>EBIT - Fin Cost + Other Income - Exp. Items</t>
  </si>
  <si>
    <t>Exceptional Items</t>
  </si>
  <si>
    <t>Less: Tax</t>
  </si>
  <si>
    <t>PAT / Net Rev</t>
  </si>
  <si>
    <t>PAT + Exp Items*(1-ETR)</t>
  </si>
  <si>
    <t>B-PAT - Other Income*(1-ETR)</t>
  </si>
  <si>
    <t>EPS (Rs.)</t>
  </si>
  <si>
    <t>Business EPS (Rs.)</t>
  </si>
  <si>
    <t>Core EPS (Rs.)</t>
  </si>
  <si>
    <t>PBT - Tax</t>
  </si>
  <si>
    <t>PAT / No. of OS Shares</t>
  </si>
  <si>
    <t>B-PAT / No. of OS Shares</t>
  </si>
  <si>
    <t>Core Earnings / No. of OS Shares</t>
  </si>
  <si>
    <t>Less: Accumulated Dep</t>
  </si>
  <si>
    <t>Fixed Asset Schedule</t>
  </si>
  <si>
    <t>From Model</t>
  </si>
  <si>
    <t>Total Current Liabilities</t>
  </si>
  <si>
    <t>TCA - TCL</t>
  </si>
  <si>
    <t>TNCA + WC + Cash</t>
  </si>
  <si>
    <t>From AR / QR - Total Equity + TNCL</t>
  </si>
  <si>
    <t>SC + R&amp;S</t>
  </si>
  <si>
    <t>TA - TL</t>
  </si>
  <si>
    <t>Net CFO + Net CFI + Net CFF</t>
  </si>
  <si>
    <t xml:space="preserve">Net Change in Cash + Curr. Op. Cash Bal. </t>
  </si>
  <si>
    <t>Prev. Cash Cl. Bal.</t>
  </si>
  <si>
    <t>Cash at the Start of the Year (Op. Bal.)</t>
  </si>
  <si>
    <t>Cash at the End of the Year (Cl. Bal.)</t>
  </si>
  <si>
    <t>FCFF (Free Cash Flow to the Firm)</t>
  </si>
  <si>
    <t>Net CFO + (Capex)</t>
  </si>
  <si>
    <t>Debt Schedule</t>
  </si>
  <si>
    <t>Depreciation Exp</t>
  </si>
  <si>
    <t>ST Debt</t>
  </si>
  <si>
    <t>LT Debt</t>
  </si>
  <si>
    <t>Total Debt</t>
  </si>
  <si>
    <t>ST Debt + LT Debt</t>
  </si>
  <si>
    <t>Change in ST Debt</t>
  </si>
  <si>
    <t>Change in LT Debt</t>
  </si>
  <si>
    <t>Interest Rate (%)</t>
  </si>
  <si>
    <t>Increase/(decrease) in Debt</t>
  </si>
  <si>
    <t>Total Change in Debt</t>
  </si>
  <si>
    <t>Curr. ST Debt - Prev. ST Debt</t>
  </si>
  <si>
    <t>FV per share</t>
  </si>
  <si>
    <t>No. of Outstanding Shares</t>
  </si>
  <si>
    <t>Equity Schedule</t>
  </si>
  <si>
    <t>Dividend Schedule</t>
  </si>
  <si>
    <t>Dividend Paid Amount</t>
  </si>
  <si>
    <t>DDT Paid</t>
  </si>
  <si>
    <t>Dividend Payout (%)</t>
  </si>
  <si>
    <t>Dividend Per Share</t>
  </si>
  <si>
    <t>DDT Rate (%)</t>
  </si>
  <si>
    <t>Total Dividend Cash Outflow</t>
  </si>
  <si>
    <t>Other Expenses</t>
  </si>
  <si>
    <t>Net Revenue</t>
  </si>
  <si>
    <t>Realization per MT</t>
  </si>
  <si>
    <t>COGS per MT</t>
  </si>
  <si>
    <t>Gross Profit per MT</t>
  </si>
  <si>
    <t>Employee Cost per MT</t>
  </si>
  <si>
    <t>Other Expenses per MT</t>
  </si>
  <si>
    <t>EBITDA per MT</t>
  </si>
  <si>
    <t>Volumes (MT)</t>
  </si>
  <si>
    <t>Reported PAT</t>
  </si>
  <si>
    <t>Projected</t>
  </si>
  <si>
    <t>Blue - Input Values</t>
  </si>
  <si>
    <t>Black - Calculated Values</t>
  </si>
  <si>
    <t>Yellow Fill - Assumptions</t>
  </si>
  <si>
    <t>Green - Comments</t>
  </si>
  <si>
    <t>Depreciation Rate (%)</t>
  </si>
  <si>
    <t>(1+YoY Growth)*Prev. Vol.</t>
  </si>
  <si>
    <t>(1+YoY Growth)*Prev. Real. Per MT</t>
  </si>
  <si>
    <t>(1+YoY Growth)*COGS Per MT</t>
  </si>
  <si>
    <t>(1+YoY Growth)*Prev. Emp. Cost</t>
  </si>
  <si>
    <t>Vol * Real per MT / 10^7</t>
  </si>
  <si>
    <t>Vol * COGS per MT / 10^7</t>
  </si>
  <si>
    <t>% of Sales * Net Revenue</t>
  </si>
  <si>
    <t>Net Revenue - (COGS + Emp. Cost + OE)</t>
  </si>
  <si>
    <t>Copy &amp; Paste Prev. Formulas</t>
  </si>
  <si>
    <t>Prev. GFA + Capex + (Prev. CWIP - Curr. CWIP)</t>
  </si>
  <si>
    <t>Dep Rate * GFA</t>
  </si>
  <si>
    <t>Prev. Acc. Dep + Curr. Dep Exp.</t>
  </si>
  <si>
    <t>GFA - Acc. Dep</t>
  </si>
  <si>
    <t>Working Capital Ratios</t>
  </si>
  <si>
    <t>Current Assets</t>
  </si>
  <si>
    <t>Inventories - Days Sales</t>
  </si>
  <si>
    <t>Trade Receivables - Days Sales</t>
  </si>
  <si>
    <t>Current Liabilities</t>
  </si>
  <si>
    <t>Trade Payables - Days Sales</t>
  </si>
  <si>
    <t>Provisions - Days Sales</t>
  </si>
  <si>
    <t>Short Term Debt - Days Sales</t>
  </si>
  <si>
    <t>Net WC Cycle - Days Sales</t>
  </si>
  <si>
    <t>All CA Ratios - All CL Ratios</t>
  </si>
  <si>
    <t>Int Rate * Avg. Total Debt</t>
  </si>
  <si>
    <t>From Working</t>
  </si>
  <si>
    <t>Assume Constant</t>
  </si>
  <si>
    <t>Assume 0</t>
  </si>
  <si>
    <t>Assume Current ETR</t>
  </si>
  <si>
    <t>PBT * ETR</t>
  </si>
  <si>
    <t>Prev. LT Debt + Change in LT Debt</t>
  </si>
  <si>
    <t>Keep Constant</t>
  </si>
  <si>
    <t>SC / FV</t>
  </si>
  <si>
    <t xml:space="preserve">PAT * Div. Payout </t>
  </si>
  <si>
    <t>TDCO * DDT Rate</t>
  </si>
  <si>
    <t>TDCO - DDT Paid</t>
  </si>
  <si>
    <t>NFA + CWIP + Inv + ONCA</t>
  </si>
  <si>
    <t>Inv. Days Sales * Rev / 365</t>
  </si>
  <si>
    <t>TR Days Sales * Rev / 365</t>
  </si>
  <si>
    <t>Total All CA</t>
  </si>
  <si>
    <t>Total All CL</t>
  </si>
  <si>
    <t>Cl. Cash Bal. from CF</t>
  </si>
  <si>
    <t>From P&amp;L</t>
  </si>
  <si>
    <t>Keep 0</t>
  </si>
  <si>
    <t>From P&amp;L - Other Income</t>
  </si>
  <si>
    <t>Sum of all above items</t>
  </si>
  <si>
    <t>Prev. WC - Curr. WC - (Curr. ST Debt - Prev. ST Debt)</t>
  </si>
  <si>
    <t>OPBWC + Changes in WC</t>
  </si>
  <si>
    <t>CGO + Taxes Paid</t>
  </si>
  <si>
    <t>Prev. Inv - Curr. Inv.</t>
  </si>
  <si>
    <t>From CFO item</t>
  </si>
  <si>
    <t>Total of above items</t>
  </si>
  <si>
    <t>FA Turnover Ratio</t>
  </si>
  <si>
    <t>Prev. R&amp;S + PAT - TDCO</t>
  </si>
  <si>
    <t>Current Equity Cap. - Prev. Equity Cap.</t>
  </si>
  <si>
    <t>Assume | Inv. / Sales*365</t>
  </si>
  <si>
    <t>Assume | TR / Sales*365</t>
  </si>
  <si>
    <t>Assume | TP / Sales*365</t>
  </si>
  <si>
    <t>Assume | Prov. / Sales*365</t>
  </si>
  <si>
    <t>Assume | ST Debt / Sales*365</t>
  </si>
  <si>
    <t>Keep Constant | As per current govt. regime</t>
  </si>
  <si>
    <t>TP Days Sales * Rev / 365</t>
  </si>
  <si>
    <t>Provisions Days Sales * Rev / 365</t>
  </si>
  <si>
    <t>ST Debt Days Sales * Rev /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</si>
</sst>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,##0.0_);[Red]\(#,##0.0\)"/>
    <numFmt numFmtId="166" formatCode="0.00_)"/>
    <numFmt numFmtId="167" formatCode="#,##0;[Red]\(#,##0\)"/>
    <numFmt numFmtId="168" formatCode="#,##0.00;[Red]\(#,##0.00\)"/>
    <numFmt numFmtId="169" formatCode="[$-409]mmm\-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u/>
      <sz val="10"/>
      <color indexed="12"/>
      <name val="Arial"/>
      <family val="2"/>
    </font>
    <font>
      <b/>
      <sz val="14"/>
      <name val="Helv"/>
    </font>
    <font>
      <sz val="24"/>
      <color indexed="13"/>
      <name val="Helv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name val="Times New Roman"/>
      <family val="1"/>
    </font>
    <font>
      <b/>
      <i/>
      <sz val="12"/>
      <name val="Helv"/>
    </font>
    <font>
      <sz val="12"/>
      <name val="Helv"/>
    </font>
    <font>
      <b/>
      <i/>
      <sz val="24"/>
      <name val="Tms Rmn"/>
    </font>
    <font>
      <b/>
      <i/>
      <sz val="12"/>
      <name val="Times New Roman"/>
      <family val="1"/>
    </font>
    <font>
      <sz val="7"/>
      <name val="Arial"/>
      <family val="2"/>
    </font>
    <font>
      <sz val="10"/>
      <color indexed="10"/>
      <name val="MS Sans Serif"/>
      <family val="2"/>
    </font>
    <font>
      <b/>
      <i/>
      <sz val="16"/>
      <name val="Helv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8"/>
      </patternFill>
    </fill>
    <fill>
      <patternFill patternType="solid">
        <fgColor indexed="12"/>
      </patternFill>
    </fill>
    <fill>
      <patternFill patternType="solid">
        <fgColor indexed="26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55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38" fontId="9" fillId="20" borderId="3">
      <alignment horizontal="right"/>
    </xf>
    <xf numFmtId="0" fontId="27" fillId="21" borderId="4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5" fillId="0" borderId="6"/>
    <xf numFmtId="38" fontId="10" fillId="23" borderId="3">
      <protection locked="0"/>
    </xf>
    <xf numFmtId="2" fontId="9" fillId="24" borderId="0">
      <alignment horizontal="left"/>
      <protection hidden="1"/>
    </xf>
    <xf numFmtId="0" fontId="11" fillId="0" borderId="0"/>
    <xf numFmtId="37" fontId="12" fillId="0" borderId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37" fontId="13" fillId="0" borderId="0"/>
    <xf numFmtId="37" fontId="14" fillId="0" borderId="0"/>
    <xf numFmtId="0" fontId="15" fillId="0" borderId="0">
      <alignment horizontal="left" vertical="center"/>
    </xf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167" fontId="16" fillId="0" borderId="0" applyBorder="0" applyAlignment="0"/>
    <xf numFmtId="0" fontId="34" fillId="7" borderId="4" applyNumberFormat="0" applyAlignment="0" applyProtection="0"/>
    <xf numFmtId="0" fontId="7" fillId="25" borderId="6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17" fillId="0" borderId="0"/>
    <xf numFmtId="166" fontId="18" fillId="0" borderId="0"/>
    <xf numFmtId="0" fontId="4" fillId="0" borderId="0"/>
    <xf numFmtId="0" fontId="4" fillId="0" borderId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0" fontId="5" fillId="0" borderId="0"/>
    <xf numFmtId="0" fontId="19" fillId="28" borderId="0">
      <alignment horizontal="right"/>
    </xf>
    <xf numFmtId="0" fontId="4" fillId="0" borderId="0" applyNumberFormat="0" applyFill="0" applyBorder="0" applyAlignment="0" applyProtection="0"/>
    <xf numFmtId="37" fontId="13" fillId="0" borderId="0"/>
    <xf numFmtId="0" fontId="20" fillId="0" borderId="13" applyBorder="0">
      <alignment horizontal="center"/>
    </xf>
    <xf numFmtId="0" fontId="5" fillId="0" borderId="6"/>
    <xf numFmtId="168" fontId="21" fillId="29" borderId="0"/>
    <xf numFmtId="0" fontId="8" fillId="30" borderId="0"/>
    <xf numFmtId="0" fontId="38" fillId="0" borderId="14" applyNumberFormat="0" applyFill="0" applyAlignment="0" applyProtection="0"/>
    <xf numFmtId="0" fontId="7" fillId="0" borderId="15"/>
    <xf numFmtId="0" fontId="7" fillId="0" borderId="6"/>
    <xf numFmtId="165" fontId="22" fillId="31" borderId="3">
      <alignment horizontal="right"/>
    </xf>
    <xf numFmtId="165" fontId="23" fillId="31" borderId="3"/>
    <xf numFmtId="0" fontId="3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4" fillId="0" borderId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4" fillId="0" borderId="0" applyNumberFormat="0" applyFill="0" applyBorder="0" applyAlignment="0" applyProtection="0"/>
    <xf numFmtId="168" fontId="21" fillId="29" borderId="0"/>
    <xf numFmtId="0" fontId="38" fillId="0" borderId="14" applyNumberFormat="0" applyFill="0" applyAlignment="0" applyProtection="0"/>
    <xf numFmtId="0" fontId="4" fillId="0" borderId="0"/>
    <xf numFmtId="0" fontId="39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168" fontId="21" fillId="29" borderId="0"/>
    <xf numFmtId="0" fontId="38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1" borderId="4" applyNumberFormat="0" applyAlignment="0" applyProtection="0"/>
    <xf numFmtId="0" fontId="27" fillId="21" borderId="4" applyNumberFormat="0" applyAlignment="0" applyProtection="0"/>
    <xf numFmtId="0" fontId="28" fillId="22" borderId="5" applyNumberFormat="0" applyAlignment="0" applyProtection="0"/>
    <xf numFmtId="0" fontId="28" fillId="22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6"/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2" fontId="9" fillId="24" borderId="0">
      <alignment horizontal="left"/>
      <protection hidden="1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7" fillId="25" borderId="6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6"/>
    <xf numFmtId="168" fontId="21" fillId="29" borderId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7" fillId="0" borderId="6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2" fontId="9" fillId="24" borderId="0">
      <alignment horizontal="left"/>
      <protection hidden="1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8" fontId="21" fillId="29" borderId="0"/>
    <xf numFmtId="168" fontId="21" fillId="29" borderId="0"/>
    <xf numFmtId="168" fontId="21" fillId="29" borderId="0"/>
    <xf numFmtId="168" fontId="21" fillId="29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21" borderId="4" applyNumberFormat="0" applyAlignment="0" applyProtection="0"/>
    <xf numFmtId="0" fontId="27" fillId="21" borderId="4" applyNumberFormat="0" applyAlignment="0" applyProtection="0"/>
    <xf numFmtId="164" fontId="1" fillId="0" borderId="0" applyFont="0" applyFill="0" applyBorder="0" applyAlignment="0" applyProtection="0"/>
    <xf numFmtId="0" fontId="34" fillId="7" borderId="4" applyNumberFormat="0" applyAlignment="0" applyProtection="0"/>
    <xf numFmtId="0" fontId="34" fillId="7" borderId="4" applyNumberFormat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24" fillId="27" borderId="11" applyNumberFormat="0" applyFon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0" fontId="37" fillId="21" borderId="12" applyNumberFormat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51" fillId="0" borderId="0"/>
    <xf numFmtId="9" fontId="51" fillId="0" borderId="0" applyFont="0" applyFill="0" applyBorder="0" applyAlignment="0" applyProtection="0"/>
    <xf numFmtId="44" fontId="5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0" xfId="0" applyFill="1"/>
    <xf numFmtId="169" fontId="41" fillId="32" borderId="0" xfId="0" applyNumberFormat="1" applyFont="1" applyFill="1" applyAlignment="1">
      <alignment horizontal="center"/>
    </xf>
    <xf numFmtId="169" fontId="41" fillId="33" borderId="0" xfId="0" applyNumberFormat="1" applyFont="1" applyFill="1" applyAlignment="1">
      <alignment horizontal="center"/>
    </xf>
    <xf numFmtId="0" fontId="0" fillId="0" borderId="0" xfId="0" applyFont="1"/>
    <xf numFmtId="2" fontId="4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42" fillId="0" borderId="0" xfId="0" applyNumberFormat="1" applyFont="1"/>
    <xf numFmtId="2" fontId="0" fillId="0" borderId="0" xfId="1" applyNumberFormat="1" applyFont="1"/>
    <xf numFmtId="2" fontId="2" fillId="0" borderId="0" xfId="1" applyNumberFormat="1" applyFont="1"/>
    <xf numFmtId="2" fontId="42" fillId="0" borderId="0" xfId="1" applyNumberFormat="1" applyFont="1"/>
    <xf numFmtId="2" fontId="43" fillId="0" borderId="0" xfId="1" applyNumberFormat="1" applyFont="1"/>
    <xf numFmtId="2" fontId="2" fillId="0" borderId="1" xfId="0" applyNumberFormat="1" applyFont="1" applyBorder="1"/>
    <xf numFmtId="2" fontId="46" fillId="0" borderId="0" xfId="0" applyNumberFormat="1" applyFont="1"/>
    <xf numFmtId="0" fontId="2" fillId="0" borderId="0" xfId="0" applyFont="1" applyAlignment="1">
      <alignment horizontal="right"/>
    </xf>
    <xf numFmtId="0" fontId="47" fillId="0" borderId="0" xfId="0" applyFont="1"/>
    <xf numFmtId="2" fontId="43" fillId="0" borderId="1" xfId="0" applyNumberFormat="1" applyFont="1" applyBorder="1"/>
    <xf numFmtId="0" fontId="48" fillId="0" borderId="0" xfId="0" applyFont="1" applyAlignment="1">
      <alignment horizontal="left" indent="1"/>
    </xf>
    <xf numFmtId="0" fontId="49" fillId="0" borderId="0" xfId="0" applyFont="1" applyAlignment="1">
      <alignment horizontal="left" indent="1"/>
    </xf>
    <xf numFmtId="0" fontId="50" fillId="0" borderId="0" xfId="0" applyFont="1" applyAlignment="1">
      <alignment horizontal="center"/>
    </xf>
    <xf numFmtId="164" fontId="45" fillId="0" borderId="0" xfId="1" applyNumberFormat="1" applyFont="1"/>
    <xf numFmtId="164" fontId="0" fillId="0" borderId="0" xfId="2" applyNumberFormat="1" applyFont="1"/>
    <xf numFmtId="164" fontId="0" fillId="0" borderId="0" xfId="1" applyNumberFormat="1" applyFont="1"/>
    <xf numFmtId="164" fontId="0" fillId="0" borderId="0" xfId="0" applyNumberFormat="1" applyFill="1"/>
    <xf numFmtId="164" fontId="42" fillId="0" borderId="0" xfId="0" applyNumberFormat="1" applyFont="1"/>
    <xf numFmtId="164" fontId="44" fillId="0" borderId="0" xfId="0" applyNumberFormat="1" applyFont="1"/>
    <xf numFmtId="164" fontId="44" fillId="0" borderId="0" xfId="1" applyNumberFormat="1" applyFont="1"/>
    <xf numFmtId="164" fontId="42" fillId="0" borderId="0" xfId="1" applyNumberFormat="1" applyFont="1"/>
    <xf numFmtId="164" fontId="2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2" fillId="34" borderId="0" xfId="0" applyNumberFormat="1" applyFont="1" applyFill="1" applyAlignment="1"/>
    <xf numFmtId="0" fontId="0" fillId="34" borderId="0" xfId="0" applyFill="1"/>
    <xf numFmtId="0" fontId="48" fillId="34" borderId="0" xfId="0" applyFont="1" applyFill="1" applyAlignment="1">
      <alignment horizontal="left" indent="1"/>
    </xf>
    <xf numFmtId="10" fontId="0" fillId="0" borderId="0" xfId="2" applyNumberFormat="1" applyFont="1"/>
    <xf numFmtId="10" fontId="1" fillId="0" borderId="0" xfId="2" applyNumberFormat="1" applyFont="1"/>
    <xf numFmtId="10" fontId="42" fillId="35" borderId="0" xfId="2" applyNumberFormat="1" applyFont="1" applyFill="1"/>
    <xf numFmtId="43" fontId="0" fillId="0" borderId="0" xfId="0" applyNumberFormat="1"/>
    <xf numFmtId="9" fontId="42" fillId="35" borderId="0" xfId="0" applyNumberFormat="1" applyFont="1" applyFill="1"/>
    <xf numFmtId="2" fontId="0" fillId="0" borderId="0" xfId="0" applyNumberFormat="1" applyFill="1"/>
    <xf numFmtId="43" fontId="0" fillId="0" borderId="0" xfId="0" applyNumberFormat="1" applyFill="1"/>
    <xf numFmtId="2" fontId="42" fillId="35" borderId="0" xfId="0" applyNumberFormat="1" applyFont="1" applyFill="1"/>
    <xf numFmtId="10" fontId="42" fillId="35" borderId="0" xfId="0" applyNumberFormat="1" applyFont="1" applyFill="1"/>
    <xf numFmtId="10" fontId="44" fillId="0" borderId="0" xfId="2" applyNumberFormat="1" applyFont="1"/>
    <xf numFmtId="2" fontId="46" fillId="0" borderId="1" xfId="0" applyNumberFormat="1" applyFont="1" applyBorder="1"/>
  </cellXfs>
  <cellStyles count="556">
    <cellStyle name="_ALLDCF" xfId="4"/>
    <cellStyle name="_final model" xfId="5"/>
    <cellStyle name="_ITC-R" xfId="348"/>
    <cellStyle name="_QTRLY_LINKS_Usha" xfId="6"/>
    <cellStyle name="20% - Accent1 2" xfId="103"/>
    <cellStyle name="20% - Accent1 2 2" xfId="158"/>
    <cellStyle name="20% - Accent1 3" xfId="200"/>
    <cellStyle name="20% - Accent1 4" xfId="201"/>
    <cellStyle name="20% - Accent1 5" xfId="7"/>
    <cellStyle name="20% - Accent2 2" xfId="104"/>
    <cellStyle name="20% - Accent2 2 2" xfId="159"/>
    <cellStyle name="20% - Accent2 3" xfId="202"/>
    <cellStyle name="20% - Accent2 4" xfId="203"/>
    <cellStyle name="20% - Accent2 5" xfId="8"/>
    <cellStyle name="20% - Accent3 2" xfId="105"/>
    <cellStyle name="20% - Accent3 2 2" xfId="160"/>
    <cellStyle name="20% - Accent3 3" xfId="204"/>
    <cellStyle name="20% - Accent3 4" xfId="205"/>
    <cellStyle name="20% - Accent3 5" xfId="9"/>
    <cellStyle name="20% - Accent4 2" xfId="106"/>
    <cellStyle name="20% - Accent4 2 2" xfId="161"/>
    <cellStyle name="20% - Accent4 3" xfId="206"/>
    <cellStyle name="20% - Accent4 4" xfId="207"/>
    <cellStyle name="20% - Accent4 5" xfId="10"/>
    <cellStyle name="20% - Accent5 2" xfId="107"/>
    <cellStyle name="20% - Accent5 2 2" xfId="162"/>
    <cellStyle name="20% - Accent5 3" xfId="208"/>
    <cellStyle name="20% - Accent5 4" xfId="209"/>
    <cellStyle name="20% - Accent5 5" xfId="11"/>
    <cellStyle name="20% - Accent6 2" xfId="108"/>
    <cellStyle name="20% - Accent6 2 2" xfId="163"/>
    <cellStyle name="20% - Accent6 3" xfId="210"/>
    <cellStyle name="20% - Accent6 4" xfId="211"/>
    <cellStyle name="20% - Accent6 5" xfId="12"/>
    <cellStyle name="40% - Accent1 2" xfId="109"/>
    <cellStyle name="40% - Accent1 2 2" xfId="164"/>
    <cellStyle name="40% - Accent1 3" xfId="212"/>
    <cellStyle name="40% - Accent1 4" xfId="213"/>
    <cellStyle name="40% - Accent1 5" xfId="13"/>
    <cellStyle name="40% - Accent2 2" xfId="110"/>
    <cellStyle name="40% - Accent2 2 2" xfId="165"/>
    <cellStyle name="40% - Accent2 3" xfId="214"/>
    <cellStyle name="40% - Accent2 4" xfId="215"/>
    <cellStyle name="40% - Accent2 5" xfId="14"/>
    <cellStyle name="40% - Accent3 2" xfId="111"/>
    <cellStyle name="40% - Accent3 2 2" xfId="166"/>
    <cellStyle name="40% - Accent3 3" xfId="216"/>
    <cellStyle name="40% - Accent3 4" xfId="217"/>
    <cellStyle name="40% - Accent3 5" xfId="15"/>
    <cellStyle name="40% - Accent4 2" xfId="112"/>
    <cellStyle name="40% - Accent4 2 2" xfId="167"/>
    <cellStyle name="40% - Accent4 3" xfId="218"/>
    <cellStyle name="40% - Accent4 4" xfId="219"/>
    <cellStyle name="40% - Accent4 5" xfId="16"/>
    <cellStyle name="40% - Accent5 2" xfId="113"/>
    <cellStyle name="40% - Accent5 2 2" xfId="168"/>
    <cellStyle name="40% - Accent5 3" xfId="220"/>
    <cellStyle name="40% - Accent5 4" xfId="221"/>
    <cellStyle name="40% - Accent5 5" xfId="17"/>
    <cellStyle name="40% - Accent6 2" xfId="114"/>
    <cellStyle name="40% - Accent6 2 2" xfId="169"/>
    <cellStyle name="40% - Accent6 3" xfId="222"/>
    <cellStyle name="40% - Accent6 4" xfId="223"/>
    <cellStyle name="40% - Accent6 5" xfId="18"/>
    <cellStyle name="60% - Accent1 2" xfId="115"/>
    <cellStyle name="60% - Accent1 2 2" xfId="170"/>
    <cellStyle name="60% - Accent1 3" xfId="224"/>
    <cellStyle name="60% - Accent1 4" xfId="225"/>
    <cellStyle name="60% - Accent1 5" xfId="19"/>
    <cellStyle name="60% - Accent2 2" xfId="116"/>
    <cellStyle name="60% - Accent2 2 2" xfId="171"/>
    <cellStyle name="60% - Accent2 3" xfId="226"/>
    <cellStyle name="60% - Accent2 4" xfId="227"/>
    <cellStyle name="60% - Accent2 5" xfId="20"/>
    <cellStyle name="60% - Accent3 2" xfId="117"/>
    <cellStyle name="60% - Accent3 2 2" xfId="172"/>
    <cellStyle name="60% - Accent3 3" xfId="228"/>
    <cellStyle name="60% - Accent3 4" xfId="229"/>
    <cellStyle name="60% - Accent3 5" xfId="21"/>
    <cellStyle name="60% - Accent4 2" xfId="118"/>
    <cellStyle name="60% - Accent4 2 2" xfId="173"/>
    <cellStyle name="60% - Accent4 3" xfId="230"/>
    <cellStyle name="60% - Accent4 4" xfId="231"/>
    <cellStyle name="60% - Accent4 5" xfId="22"/>
    <cellStyle name="60% - Accent5 2" xfId="119"/>
    <cellStyle name="60% - Accent5 2 2" xfId="174"/>
    <cellStyle name="60% - Accent5 3" xfId="232"/>
    <cellStyle name="60% - Accent5 4" xfId="233"/>
    <cellStyle name="60% - Accent5 5" xfId="23"/>
    <cellStyle name="60% - Accent6 2" xfId="120"/>
    <cellStyle name="60% - Accent6 2 2" xfId="175"/>
    <cellStyle name="60% - Accent6 3" xfId="234"/>
    <cellStyle name="60% - Accent6 4" xfId="235"/>
    <cellStyle name="60% - Accent6 5" xfId="24"/>
    <cellStyle name="Accent1 2" xfId="121"/>
    <cellStyle name="Accent1 2 2" xfId="176"/>
    <cellStyle name="Accent1 3" xfId="236"/>
    <cellStyle name="Accent1 4" xfId="237"/>
    <cellStyle name="Accent1 5" xfId="25"/>
    <cellStyle name="Accent2 2" xfId="122"/>
    <cellStyle name="Accent2 2 2" xfId="177"/>
    <cellStyle name="Accent2 3" xfId="238"/>
    <cellStyle name="Accent2 4" xfId="239"/>
    <cellStyle name="Accent2 5" xfId="26"/>
    <cellStyle name="Accent3 2" xfId="123"/>
    <cellStyle name="Accent3 2 2" xfId="178"/>
    <cellStyle name="Accent3 3" xfId="240"/>
    <cellStyle name="Accent3 4" xfId="241"/>
    <cellStyle name="Accent3 5" xfId="27"/>
    <cellStyle name="Accent4 2" xfId="124"/>
    <cellStyle name="Accent4 2 2" xfId="179"/>
    <cellStyle name="Accent4 3" xfId="242"/>
    <cellStyle name="Accent4 4" xfId="243"/>
    <cellStyle name="Accent4 5" xfId="28"/>
    <cellStyle name="Accent5 2" xfId="125"/>
    <cellStyle name="Accent5 2 2" xfId="180"/>
    <cellStyle name="Accent5 3" xfId="244"/>
    <cellStyle name="Accent5 4" xfId="245"/>
    <cellStyle name="Accent5 5" xfId="29"/>
    <cellStyle name="Accent6 2" xfId="126"/>
    <cellStyle name="Accent6 2 2" xfId="181"/>
    <cellStyle name="Accent6 3" xfId="246"/>
    <cellStyle name="Accent6 4" xfId="247"/>
    <cellStyle name="Accent6 5" xfId="30"/>
    <cellStyle name="Bad 2" xfId="127"/>
    <cellStyle name="Bad 2 2" xfId="182"/>
    <cellStyle name="Bad 3" xfId="248"/>
    <cellStyle name="Bad 4" xfId="249"/>
    <cellStyle name="Bad 5" xfId="31"/>
    <cellStyle name="Calc_0dp" xfId="32"/>
    <cellStyle name="Calculation 2" xfId="128"/>
    <cellStyle name="Calculation 2 2" xfId="183"/>
    <cellStyle name="Calculation 2 2 2" xfId="505"/>
    <cellStyle name="Calculation 3" xfId="250"/>
    <cellStyle name="Calculation 3 2" xfId="506"/>
    <cellStyle name="Calculation 4" xfId="251"/>
    <cellStyle name="Calculation 5" xfId="33"/>
    <cellStyle name="Check Cell 2" xfId="129"/>
    <cellStyle name="Check Cell 2 2" xfId="184"/>
    <cellStyle name="Check Cell 3" xfId="252"/>
    <cellStyle name="Check Cell 4" xfId="253"/>
    <cellStyle name="Check Cell 5" xfId="34"/>
    <cellStyle name="Comma" xfId="1" builtinId="3"/>
    <cellStyle name="Comma 2" xfId="36"/>
    <cellStyle name="Comma 2 10" xfId="254"/>
    <cellStyle name="Comma 2 2" xfId="130"/>
    <cellStyle name="Comma 2 3" xfId="255"/>
    <cellStyle name="Comma 2 4" xfId="256"/>
    <cellStyle name="Comma 2 5" xfId="257"/>
    <cellStyle name="Comma 2 6" xfId="258"/>
    <cellStyle name="Comma 2 7" xfId="259"/>
    <cellStyle name="Comma 2 8" xfId="260"/>
    <cellStyle name="Comma 2 9" xfId="261"/>
    <cellStyle name="Comma 3" xfId="84"/>
    <cellStyle name="Comma 3 2" xfId="151"/>
    <cellStyle name="Comma 3 2 2" xfId="349"/>
    <cellStyle name="Comma 3 2 3" xfId="350"/>
    <cellStyle name="Comma 3 3" xfId="155"/>
    <cellStyle name="Comma 3 3 2" xfId="351"/>
    <cellStyle name="Comma 3 3 3" xfId="352"/>
    <cellStyle name="Comma 3 4" xfId="262"/>
    <cellStyle name="Comma 3 4 2" xfId="353"/>
    <cellStyle name="Comma 3 4 3" xfId="354"/>
    <cellStyle name="Comma 3 5" xfId="355"/>
    <cellStyle name="Comma 3 6" xfId="356"/>
    <cellStyle name="Comma 3 7" xfId="357"/>
    <cellStyle name="Comma 3 8" xfId="358"/>
    <cellStyle name="Comma 4" xfId="359"/>
    <cellStyle name="Comma 5" xfId="507"/>
    <cellStyle name="Comma 6" xfId="35"/>
    <cellStyle name="Comma 7" xfId="552"/>
    <cellStyle name="Currency 2" xfId="555"/>
    <cellStyle name="Custom - Style8" xfId="37"/>
    <cellStyle name="Data   - Style2" xfId="38"/>
    <cellStyle name="Data   - Style2 2" xfId="263"/>
    <cellStyle name="Data_0dp" xfId="39"/>
    <cellStyle name="Derive" xfId="40"/>
    <cellStyle name="Derive 10" xfId="264"/>
    <cellStyle name="Derive 11" xfId="360"/>
    <cellStyle name="Derive 2" xfId="131"/>
    <cellStyle name="Derive 3" xfId="132"/>
    <cellStyle name="Derive 4" xfId="265"/>
    <cellStyle name="Derive 5" xfId="266"/>
    <cellStyle name="Derive 6" xfId="267"/>
    <cellStyle name="Derive 7" xfId="268"/>
    <cellStyle name="Derive 8" xfId="269"/>
    <cellStyle name="Derive 9" xfId="270"/>
    <cellStyle name="essay" xfId="41"/>
    <cellStyle name="essay - Style1" xfId="42"/>
    <cellStyle name="Explanatory Text 2" xfId="133"/>
    <cellStyle name="Explanatory Text 2 2" xfId="185"/>
    <cellStyle name="Explanatory Text 3" xfId="271"/>
    <cellStyle name="Explanatory Text 4" xfId="272"/>
    <cellStyle name="Explanatory Text 5" xfId="43"/>
    <cellStyle name="Good 2" xfId="134"/>
    <cellStyle name="Good 2 2" xfId="186"/>
    <cellStyle name="Good 3" xfId="273"/>
    <cellStyle name="Good 4" xfId="274"/>
    <cellStyle name="Good 5" xfId="44"/>
    <cellStyle name="Head - Style2" xfId="45"/>
    <cellStyle name="headin - Style2" xfId="46"/>
    <cellStyle name="heading" xfId="47"/>
    <cellStyle name="Heading 1 2" xfId="135"/>
    <cellStyle name="Heading 1 2 2" xfId="187"/>
    <cellStyle name="Heading 1 3" xfId="275"/>
    <cellStyle name="Heading 1 4" xfId="276"/>
    <cellStyle name="Heading 1 5" xfId="48"/>
    <cellStyle name="Heading 2 2" xfId="136"/>
    <cellStyle name="Heading 2 2 2" xfId="188"/>
    <cellStyle name="Heading 2 3" xfId="277"/>
    <cellStyle name="Heading 2 4" xfId="278"/>
    <cellStyle name="Heading 2 5" xfId="49"/>
    <cellStyle name="Heading 3 2" xfId="137"/>
    <cellStyle name="Heading 3 2 2" xfId="189"/>
    <cellStyle name="Heading 3 3" xfId="279"/>
    <cellStyle name="Heading 3 4" xfId="280"/>
    <cellStyle name="Heading 3 5" xfId="50"/>
    <cellStyle name="Heading 4 2" xfId="138"/>
    <cellStyle name="Heading 4 2 2" xfId="190"/>
    <cellStyle name="Heading 4 3" xfId="281"/>
    <cellStyle name="Heading 4 4" xfId="282"/>
    <cellStyle name="Heading 4 5" xfId="51"/>
    <cellStyle name="Hyperlink 2" xfId="361"/>
    <cellStyle name="Hyperlink_sample" xfId="52"/>
    <cellStyle name="Info_Main" xfId="53"/>
    <cellStyle name="Input 2" xfId="139"/>
    <cellStyle name="Input 2 2" xfId="191"/>
    <cellStyle name="Input 2 2 2" xfId="508"/>
    <cellStyle name="Input 3" xfId="283"/>
    <cellStyle name="Input 3 2" xfId="509"/>
    <cellStyle name="Input 4" xfId="284"/>
    <cellStyle name="Input 5" xfId="54"/>
    <cellStyle name="Labels - Style3" xfId="55"/>
    <cellStyle name="Labels - Style3 2" xfId="285"/>
    <cellStyle name="Linked Cell 2" xfId="140"/>
    <cellStyle name="Linked Cell 2 2" xfId="192"/>
    <cellStyle name="Linked Cell 3" xfId="286"/>
    <cellStyle name="Linked Cell 4" xfId="287"/>
    <cellStyle name="Linked Cell 5" xfId="56"/>
    <cellStyle name="Neutral 2" xfId="141"/>
    <cellStyle name="Neutral 2 2" xfId="193"/>
    <cellStyle name="Neutral 3" xfId="288"/>
    <cellStyle name="Neutral 4" xfId="289"/>
    <cellStyle name="Neutral 5" xfId="57"/>
    <cellStyle name="new font" xfId="58"/>
    <cellStyle name="Normal" xfId="0" builtinId="0"/>
    <cellStyle name="Normal - Style1" xfId="59"/>
    <cellStyle name="Normal 10" xfId="86"/>
    <cellStyle name="Normal 10 2" xfId="199"/>
    <cellStyle name="Normal 10 2 2" xfId="504"/>
    <cellStyle name="Normal 10 3" xfId="510"/>
    <cellStyle name="Normal 11" xfId="87"/>
    <cellStyle name="Normal 12" xfId="88"/>
    <cellStyle name="Normal 13" xfId="89"/>
    <cellStyle name="Normal 13 2" xfId="152"/>
    <cellStyle name="Normal 13 2 2" xfId="362"/>
    <cellStyle name="Normal 13 2 3" xfId="363"/>
    <cellStyle name="Normal 13 3" xfId="156"/>
    <cellStyle name="Normal 13 3 2" xfId="364"/>
    <cellStyle name="Normal 13 3 3" xfId="365"/>
    <cellStyle name="Normal 13 4" xfId="290"/>
    <cellStyle name="Normal 13 4 2" xfId="366"/>
    <cellStyle name="Normal 13 4 3" xfId="367"/>
    <cellStyle name="Normal 13 5" xfId="368"/>
    <cellStyle name="Normal 14" xfId="90"/>
    <cellStyle name="Normal 14 2" xfId="291"/>
    <cellStyle name="Normal 14 3" xfId="292"/>
    <cellStyle name="Normal 15" xfId="92"/>
    <cellStyle name="Normal 15 2" xfId="293"/>
    <cellStyle name="Normal 15 3" xfId="294"/>
    <cellStyle name="Normal 16" xfId="91"/>
    <cellStyle name="Normal 16 2" xfId="295"/>
    <cellStyle name="Normal 16 3" xfId="296"/>
    <cellStyle name="Normal 16 4" xfId="297"/>
    <cellStyle name="Normal 17" xfId="93"/>
    <cellStyle name="Normal 17 2" xfId="369"/>
    <cellStyle name="Normal 17 3" xfId="370"/>
    <cellStyle name="Normal 17 4" xfId="371"/>
    <cellStyle name="Normal 17 5" xfId="372"/>
    <cellStyle name="Normal 18" xfId="94"/>
    <cellStyle name="Normal 18 2" xfId="373"/>
    <cellStyle name="Normal 18 3" xfId="374"/>
    <cellStyle name="Normal 18 4" xfId="375"/>
    <cellStyle name="Normal 19" xfId="101"/>
    <cellStyle name="Normal 19 2" xfId="376"/>
    <cellStyle name="Normal 19 3" xfId="377"/>
    <cellStyle name="Normal 19 4" xfId="378"/>
    <cellStyle name="Normal 2" xfId="60"/>
    <cellStyle name="Normal 2 10" xfId="379"/>
    <cellStyle name="Normal 2 2" xfId="142"/>
    <cellStyle name="Normal 2 2 2" xfId="298"/>
    <cellStyle name="Normal 2 2 3" xfId="299"/>
    <cellStyle name="Normal 2 2 4" xfId="300"/>
    <cellStyle name="Normal 2 2 5" xfId="301"/>
    <cellStyle name="Normal 2 2 6" xfId="302"/>
    <cellStyle name="Normal 2 2 7" xfId="303"/>
    <cellStyle name="Normal 2 3" xfId="304"/>
    <cellStyle name="Normal 2 3 2" xfId="380"/>
    <cellStyle name="Normal 2 3 3" xfId="381"/>
    <cellStyle name="Normal 2 3 4" xfId="382"/>
    <cellStyle name="Normal 2 4" xfId="383"/>
    <cellStyle name="Normal 2 5" xfId="384"/>
    <cellStyle name="Normal 2 6" xfId="385"/>
    <cellStyle name="Normal 2 7" xfId="386"/>
    <cellStyle name="Normal 2 8" xfId="387"/>
    <cellStyle name="Normal 2 9" xfId="388"/>
    <cellStyle name="Normal 20" xfId="95"/>
    <cellStyle name="Normal 20 2" xfId="389"/>
    <cellStyle name="Normal 20 3" xfId="390"/>
    <cellStyle name="Normal 20 4" xfId="391"/>
    <cellStyle name="Normal 21" xfId="96"/>
    <cellStyle name="Normal 21 2" xfId="392"/>
    <cellStyle name="Normal 21 3" xfId="393"/>
    <cellStyle name="Normal 21 4" xfId="394"/>
    <cellStyle name="Normal 22" xfId="97"/>
    <cellStyle name="Normal 22 2" xfId="395"/>
    <cellStyle name="Normal 22 3" xfId="396"/>
    <cellStyle name="Normal 22 4" xfId="397"/>
    <cellStyle name="Normal 23" xfId="98"/>
    <cellStyle name="Normal 23 2" xfId="398"/>
    <cellStyle name="Normal 23 3" xfId="399"/>
    <cellStyle name="Normal 23 4" xfId="400"/>
    <cellStyle name="Normal 24" xfId="99"/>
    <cellStyle name="Normal 24 2" xfId="401"/>
    <cellStyle name="Normal 24 3" xfId="402"/>
    <cellStyle name="Normal 24 4" xfId="403"/>
    <cellStyle name="Normal 25" xfId="100"/>
    <cellStyle name="Normal 25 2" xfId="404"/>
    <cellStyle name="Normal 25 3" xfId="405"/>
    <cellStyle name="Normal 25 4" xfId="406"/>
    <cellStyle name="Normal 26" xfId="102"/>
    <cellStyle name="Normal 26 2" xfId="157"/>
    <cellStyle name="Normal 26 3" xfId="407"/>
    <cellStyle name="Normal 26 4" xfId="408"/>
    <cellStyle name="Normal 27" xfId="148"/>
    <cellStyle name="Normal 27 2" xfId="409"/>
    <cellStyle name="Normal 27 3" xfId="410"/>
    <cellStyle name="Normal 27 4" xfId="411"/>
    <cellStyle name="Normal 28" xfId="305"/>
    <cellStyle name="Normal 28 2" xfId="412"/>
    <cellStyle name="Normal 28 3" xfId="413"/>
    <cellStyle name="Normal 28 4" xfId="414"/>
    <cellStyle name="Normal 29" xfId="306"/>
    <cellStyle name="Normal 29 2" xfId="415"/>
    <cellStyle name="Normal 29 3" xfId="416"/>
    <cellStyle name="Normal 29 4" xfId="417"/>
    <cellStyle name="Normal 3" xfId="61"/>
    <cellStyle name="Normal 3 2" xfId="418"/>
    <cellStyle name="Normal 3 3" xfId="419"/>
    <cellStyle name="Normal 3 4" xfId="420"/>
    <cellStyle name="Normal 3 5" xfId="421"/>
    <cellStyle name="Normal 3 6" xfId="422"/>
    <cellStyle name="Normal 3 7" xfId="423"/>
    <cellStyle name="Normal 3 8" xfId="424"/>
    <cellStyle name="Normal 3 9" xfId="425"/>
    <cellStyle name="Normal 30" xfId="307"/>
    <cellStyle name="Normal 30 2" xfId="426"/>
    <cellStyle name="Normal 30 3" xfId="427"/>
    <cellStyle name="Normal 30 4" xfId="428"/>
    <cellStyle name="Normal 31" xfId="308"/>
    <cellStyle name="Normal 31 2" xfId="429"/>
    <cellStyle name="Normal 31 3" xfId="430"/>
    <cellStyle name="Normal 31 4" xfId="431"/>
    <cellStyle name="Normal 32" xfId="309"/>
    <cellStyle name="Normal 32 2" xfId="432"/>
    <cellStyle name="Normal 32 3" xfId="433"/>
    <cellStyle name="Normal 32 4" xfId="434"/>
    <cellStyle name="Normal 33" xfId="310"/>
    <cellStyle name="Normal 34" xfId="311"/>
    <cellStyle name="Normal 35" xfId="312"/>
    <cellStyle name="Normal 36" xfId="313"/>
    <cellStyle name="Normal 37" xfId="314"/>
    <cellStyle name="Normal 38" xfId="315"/>
    <cellStyle name="Normal 39" xfId="316"/>
    <cellStyle name="Normal 4" xfId="79"/>
    <cellStyle name="Normal 4 2" xfId="435"/>
    <cellStyle name="Normal 4 3" xfId="436"/>
    <cellStyle name="Normal 4 4" xfId="437"/>
    <cellStyle name="Normal 4 5" xfId="438"/>
    <cellStyle name="Normal 4 6" xfId="439"/>
    <cellStyle name="Normal 4 7" xfId="440"/>
    <cellStyle name="Normal 4 8" xfId="441"/>
    <cellStyle name="Normal 4 9" xfId="442"/>
    <cellStyle name="Normal 40" xfId="339"/>
    <cellStyle name="Normal 41" xfId="340"/>
    <cellStyle name="Normal 42" xfId="341"/>
    <cellStyle name="Normal 43" xfId="345"/>
    <cellStyle name="Normal 44" xfId="342"/>
    <cellStyle name="Normal 44 2" xfId="511"/>
    <cellStyle name="Normal 45" xfId="343"/>
    <cellStyle name="Normal 46" xfId="344"/>
    <cellStyle name="Normal 47" xfId="346"/>
    <cellStyle name="Normal 48" xfId="347"/>
    <cellStyle name="Normal 49" xfId="443"/>
    <cellStyle name="Normal 5" xfId="80"/>
    <cellStyle name="Normal 5 2" xfId="444"/>
    <cellStyle name="Normal 5 3" xfId="445"/>
    <cellStyle name="Normal 5 4" xfId="446"/>
    <cellStyle name="Normal 5 5" xfId="447"/>
    <cellStyle name="Normal 5 6" xfId="448"/>
    <cellStyle name="Normal 5 7" xfId="449"/>
    <cellStyle name="Normal 5 8" xfId="450"/>
    <cellStyle name="Normal 5 9" xfId="451"/>
    <cellStyle name="Normal 50" xfId="452"/>
    <cellStyle name="Normal 51" xfId="453"/>
    <cellStyle name="Normal 52" xfId="454"/>
    <cellStyle name="Normal 53" xfId="455"/>
    <cellStyle name="Normal 53 2" xfId="547"/>
    <cellStyle name="Normal 54" xfId="456"/>
    <cellStyle name="Normal 55" xfId="457"/>
    <cellStyle name="Normal 56" xfId="458"/>
    <cellStyle name="Normal 57" xfId="459"/>
    <cellStyle name="Normal 58" xfId="460"/>
    <cellStyle name="Normal 59" xfId="461"/>
    <cellStyle name="Normal 6" xfId="81"/>
    <cellStyle name="Normal 6 2" xfId="462"/>
    <cellStyle name="Normal 6 3" xfId="463"/>
    <cellStyle name="Normal 6 4" xfId="464"/>
    <cellStyle name="Normal 6 5" xfId="465"/>
    <cellStyle name="Normal 6 6" xfId="466"/>
    <cellStyle name="Normal 6 7" xfId="467"/>
    <cellStyle name="Normal 6 8" xfId="468"/>
    <cellStyle name="Normal 6 9" xfId="469"/>
    <cellStyle name="Normal 60" xfId="499"/>
    <cellStyle name="Normal 61" xfId="500"/>
    <cellStyle name="Normal 62" xfId="501"/>
    <cellStyle name="Normal 63" xfId="502"/>
    <cellStyle name="Normal 64" xfId="503"/>
    <cellStyle name="Normal 65" xfId="512"/>
    <cellStyle name="Normal 66" xfId="513"/>
    <cellStyle name="Normal 67" xfId="514"/>
    <cellStyle name="Normal 68" xfId="515"/>
    <cellStyle name="Normal 69" xfId="516"/>
    <cellStyle name="Normal 7" xfId="82"/>
    <cellStyle name="Normal 7 2" xfId="470"/>
    <cellStyle name="Normal 7 3" xfId="471"/>
    <cellStyle name="Normal 7 4" xfId="472"/>
    <cellStyle name="Normal 7 5" xfId="473"/>
    <cellStyle name="Normal 7 6" xfId="474"/>
    <cellStyle name="Normal 7 7" xfId="475"/>
    <cellStyle name="Normal 7 8" xfId="476"/>
    <cellStyle name="Normal 7 9" xfId="477"/>
    <cellStyle name="Normal 70" xfId="517"/>
    <cellStyle name="Normal 71" xfId="518"/>
    <cellStyle name="Normal 72" xfId="519"/>
    <cellStyle name="Normal 73" xfId="520"/>
    <cellStyle name="Normal 74" xfId="521"/>
    <cellStyle name="Normal 75" xfId="522"/>
    <cellStyle name="Normal 76" xfId="523"/>
    <cellStyle name="Normal 77" xfId="524"/>
    <cellStyle name="Normal 78" xfId="537"/>
    <cellStyle name="Normal 79" xfId="538"/>
    <cellStyle name="Normal 8" xfId="83"/>
    <cellStyle name="Normal 8 2" xfId="150"/>
    <cellStyle name="Normal 8 2 2" xfId="478"/>
    <cellStyle name="Normal 8 2 2 2" xfId="525"/>
    <cellStyle name="Normal 8 2 3" xfId="479"/>
    <cellStyle name="Normal 8 2 4" xfId="480"/>
    <cellStyle name="Normal 8 2 5" xfId="481"/>
    <cellStyle name="Normal 8 3" xfId="154"/>
    <cellStyle name="Normal 8 3 2" xfId="482"/>
    <cellStyle name="Normal 8 3 3" xfId="483"/>
    <cellStyle name="Normal 8 4" xfId="317"/>
    <cellStyle name="Normal 8 4 2" xfId="484"/>
    <cellStyle name="Normal 8 4 3" xfId="485"/>
    <cellStyle name="Normal 8 5" xfId="486"/>
    <cellStyle name="Normal 8 6" xfId="487"/>
    <cellStyle name="Normal 8 7" xfId="488"/>
    <cellStyle name="Normal 8 8" xfId="489"/>
    <cellStyle name="Normal 80" xfId="539"/>
    <cellStyle name="Normal 81" xfId="540"/>
    <cellStyle name="Normal 82" xfId="541"/>
    <cellStyle name="Normal 83" xfId="542"/>
    <cellStyle name="Normal 84" xfId="543"/>
    <cellStyle name="Normal 85" xfId="544"/>
    <cellStyle name="Normal 86" xfId="545"/>
    <cellStyle name="Normal 87" xfId="546"/>
    <cellStyle name="Normal 88" xfId="548"/>
    <cellStyle name="Normal 89" xfId="549"/>
    <cellStyle name="Normal 9" xfId="85"/>
    <cellStyle name="Normal 90" xfId="550"/>
    <cellStyle name="Normal 91" xfId="551"/>
    <cellStyle name="Normal 92" xfId="3"/>
    <cellStyle name="Normal 93" xfId="553"/>
    <cellStyle name="Note 2" xfId="143"/>
    <cellStyle name="Note 2 2" xfId="194"/>
    <cellStyle name="Note 2 2 2" xfId="526"/>
    <cellStyle name="Note 2 3" xfId="527"/>
    <cellStyle name="Note 3" xfId="318"/>
    <cellStyle name="Note 3 2" xfId="528"/>
    <cellStyle name="Note 4" xfId="319"/>
    <cellStyle name="Note 5" xfId="62"/>
    <cellStyle name="Output 2" xfId="144"/>
    <cellStyle name="Output 2 2" xfId="195"/>
    <cellStyle name="Output 2 2 2" xfId="529"/>
    <cellStyle name="Output 2 3" xfId="530"/>
    <cellStyle name="Output 3" xfId="320"/>
    <cellStyle name="Output 3 2" xfId="531"/>
    <cellStyle name="Output 4" xfId="321"/>
    <cellStyle name="Output 5" xfId="63"/>
    <cellStyle name="Percent" xfId="2" builtinId="5"/>
    <cellStyle name="Percent 2" xfId="322"/>
    <cellStyle name="Percent 2 2" xfId="323"/>
    <cellStyle name="Percent 2 2 2" xfId="532"/>
    <cellStyle name="Percent 2 3" xfId="324"/>
    <cellStyle name="Percent 2 4" xfId="490"/>
    <cellStyle name="Percent 2 5" xfId="491"/>
    <cellStyle name="Percent 2 6" xfId="492"/>
    <cellStyle name="Percent 3" xfId="493"/>
    <cellStyle name="Percent 4" xfId="533"/>
    <cellStyle name="Percent 5" xfId="64"/>
    <cellStyle name="Percent 6" xfId="554"/>
    <cellStyle name="Reset  - Style7" xfId="65"/>
    <cellStyle name="Shade" xfId="66"/>
    <cellStyle name="Style 1" xfId="67"/>
    <cellStyle name="Style 1 10" xfId="325"/>
    <cellStyle name="Style 1 11" xfId="494"/>
    <cellStyle name="Style 1 2" xfId="145"/>
    <cellStyle name="Style 1 3" xfId="153"/>
    <cellStyle name="Style 1 4" xfId="326"/>
    <cellStyle name="Style 1 5" xfId="327"/>
    <cellStyle name="Style 1 6" xfId="328"/>
    <cellStyle name="Style 1 7" xfId="329"/>
    <cellStyle name="Style 1 8" xfId="330"/>
    <cellStyle name="Style 1 9" xfId="331"/>
    <cellStyle name="Sub - Style3" xfId="68"/>
    <cellStyle name="Synopsis" xfId="69"/>
    <cellStyle name="Table  - Style6" xfId="70"/>
    <cellStyle name="Table  - Style6 2" xfId="332"/>
    <cellStyle name="Title  - Style1" xfId="72"/>
    <cellStyle name="Title 2" xfId="146"/>
    <cellStyle name="Title 2 2" xfId="196"/>
    <cellStyle name="Title 2 3" xfId="495"/>
    <cellStyle name="Title 2 4" xfId="496"/>
    <cellStyle name="Title 2 5" xfId="497"/>
    <cellStyle name="Title 2 6" xfId="498"/>
    <cellStyle name="Title 3" xfId="333"/>
    <cellStyle name="Title 4" xfId="71"/>
    <cellStyle name="Total 2" xfId="147"/>
    <cellStyle name="Total 2 2" xfId="197"/>
    <cellStyle name="Total 2 2 2" xfId="534"/>
    <cellStyle name="Total 2 3" xfId="535"/>
    <cellStyle name="Total 3" xfId="334"/>
    <cellStyle name="Total 3 2" xfId="536"/>
    <cellStyle name="Total 4" xfId="335"/>
    <cellStyle name="Total 5" xfId="73"/>
    <cellStyle name="TotCol - Style5" xfId="74"/>
    <cellStyle name="TotRow - Style4" xfId="75"/>
    <cellStyle name="TotRow - Style4 2" xfId="336"/>
    <cellStyle name="Use_1dp" xfId="76"/>
    <cellStyle name="UseB_1dp" xfId="77"/>
    <cellStyle name="Warning Text 2" xfId="149"/>
    <cellStyle name="Warning Text 2 2" xfId="198"/>
    <cellStyle name="Warning Text 3" xfId="337"/>
    <cellStyle name="Warning Text 4" xfId="338"/>
    <cellStyle name="Warning Text 5" xfId="78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3"/>
  <sheetViews>
    <sheetView tabSelected="1" workbookViewId="0">
      <pane xSplit="2" ySplit="6" topLeftCell="C86" activePane="bottomRight" state="frozen"/>
      <selection pane="topRight" activeCell="C1" sqref="C1"/>
      <selection pane="bottomLeft" activeCell="A7" sqref="A7"/>
      <selection pane="bottomRight" activeCell="K100" sqref="K100"/>
    </sheetView>
  </sheetViews>
  <sheetFormatPr defaultRowHeight="15" x14ac:dyDescent="0.25"/>
  <cols>
    <col min="1" max="1" width="2.7109375" customWidth="1"/>
    <col min="2" max="2" width="36.42578125" bestFit="1" customWidth="1"/>
    <col min="3" max="11" width="10.140625" customWidth="1"/>
    <col min="12" max="12" width="10.140625" style="22" customWidth="1"/>
  </cols>
  <sheetData>
    <row r="1" spans="2:12" ht="14.45" x14ac:dyDescent="0.35">
      <c r="B1" t="s">
        <v>51</v>
      </c>
      <c r="C1" s="34" t="s">
        <v>55</v>
      </c>
      <c r="E1" t="s">
        <v>155</v>
      </c>
    </row>
    <row r="2" spans="2:12" ht="14.45" x14ac:dyDescent="0.35">
      <c r="B2" t="s">
        <v>52</v>
      </c>
      <c r="C2" s="35">
        <v>926</v>
      </c>
      <c r="E2" t="s">
        <v>156</v>
      </c>
    </row>
    <row r="3" spans="2:12" ht="14.45" x14ac:dyDescent="0.35">
      <c r="B3" t="s">
        <v>53</v>
      </c>
      <c r="C3" s="35">
        <f>H86/10</f>
        <v>4.0449999999999999</v>
      </c>
      <c r="E3" t="s">
        <v>158</v>
      </c>
    </row>
    <row r="4" spans="2:12" ht="14.45" x14ac:dyDescent="0.35">
      <c r="B4" t="s">
        <v>54</v>
      </c>
      <c r="C4" s="35">
        <f>C3*C2</f>
        <v>3745.67</v>
      </c>
      <c r="E4" t="s">
        <v>157</v>
      </c>
    </row>
    <row r="5" spans="2:12" ht="14.45" x14ac:dyDescent="0.35">
      <c r="C5" s="24" t="s">
        <v>82</v>
      </c>
      <c r="D5" s="24" t="s">
        <v>82</v>
      </c>
      <c r="H5" s="24"/>
      <c r="I5" s="24" t="s">
        <v>154</v>
      </c>
      <c r="J5" s="24" t="s">
        <v>154</v>
      </c>
      <c r="K5" s="24" t="s">
        <v>154</v>
      </c>
    </row>
    <row r="6" spans="2:12" ht="14.45" x14ac:dyDescent="0.35">
      <c r="B6" s="19" t="s">
        <v>10</v>
      </c>
      <c r="C6" s="6">
        <v>42094</v>
      </c>
      <c r="D6" s="6">
        <v>42460</v>
      </c>
      <c r="E6" s="6">
        <v>42825</v>
      </c>
      <c r="F6" s="6">
        <v>43190</v>
      </c>
      <c r="G6" s="6">
        <v>43555</v>
      </c>
      <c r="H6" s="6">
        <v>43921</v>
      </c>
      <c r="I6" s="7">
        <v>44286</v>
      </c>
      <c r="J6" s="7">
        <v>44651</v>
      </c>
      <c r="K6" s="7">
        <v>45016</v>
      </c>
    </row>
    <row r="7" spans="2:12" ht="14.45" x14ac:dyDescent="0.35">
      <c r="B7" s="1" t="s">
        <v>11</v>
      </c>
    </row>
    <row r="8" spans="2:12" ht="14.45" x14ac:dyDescent="0.35">
      <c r="B8" t="s">
        <v>0</v>
      </c>
      <c r="C8" s="11">
        <f t="shared" ref="C8:F8" si="0">C10+C9</f>
        <v>6393.88</v>
      </c>
      <c r="D8" s="11">
        <f t="shared" si="0"/>
        <v>6145.92</v>
      </c>
      <c r="E8" s="11">
        <f t="shared" si="0"/>
        <v>6441.3</v>
      </c>
      <c r="F8" s="11">
        <f t="shared" si="0"/>
        <v>6452.33</v>
      </c>
      <c r="G8" s="11">
        <f>G10+G9</f>
        <v>6984.51</v>
      </c>
      <c r="H8" s="11">
        <f>H10-H9</f>
        <v>6778.83</v>
      </c>
      <c r="I8" s="11">
        <f>I10+I9</f>
        <v>7260.1269300000013</v>
      </c>
      <c r="J8" s="11">
        <f t="shared" ref="J8:K8" si="1">J10+J9</f>
        <v>7775.5959420300014</v>
      </c>
      <c r="K8" s="11">
        <f t="shared" si="1"/>
        <v>8327.6632539141319</v>
      </c>
      <c r="L8" s="22" t="s">
        <v>87</v>
      </c>
    </row>
    <row r="9" spans="2:12" ht="14.45" x14ac:dyDescent="0.35">
      <c r="B9" t="s">
        <v>1</v>
      </c>
      <c r="C9" s="12">
        <v>591.5</v>
      </c>
      <c r="D9" s="12">
        <v>662.37</v>
      </c>
      <c r="E9" s="12">
        <v>674.79</v>
      </c>
      <c r="F9" s="12">
        <v>168.91</v>
      </c>
      <c r="G9" s="12">
        <v>0</v>
      </c>
      <c r="H9" s="12">
        <v>0</v>
      </c>
      <c r="I9" s="46">
        <v>0</v>
      </c>
      <c r="J9" s="46">
        <v>0</v>
      </c>
      <c r="K9" s="46">
        <v>0</v>
      </c>
    </row>
    <row r="10" spans="2:12" s="1" customFormat="1" ht="14.45" x14ac:dyDescent="0.35">
      <c r="B10" s="1" t="s">
        <v>2</v>
      </c>
      <c r="C10" s="9">
        <v>5802.38</v>
      </c>
      <c r="D10" s="9">
        <v>5483.55</v>
      </c>
      <c r="E10" s="9">
        <v>5766.51</v>
      </c>
      <c r="F10" s="9">
        <v>6283.42</v>
      </c>
      <c r="G10" s="9">
        <v>6984.51</v>
      </c>
      <c r="H10" s="9">
        <v>6778.83</v>
      </c>
      <c r="I10" s="10">
        <f>Working!I7</f>
        <v>7260.1269300000013</v>
      </c>
      <c r="J10" s="10">
        <f>Working!J7</f>
        <v>7775.5959420300014</v>
      </c>
      <c r="K10" s="10">
        <f>Working!K7</f>
        <v>8327.6632539141319</v>
      </c>
      <c r="L10" s="22" t="s">
        <v>184</v>
      </c>
    </row>
    <row r="11" spans="2:12" s="1" customFormat="1" ht="14.45" x14ac:dyDescent="0.35">
      <c r="B11" s="1" t="s">
        <v>57</v>
      </c>
      <c r="C11" s="10"/>
      <c r="D11" s="10"/>
      <c r="E11" s="10"/>
      <c r="F11" s="10"/>
      <c r="G11" s="10"/>
      <c r="H11" s="10"/>
      <c r="L11" s="23"/>
    </row>
    <row r="12" spans="2:12" ht="14.45" x14ac:dyDescent="0.35">
      <c r="C12" s="11"/>
      <c r="D12" s="11"/>
      <c r="E12" s="11"/>
      <c r="F12" s="11"/>
      <c r="G12" s="11"/>
      <c r="H12" s="11"/>
    </row>
    <row r="13" spans="2:12" ht="14.45" x14ac:dyDescent="0.35">
      <c r="B13" t="s">
        <v>64</v>
      </c>
      <c r="C13" s="12">
        <v>3476.94</v>
      </c>
      <c r="D13" s="12">
        <v>3102.24</v>
      </c>
      <c r="E13" s="12">
        <v>3475.26</v>
      </c>
      <c r="F13" s="12">
        <v>3723.26</v>
      </c>
      <c r="G13" s="12">
        <v>4381.28</v>
      </c>
      <c r="H13" s="12">
        <f>3872.96+35.83</f>
        <v>3908.79</v>
      </c>
    </row>
    <row r="14" spans="2:12" ht="14.45" x14ac:dyDescent="0.35">
      <c r="B14" t="s">
        <v>15</v>
      </c>
      <c r="C14" s="12">
        <v>-56.39</v>
      </c>
      <c r="D14" s="12">
        <v>11.39</v>
      </c>
      <c r="E14" s="12">
        <v>75.489999999999995</v>
      </c>
      <c r="F14" s="12">
        <v>-86.74</v>
      </c>
      <c r="G14" s="12">
        <v>199.47</v>
      </c>
      <c r="H14" s="12">
        <v>-6.29</v>
      </c>
    </row>
    <row r="15" spans="2:12" ht="14.45" x14ac:dyDescent="0.35">
      <c r="B15" t="s">
        <v>3</v>
      </c>
      <c r="C15" s="11">
        <f>-C14+C13</f>
        <v>3533.33</v>
      </c>
      <c r="D15" s="11">
        <f t="shared" ref="D15:G15" si="2">-D14+D13</f>
        <v>3090.85</v>
      </c>
      <c r="E15" s="11">
        <f t="shared" si="2"/>
        <v>3399.7700000000004</v>
      </c>
      <c r="F15" s="11">
        <f t="shared" si="2"/>
        <v>3810</v>
      </c>
      <c r="G15" s="11">
        <f t="shared" si="2"/>
        <v>4181.8099999999995</v>
      </c>
      <c r="H15" s="11">
        <f t="shared" ref="H15" si="3">-H14+H13</f>
        <v>3915.08</v>
      </c>
      <c r="I15" s="11">
        <f>Working!I8</f>
        <v>4193.0506800000012</v>
      </c>
      <c r="J15" s="11">
        <f>Working!J8</f>
        <v>4490.7572782800007</v>
      </c>
      <c r="K15" s="11">
        <f>Working!K8</f>
        <v>4809.6010450378817</v>
      </c>
      <c r="L15" s="22" t="s">
        <v>184</v>
      </c>
    </row>
    <row r="16" spans="2:12" ht="14.45" x14ac:dyDescent="0.35">
      <c r="C16" s="11"/>
      <c r="D16" s="11"/>
      <c r="E16" s="11"/>
      <c r="F16" s="11"/>
      <c r="G16" s="11"/>
      <c r="H16" s="11"/>
    </row>
    <row r="17" spans="2:12" ht="14.45" x14ac:dyDescent="0.35">
      <c r="B17" t="s">
        <v>65</v>
      </c>
      <c r="C17" s="11">
        <f t="shared" ref="C17:G17" si="4">C10-C15</f>
        <v>2269.0500000000002</v>
      </c>
      <c r="D17" s="11">
        <f t="shared" si="4"/>
        <v>2392.7000000000003</v>
      </c>
      <c r="E17" s="11">
        <f t="shared" si="4"/>
        <v>2366.7399999999998</v>
      </c>
      <c r="F17" s="11">
        <f t="shared" si="4"/>
        <v>2473.42</v>
      </c>
      <c r="G17" s="11">
        <f t="shared" si="4"/>
        <v>2802.7000000000007</v>
      </c>
      <c r="H17" s="11">
        <f>H10-H15</f>
        <v>2863.75</v>
      </c>
      <c r="I17" s="11">
        <f t="shared" ref="I17:K17" si="5">I10-I15</f>
        <v>3067.0762500000001</v>
      </c>
      <c r="J17" s="11">
        <f t="shared" si="5"/>
        <v>3284.8386637500007</v>
      </c>
      <c r="K17" s="11">
        <f t="shared" si="5"/>
        <v>3518.0622088762502</v>
      </c>
      <c r="L17" s="22" t="s">
        <v>88</v>
      </c>
    </row>
    <row r="18" spans="2:12" ht="14.45" x14ac:dyDescent="0.35">
      <c r="B18" t="s">
        <v>66</v>
      </c>
      <c r="C18" s="39">
        <f t="shared" ref="C18:H18" si="6">C17/C10</f>
        <v>0.39105504982438244</v>
      </c>
      <c r="D18" s="39">
        <f t="shared" si="6"/>
        <v>0.43634142115965024</v>
      </c>
      <c r="E18" s="39">
        <f t="shared" si="6"/>
        <v>0.41042849140988219</v>
      </c>
      <c r="F18" s="39">
        <f t="shared" si="6"/>
        <v>0.39364231580890663</v>
      </c>
      <c r="G18" s="39">
        <f t="shared" si="6"/>
        <v>0.40127367560501748</v>
      </c>
      <c r="H18" s="39">
        <f t="shared" si="6"/>
        <v>0.4224549074102758</v>
      </c>
      <c r="I18" s="39">
        <f t="shared" ref="I18:K18" si="7">I17/I10</f>
        <v>0.42245490741027575</v>
      </c>
      <c r="J18" s="39">
        <f t="shared" si="7"/>
        <v>0.4224549074102758</v>
      </c>
      <c r="K18" s="39">
        <f t="shared" si="7"/>
        <v>0.42245490741027575</v>
      </c>
      <c r="L18" s="22" t="s">
        <v>89</v>
      </c>
    </row>
    <row r="19" spans="2:12" ht="14.45" x14ac:dyDescent="0.35">
      <c r="B19" s="1" t="s">
        <v>57</v>
      </c>
      <c r="C19" s="39"/>
      <c r="D19" s="39">
        <f>D17/C17-1</f>
        <v>5.4494171569599681E-2</v>
      </c>
      <c r="E19" s="39">
        <f t="shared" ref="E19:F19" si="8">E17/D17-1</f>
        <v>-1.0849667739374125E-2</v>
      </c>
      <c r="F19" s="39">
        <f t="shared" si="8"/>
        <v>4.5074659658433269E-2</v>
      </c>
      <c r="G19" s="39">
        <f>G17/F17-1</f>
        <v>0.13312741062981637</v>
      </c>
      <c r="H19" s="39">
        <f>H17/G17-1</f>
        <v>2.1782566810575332E-2</v>
      </c>
      <c r="I19" s="39">
        <f t="shared" ref="I19:K19" si="9">I17/H17-1</f>
        <v>7.0999999999999952E-2</v>
      </c>
      <c r="J19" s="39">
        <f t="shared" si="9"/>
        <v>7.1000000000000174E-2</v>
      </c>
      <c r="K19" s="39">
        <f t="shared" si="9"/>
        <v>7.099999999999973E-2</v>
      </c>
      <c r="L19" s="22" t="s">
        <v>90</v>
      </c>
    </row>
    <row r="20" spans="2:12" ht="14.45" x14ac:dyDescent="0.35">
      <c r="C20" s="11"/>
      <c r="D20" s="11"/>
      <c r="E20" s="11"/>
      <c r="F20" s="11"/>
      <c r="G20" s="11"/>
      <c r="H20" s="11"/>
    </row>
    <row r="21" spans="2:12" ht="14.45" x14ac:dyDescent="0.35">
      <c r="B21" t="s">
        <v>63</v>
      </c>
      <c r="C21" s="12">
        <v>378.89</v>
      </c>
      <c r="D21" s="12">
        <v>388.25</v>
      </c>
      <c r="E21" s="12">
        <v>406.31</v>
      </c>
      <c r="F21" s="12">
        <v>438.27</v>
      </c>
      <c r="G21" s="12">
        <v>530.05999999999995</v>
      </c>
      <c r="H21" s="12">
        <v>541.77</v>
      </c>
      <c r="I21" s="42">
        <f>Working!I9</f>
        <v>568.85850000000005</v>
      </c>
      <c r="J21" s="42">
        <f>Working!J9</f>
        <v>597.30142500000011</v>
      </c>
      <c r="K21" s="42">
        <f>Working!K9</f>
        <v>627.16649625000014</v>
      </c>
      <c r="L21" s="22" t="s">
        <v>184</v>
      </c>
    </row>
    <row r="22" spans="2:12" ht="14.45" x14ac:dyDescent="0.35">
      <c r="B22" t="s">
        <v>4</v>
      </c>
      <c r="C22" s="12">
        <v>1209.52</v>
      </c>
      <c r="D22" s="12">
        <v>1231.24</v>
      </c>
      <c r="E22" s="12">
        <v>1303.6500000000001</v>
      </c>
      <c r="F22" s="12">
        <v>1420.38</v>
      </c>
      <c r="G22" s="12">
        <v>1630.1</v>
      </c>
      <c r="H22" s="12">
        <v>1598.14</v>
      </c>
      <c r="I22" s="42">
        <f>Working!I11</f>
        <v>1669.8291939000003</v>
      </c>
      <c r="J22" s="42">
        <f>Working!J11</f>
        <v>1788.3870666669004</v>
      </c>
      <c r="K22" s="42">
        <f>Working!K11</f>
        <v>1915.3625484002505</v>
      </c>
      <c r="L22" s="22" t="s">
        <v>184</v>
      </c>
    </row>
    <row r="23" spans="2:12" ht="14.45" x14ac:dyDescent="0.35">
      <c r="C23" s="11"/>
      <c r="D23" s="11"/>
      <c r="E23" s="11"/>
      <c r="F23" s="11"/>
      <c r="G23" s="11"/>
      <c r="H23" s="11"/>
    </row>
    <row r="24" spans="2:12" ht="14.45" x14ac:dyDescent="0.35">
      <c r="B24" t="s">
        <v>6</v>
      </c>
      <c r="C24" s="11">
        <f>C17-C21-C22</f>
        <v>680.64000000000033</v>
      </c>
      <c r="D24" s="11">
        <f t="shared" ref="D24:G24" si="10">D17-D21-D22</f>
        <v>773.21000000000026</v>
      </c>
      <c r="E24" s="11">
        <f t="shared" si="10"/>
        <v>656.77999999999975</v>
      </c>
      <c r="F24" s="11">
        <f t="shared" si="10"/>
        <v>614.77</v>
      </c>
      <c r="G24" s="11">
        <f t="shared" si="10"/>
        <v>642.54000000000087</v>
      </c>
      <c r="H24" s="11">
        <f t="shared" ref="H24:K24" si="11">H17-H21-H22</f>
        <v>723.83999999999992</v>
      </c>
      <c r="I24" s="11">
        <f t="shared" si="11"/>
        <v>828.38855609999951</v>
      </c>
      <c r="J24" s="11">
        <f t="shared" si="11"/>
        <v>899.15017208310019</v>
      </c>
      <c r="K24" s="11">
        <f t="shared" si="11"/>
        <v>975.53316422599983</v>
      </c>
      <c r="L24" s="22" t="s">
        <v>91</v>
      </c>
    </row>
    <row r="25" spans="2:12" ht="14.45" x14ac:dyDescent="0.35">
      <c r="B25" t="s">
        <v>5</v>
      </c>
      <c r="C25" s="39">
        <f t="shared" ref="C25:H25" si="12">C24/C10</f>
        <v>0.11730358921683866</v>
      </c>
      <c r="D25" s="39">
        <f t="shared" si="12"/>
        <v>0.14100537060845625</v>
      </c>
      <c r="E25" s="39">
        <f t="shared" si="12"/>
        <v>0.11389557982211072</v>
      </c>
      <c r="F25" s="39">
        <f t="shared" si="12"/>
        <v>9.7840029792692504E-2</v>
      </c>
      <c r="G25" s="39">
        <f t="shared" si="12"/>
        <v>9.199500036509374E-2</v>
      </c>
      <c r="H25" s="39">
        <f t="shared" si="12"/>
        <v>0.10677948849580236</v>
      </c>
      <c r="I25" s="39">
        <f t="shared" ref="I25:K25" si="13">I24/I10</f>
        <v>0.11410111201733485</v>
      </c>
      <c r="J25" s="39">
        <f t="shared" si="13"/>
        <v>0.11563746094660829</v>
      </c>
      <c r="K25" s="39">
        <f t="shared" si="13"/>
        <v>0.1171436853870723</v>
      </c>
      <c r="L25" s="22" t="s">
        <v>92</v>
      </c>
    </row>
    <row r="26" spans="2:12" s="8" customFormat="1" ht="14.45" x14ac:dyDescent="0.35">
      <c r="B26" s="8" t="s">
        <v>57</v>
      </c>
      <c r="C26" s="39"/>
      <c r="D26" s="40">
        <f>D24/C24-1</f>
        <v>0.13600434884814283</v>
      </c>
      <c r="E26" s="40">
        <f t="shared" ref="E26:G26" si="14">E24/D24-1</f>
        <v>-0.15058004940443148</v>
      </c>
      <c r="F26" s="40">
        <f t="shared" si="14"/>
        <v>-6.3963579889764866E-2</v>
      </c>
      <c r="G26" s="40">
        <f t="shared" si="14"/>
        <v>4.5171364900695954E-2</v>
      </c>
      <c r="H26" s="40">
        <f>H24/G24-1</f>
        <v>0.12652908768325544</v>
      </c>
      <c r="I26" s="40">
        <f t="shared" ref="I26:K26" si="15">I24/H24-1</f>
        <v>0.14443600256962807</v>
      </c>
      <c r="J26" s="40">
        <f t="shared" si="15"/>
        <v>8.5420803392362021E-2</v>
      </c>
      <c r="K26" s="40">
        <f t="shared" si="15"/>
        <v>8.4950205777017063E-2</v>
      </c>
      <c r="L26" s="22" t="s">
        <v>90</v>
      </c>
    </row>
    <row r="27" spans="2:12" ht="14.45" x14ac:dyDescent="0.35">
      <c r="C27" s="11"/>
      <c r="D27" s="11"/>
      <c r="E27" s="11"/>
      <c r="F27" s="11"/>
      <c r="G27" s="11"/>
      <c r="H27" s="11"/>
    </row>
    <row r="28" spans="2:12" ht="14.45" x14ac:dyDescent="0.35">
      <c r="B28" t="s">
        <v>7</v>
      </c>
      <c r="C28" s="12">
        <v>93.43</v>
      </c>
      <c r="D28" s="12">
        <v>107.72</v>
      </c>
      <c r="E28" s="12">
        <v>143.08000000000001</v>
      </c>
      <c r="F28" s="12">
        <v>168.61</v>
      </c>
      <c r="G28" s="12">
        <v>192.71</v>
      </c>
      <c r="H28" s="12">
        <v>276.51</v>
      </c>
      <c r="I28" s="42">
        <f>Working!I38</f>
        <v>366.54539999999997</v>
      </c>
      <c r="J28" s="42">
        <f>Working!J38</f>
        <v>405.54539999999997</v>
      </c>
      <c r="K28" s="42">
        <f>Working!K38</f>
        <v>426.54539999999997</v>
      </c>
      <c r="L28" s="22" t="s">
        <v>184</v>
      </c>
    </row>
    <row r="29" spans="2:12" ht="14.45" x14ac:dyDescent="0.35">
      <c r="C29" s="11"/>
      <c r="D29" s="11"/>
      <c r="E29" s="11"/>
      <c r="F29" s="11"/>
      <c r="G29" s="11"/>
      <c r="H29" s="11"/>
    </row>
    <row r="30" spans="2:12" ht="14.45" x14ac:dyDescent="0.35">
      <c r="B30" t="s">
        <v>8</v>
      </c>
      <c r="C30" s="11">
        <f>C24-C28</f>
        <v>587.21000000000026</v>
      </c>
      <c r="D30" s="11">
        <f t="shared" ref="D30:G30" si="16">D24-D28</f>
        <v>665.49000000000024</v>
      </c>
      <c r="E30" s="11">
        <f t="shared" si="16"/>
        <v>513.6999999999997</v>
      </c>
      <c r="F30" s="11">
        <f t="shared" si="16"/>
        <v>446.15999999999997</v>
      </c>
      <c r="G30" s="11">
        <f t="shared" si="16"/>
        <v>449.83000000000084</v>
      </c>
      <c r="H30" s="11">
        <f t="shared" ref="H30:K30" si="17">H24-H28</f>
        <v>447.32999999999993</v>
      </c>
      <c r="I30" s="11">
        <f t="shared" si="17"/>
        <v>461.84315609999953</v>
      </c>
      <c r="J30" s="11">
        <f t="shared" si="17"/>
        <v>493.60477208310022</v>
      </c>
      <c r="K30" s="11">
        <f t="shared" si="17"/>
        <v>548.98776422599985</v>
      </c>
      <c r="L30" s="22" t="s">
        <v>91</v>
      </c>
    </row>
    <row r="31" spans="2:12" ht="14.45" x14ac:dyDescent="0.35">
      <c r="B31" t="s">
        <v>9</v>
      </c>
      <c r="C31" s="39">
        <f t="shared" ref="C31:H31" si="18">C30/C10</f>
        <v>0.1012015759050597</v>
      </c>
      <c r="D31" s="39">
        <f t="shared" si="18"/>
        <v>0.12136116202095362</v>
      </c>
      <c r="E31" s="39">
        <f t="shared" si="18"/>
        <v>8.9083345038853595E-2</v>
      </c>
      <c r="F31" s="39">
        <f t="shared" si="18"/>
        <v>7.1005917159763302E-2</v>
      </c>
      <c r="G31" s="39">
        <f t="shared" si="18"/>
        <v>6.4403945301817991E-2</v>
      </c>
      <c r="H31" s="39">
        <f t="shared" si="18"/>
        <v>6.5989263633989922E-2</v>
      </c>
      <c r="I31" s="39">
        <f t="shared" ref="I31:K31" si="19">I30/I10</f>
        <v>6.3613647606020493E-2</v>
      </c>
      <c r="J31" s="39">
        <f t="shared" si="19"/>
        <v>6.3481278575058406E-2</v>
      </c>
      <c r="K31" s="39">
        <f t="shared" si="19"/>
        <v>6.5923386607637746E-2</v>
      </c>
      <c r="L31" s="22" t="s">
        <v>92</v>
      </c>
    </row>
    <row r="32" spans="2:12" ht="14.45" x14ac:dyDescent="0.35">
      <c r="B32" s="8" t="s">
        <v>57</v>
      </c>
      <c r="C32" s="39"/>
      <c r="D32" s="39">
        <f>D30/C30-1</f>
        <v>0.13330835646531902</v>
      </c>
      <c r="E32" s="39">
        <f t="shared" ref="E32:G32" si="20">E30/D30-1</f>
        <v>-0.22808757456911521</v>
      </c>
      <c r="F32" s="39">
        <f t="shared" si="20"/>
        <v>-0.13147751605995672</v>
      </c>
      <c r="G32" s="39">
        <f t="shared" si="20"/>
        <v>8.2257486103658461E-3</v>
      </c>
      <c r="H32" s="40">
        <f>H30/G30-1</f>
        <v>-5.5576551141562902E-3</v>
      </c>
      <c r="I32" s="40">
        <f t="shared" ref="I32:K32" si="21">I30/H30-1</f>
        <v>3.2443958822345076E-2</v>
      </c>
      <c r="J32" s="40">
        <f t="shared" si="21"/>
        <v>6.8771433686079186E-2</v>
      </c>
      <c r="K32" s="40">
        <f t="shared" si="21"/>
        <v>0.11220108733789891</v>
      </c>
      <c r="L32" s="22" t="s">
        <v>90</v>
      </c>
    </row>
    <row r="33" spans="2:12" ht="14.45" x14ac:dyDescent="0.35">
      <c r="C33" s="11"/>
      <c r="D33" s="11"/>
      <c r="E33" s="11"/>
      <c r="F33" s="11"/>
      <c r="G33" s="11"/>
      <c r="H33" s="11"/>
    </row>
    <row r="34" spans="2:12" ht="14.45" x14ac:dyDescent="0.35">
      <c r="B34" t="s">
        <v>48</v>
      </c>
      <c r="C34" s="12">
        <v>131.86000000000001</v>
      </c>
      <c r="D34" s="12">
        <v>94.89</v>
      </c>
      <c r="E34" s="12">
        <v>81.72</v>
      </c>
      <c r="F34" s="12">
        <v>97.35</v>
      </c>
      <c r="G34" s="12">
        <v>88.04</v>
      </c>
      <c r="H34" s="12">
        <v>150.93</v>
      </c>
      <c r="I34" s="11">
        <f>Working!I52</f>
        <v>187.48671213082193</v>
      </c>
      <c r="J34" s="11">
        <f>Working!J52</f>
        <v>202.47598887293219</v>
      </c>
      <c r="K34" s="11">
        <f>Working!K52</f>
        <v>179.70019988291037</v>
      </c>
      <c r="L34" s="22" t="s">
        <v>184</v>
      </c>
    </row>
    <row r="35" spans="2:12" ht="14.45" x14ac:dyDescent="0.35">
      <c r="B35" t="s">
        <v>14</v>
      </c>
      <c r="C35" s="12">
        <f>22.35</f>
        <v>22.35</v>
      </c>
      <c r="D35" s="12">
        <f>27.68+36.18</f>
        <v>63.86</v>
      </c>
      <c r="E35" s="12">
        <f>18.63+28.37</f>
        <v>47</v>
      </c>
      <c r="F35" s="12">
        <f>29.46+23.01</f>
        <v>52.47</v>
      </c>
      <c r="G35" s="12">
        <f>39+20.2</f>
        <v>59.2</v>
      </c>
      <c r="H35" s="12">
        <f>20.51+17.22</f>
        <v>37.730000000000004</v>
      </c>
      <c r="I35" s="46">
        <f>H35</f>
        <v>37.730000000000004</v>
      </c>
      <c r="J35" s="46">
        <f t="shared" ref="J35:K35" si="22">I35</f>
        <v>37.730000000000004</v>
      </c>
      <c r="K35" s="46">
        <f t="shared" si="22"/>
        <v>37.730000000000004</v>
      </c>
      <c r="L35" s="22" t="s">
        <v>185</v>
      </c>
    </row>
    <row r="36" spans="2:12" ht="14.45" x14ac:dyDescent="0.35">
      <c r="B36" t="s">
        <v>94</v>
      </c>
      <c r="C36" s="12">
        <v>6.13</v>
      </c>
      <c r="D36" s="12">
        <v>11.4</v>
      </c>
      <c r="E36" s="12">
        <v>13.33</v>
      </c>
      <c r="F36" s="12">
        <v>33.96</v>
      </c>
      <c r="G36" s="12">
        <v>44.79</v>
      </c>
      <c r="H36" s="12">
        <v>29.84</v>
      </c>
      <c r="I36" s="46">
        <v>0</v>
      </c>
      <c r="J36" s="46">
        <v>0</v>
      </c>
      <c r="K36" s="46">
        <v>0</v>
      </c>
      <c r="L36" s="22" t="s">
        <v>186</v>
      </c>
    </row>
    <row r="37" spans="2:12" ht="14.45" x14ac:dyDescent="0.35">
      <c r="C37" s="11"/>
      <c r="D37" s="11"/>
      <c r="E37" s="11"/>
      <c r="F37" s="11"/>
      <c r="G37" s="11"/>
      <c r="H37" s="11"/>
    </row>
    <row r="38" spans="2:12" ht="14.45" x14ac:dyDescent="0.35">
      <c r="B38" t="s">
        <v>12</v>
      </c>
      <c r="C38" s="11">
        <f>C30-C34+C35-C36</f>
        <v>471.57000000000028</v>
      </c>
      <c r="D38" s="11">
        <f t="shared" ref="D38:F38" si="23">D30-D34+D35-D36</f>
        <v>623.06000000000029</v>
      </c>
      <c r="E38" s="11">
        <f t="shared" si="23"/>
        <v>465.64999999999969</v>
      </c>
      <c r="F38" s="11">
        <f t="shared" si="23"/>
        <v>367.32</v>
      </c>
      <c r="G38" s="11">
        <f>G30-G34+G35-G36</f>
        <v>376.20000000000078</v>
      </c>
      <c r="H38" s="11">
        <f>H30-H34+H35-H36</f>
        <v>304.28999999999996</v>
      </c>
      <c r="I38" s="11">
        <f t="shared" ref="I38:K38" si="24">I30-I34+I35-I36</f>
        <v>312.08644396917759</v>
      </c>
      <c r="J38" s="11">
        <f t="shared" si="24"/>
        <v>328.85878321016804</v>
      </c>
      <c r="K38" s="11">
        <f t="shared" si="24"/>
        <v>407.01756434308948</v>
      </c>
      <c r="L38" s="22" t="s">
        <v>93</v>
      </c>
    </row>
    <row r="39" spans="2:12" ht="14.45" x14ac:dyDescent="0.35">
      <c r="B39" t="s">
        <v>95</v>
      </c>
      <c r="C39" s="12">
        <v>157.65</v>
      </c>
      <c r="D39" s="12">
        <v>187.34</v>
      </c>
      <c r="E39" s="12">
        <v>106.42</v>
      </c>
      <c r="F39" s="12">
        <v>134.03</v>
      </c>
      <c r="G39" s="12">
        <v>125.12</v>
      </c>
      <c r="H39" s="12">
        <f>79.32-5.09</f>
        <v>74.22999999999999</v>
      </c>
      <c r="I39" s="11">
        <f>I38*I40</f>
        <v>78.021610992294399</v>
      </c>
      <c r="J39" s="11">
        <f t="shared" ref="J39:K39" si="25">J38*J40</f>
        <v>82.21469580254201</v>
      </c>
      <c r="K39" s="11">
        <f t="shared" si="25"/>
        <v>101.75439108577237</v>
      </c>
      <c r="L39" s="22" t="s">
        <v>188</v>
      </c>
    </row>
    <row r="40" spans="2:12" ht="14.45" x14ac:dyDescent="0.35">
      <c r="B40" t="s">
        <v>84</v>
      </c>
      <c r="C40" s="48">
        <f>C39/C38</f>
        <v>0.33430879826960985</v>
      </c>
      <c r="D40" s="48">
        <f t="shared" ref="D40:G40" si="26">D39/D38</f>
        <v>0.30067730234648338</v>
      </c>
      <c r="E40" s="48">
        <f t="shared" si="26"/>
        <v>0.22854074948996042</v>
      </c>
      <c r="F40" s="48">
        <f t="shared" si="26"/>
        <v>0.36488620276598061</v>
      </c>
      <c r="G40" s="48">
        <f t="shared" si="26"/>
        <v>0.33258904837852138</v>
      </c>
      <c r="H40" s="48">
        <f t="shared" ref="H40" si="27">H39/H38</f>
        <v>0.2439449209635545</v>
      </c>
      <c r="I40" s="41">
        <v>0.25</v>
      </c>
      <c r="J40" s="41">
        <v>0.25</v>
      </c>
      <c r="K40" s="41">
        <v>0.25</v>
      </c>
      <c r="L40" s="22" t="s">
        <v>187</v>
      </c>
    </row>
    <row r="41" spans="2:12" ht="14.45" x14ac:dyDescent="0.35">
      <c r="B41" s="1" t="s">
        <v>153</v>
      </c>
      <c r="C41" s="10">
        <f t="shared" ref="C41:F41" si="28">C38-C39</f>
        <v>313.9200000000003</v>
      </c>
      <c r="D41" s="10">
        <f t="shared" si="28"/>
        <v>435.72000000000025</v>
      </c>
      <c r="E41" s="10">
        <f t="shared" si="28"/>
        <v>359.22999999999968</v>
      </c>
      <c r="F41" s="10">
        <f t="shared" si="28"/>
        <v>233.29</v>
      </c>
      <c r="G41" s="10">
        <f>G38-G39</f>
        <v>251.08000000000078</v>
      </c>
      <c r="H41" s="10">
        <f>H38-H39</f>
        <v>230.05999999999997</v>
      </c>
      <c r="I41" s="10">
        <f t="shared" ref="I41:K41" si="29">I38-I39</f>
        <v>234.0648329768832</v>
      </c>
      <c r="J41" s="10">
        <f t="shared" si="29"/>
        <v>246.64408740762605</v>
      </c>
      <c r="K41" s="10">
        <f t="shared" si="29"/>
        <v>305.26317325731713</v>
      </c>
      <c r="L41" s="22" t="s">
        <v>102</v>
      </c>
    </row>
    <row r="42" spans="2:12" ht="14.45" x14ac:dyDescent="0.35">
      <c r="B42" t="s">
        <v>13</v>
      </c>
      <c r="C42" s="39">
        <f>C41/C10</f>
        <v>5.4101937480826881E-2</v>
      </c>
      <c r="D42" s="39">
        <f t="shared" ref="D42:H42" si="30">D41/D10</f>
        <v>7.9459474245698547E-2</v>
      </c>
      <c r="E42" s="39">
        <f t="shared" si="30"/>
        <v>6.2295912085472784E-2</v>
      </c>
      <c r="F42" s="39">
        <f t="shared" si="30"/>
        <v>3.7127869854315008E-2</v>
      </c>
      <c r="G42" s="39">
        <f t="shared" si="30"/>
        <v>3.5948119481538546E-2</v>
      </c>
      <c r="H42" s="39">
        <f t="shared" si="30"/>
        <v>3.3938009951569807E-2</v>
      </c>
      <c r="I42" s="39">
        <f t="shared" ref="I42:K42" si="31">I41/I10</f>
        <v>3.2239771457671082E-2</v>
      </c>
      <c r="J42" s="39">
        <f t="shared" si="31"/>
        <v>3.1720280895053021E-2</v>
      </c>
      <c r="K42" s="39">
        <f t="shared" si="31"/>
        <v>3.6656522237956568E-2</v>
      </c>
      <c r="L42" s="22" t="s">
        <v>96</v>
      </c>
    </row>
    <row r="43" spans="2:12" ht="14.45" x14ac:dyDescent="0.35">
      <c r="B43" t="s">
        <v>99</v>
      </c>
      <c r="C43" s="11">
        <f>C41/Working!C57</f>
        <v>77.606922126081656</v>
      </c>
      <c r="D43" s="11">
        <f>D41/Working!D57</f>
        <v>107.71817058096421</v>
      </c>
      <c r="E43" s="11">
        <f>E41/Working!E57</f>
        <v>88.808405438813267</v>
      </c>
      <c r="F43" s="11">
        <f>F41/Working!F57</f>
        <v>57.673671199011125</v>
      </c>
      <c r="G43" s="11">
        <f>G41/Working!G57</f>
        <v>62.071693448702298</v>
      </c>
      <c r="H43" s="11">
        <f>H41/Working!H57</f>
        <v>56.875154511742885</v>
      </c>
      <c r="I43" s="11">
        <f>I41/Working!I57</f>
        <v>57.865224468945165</v>
      </c>
      <c r="J43" s="11">
        <f>J41/Working!J57</f>
        <v>60.975052511156008</v>
      </c>
      <c r="K43" s="11">
        <f>K41/Working!K57</f>
        <v>75.466791905393606</v>
      </c>
      <c r="L43" s="22" t="s">
        <v>103</v>
      </c>
    </row>
    <row r="44" spans="2:12" ht="14.45" x14ac:dyDescent="0.35">
      <c r="C44" s="11"/>
      <c r="D44" s="11"/>
      <c r="E44" s="11"/>
      <c r="F44" s="11"/>
      <c r="G44" s="11"/>
      <c r="H44" s="11"/>
    </row>
    <row r="45" spans="2:12" ht="14.45" x14ac:dyDescent="0.35">
      <c r="B45" t="s">
        <v>67</v>
      </c>
      <c r="C45" s="11">
        <f t="shared" ref="C45:H45" si="32">C41+C36*(1-C40)</f>
        <v>318.00068706660761</v>
      </c>
      <c r="D45" s="11">
        <f t="shared" si="32"/>
        <v>443.69227875325032</v>
      </c>
      <c r="E45" s="11">
        <f t="shared" si="32"/>
        <v>369.51355180929852</v>
      </c>
      <c r="F45" s="11">
        <f t="shared" si="32"/>
        <v>254.8584645540673</v>
      </c>
      <c r="G45" s="11">
        <f t="shared" si="32"/>
        <v>280.97333652312682</v>
      </c>
      <c r="H45" s="11">
        <f t="shared" si="32"/>
        <v>252.62068355844752</v>
      </c>
      <c r="I45" s="11">
        <f t="shared" ref="I45:K45" si="33">I41+I36*(1-I40)</f>
        <v>234.0648329768832</v>
      </c>
      <c r="J45" s="11">
        <f t="shared" si="33"/>
        <v>246.64408740762605</v>
      </c>
      <c r="K45" s="11">
        <f t="shared" si="33"/>
        <v>305.26317325731713</v>
      </c>
      <c r="L45" s="22" t="s">
        <v>97</v>
      </c>
    </row>
    <row r="46" spans="2:12" ht="14.45" x14ac:dyDescent="0.35">
      <c r="B46" t="s">
        <v>100</v>
      </c>
      <c r="C46" s="11">
        <f>C45/Working!C57</f>
        <v>78.615744639458001</v>
      </c>
      <c r="D46" s="11">
        <f>D45/Working!D57</f>
        <v>109.68906767694693</v>
      </c>
      <c r="E46" s="11">
        <f>E45/Working!E57</f>
        <v>91.350692659900744</v>
      </c>
      <c r="F46" s="11">
        <f>F45/Working!F57</f>
        <v>63.005800878632215</v>
      </c>
      <c r="G46" s="11">
        <f>G45/Working!G57</f>
        <v>69.461887891996739</v>
      </c>
      <c r="H46" s="11">
        <f>H45/Working!H57</f>
        <v>62.452579371680478</v>
      </c>
      <c r="I46" s="11">
        <f>I45/Working!I57</f>
        <v>57.865224468945165</v>
      </c>
      <c r="J46" s="11">
        <f>J45/Working!J57</f>
        <v>60.975052511156008</v>
      </c>
      <c r="K46" s="11">
        <f>K45/Working!K57</f>
        <v>75.466791905393606</v>
      </c>
      <c r="L46" s="22" t="s">
        <v>104</v>
      </c>
    </row>
    <row r="47" spans="2:12" ht="14.45" x14ac:dyDescent="0.35">
      <c r="C47" s="11"/>
      <c r="D47" s="11"/>
      <c r="E47" s="11"/>
      <c r="F47" s="11"/>
      <c r="G47" s="11"/>
      <c r="H47" s="11"/>
      <c r="I47" s="11"/>
      <c r="J47" s="11"/>
      <c r="K47" s="11"/>
    </row>
    <row r="48" spans="2:12" ht="14.45" x14ac:dyDescent="0.35">
      <c r="B48" t="s">
        <v>83</v>
      </c>
      <c r="C48" s="11">
        <f t="shared" ref="C48:H48" si="34">C45-C35*(1-C40)</f>
        <v>303.12248870793337</v>
      </c>
      <c r="D48" s="11">
        <f t="shared" si="34"/>
        <v>399.03353128109677</v>
      </c>
      <c r="E48" s="11">
        <f t="shared" si="34"/>
        <v>333.25496703532667</v>
      </c>
      <c r="F48" s="11">
        <f t="shared" si="34"/>
        <v>221.53404361319829</v>
      </c>
      <c r="G48" s="11">
        <f t="shared" si="34"/>
        <v>241.46260818713529</v>
      </c>
      <c r="H48" s="11">
        <f t="shared" si="34"/>
        <v>224.09472542640242</v>
      </c>
      <c r="I48" s="11">
        <f t="shared" ref="I48:K48" si="35">I45-I35*(1-I40)</f>
        <v>205.76733297688318</v>
      </c>
      <c r="J48" s="11">
        <f t="shared" si="35"/>
        <v>218.34658740762603</v>
      </c>
      <c r="K48" s="11">
        <f t="shared" si="35"/>
        <v>276.96567325731712</v>
      </c>
      <c r="L48" s="22" t="s">
        <v>98</v>
      </c>
    </row>
    <row r="49" spans="2:12" ht="14.45" x14ac:dyDescent="0.35">
      <c r="B49" t="s">
        <v>101</v>
      </c>
      <c r="C49" s="11">
        <f>C48/Working!C57</f>
        <v>74.937574464260408</v>
      </c>
      <c r="D49" s="11">
        <f>D48/Working!D57</f>
        <v>98.648586225240237</v>
      </c>
      <c r="E49" s="11">
        <f>E48/Working!E57</f>
        <v>82.38688925471611</v>
      </c>
      <c r="F49" s="11">
        <f>F48/Working!F57</f>
        <v>54.767377901903167</v>
      </c>
      <c r="G49" s="11">
        <f>G48/Working!G57</f>
        <v>59.694093494965465</v>
      </c>
      <c r="H49" s="11">
        <f>H48/Working!H57</f>
        <v>55.400426557825071</v>
      </c>
      <c r="I49" s="11">
        <f>I48/Working!I57</f>
        <v>50.86955079774615</v>
      </c>
      <c r="J49" s="11">
        <f>J48/Working!J57</f>
        <v>53.979378839956993</v>
      </c>
      <c r="K49" s="11">
        <f>K48/Working!K57</f>
        <v>68.471118234194591</v>
      </c>
      <c r="L49" s="22" t="s">
        <v>105</v>
      </c>
    </row>
    <row r="50" spans="2:12" ht="14.45" x14ac:dyDescent="0.35">
      <c r="C50" s="11"/>
      <c r="D50" s="11"/>
      <c r="E50" s="11"/>
      <c r="F50" s="11"/>
      <c r="G50" s="11"/>
      <c r="H50" s="11"/>
    </row>
    <row r="51" spans="2:12" ht="14.45" x14ac:dyDescent="0.35">
      <c r="B51" t="s">
        <v>86</v>
      </c>
      <c r="C51" s="12">
        <v>40.419999999999995</v>
      </c>
      <c r="D51" s="12">
        <v>0.66</v>
      </c>
      <c r="E51" s="12">
        <v>97.929999999999993</v>
      </c>
      <c r="F51" s="12">
        <v>52.800000000000004</v>
      </c>
      <c r="G51" s="12">
        <v>52.63</v>
      </c>
      <c r="H51" s="12">
        <v>107.9</v>
      </c>
      <c r="I51" s="11">
        <f>Working!I64</f>
        <v>58.516208244220799</v>
      </c>
      <c r="J51" s="11">
        <f>Working!J64</f>
        <v>61.661021851906511</v>
      </c>
      <c r="K51" s="11">
        <f>Working!K64</f>
        <v>76.315793314329284</v>
      </c>
      <c r="L51" s="22" t="s">
        <v>184</v>
      </c>
    </row>
    <row r="52" spans="2:12" ht="14.45" x14ac:dyDescent="0.35">
      <c r="C52" s="11"/>
      <c r="D52" s="11"/>
      <c r="E52" s="11"/>
      <c r="F52" s="11"/>
      <c r="G52" s="11"/>
      <c r="H52" s="11"/>
    </row>
    <row r="53" spans="2:12" ht="14.45" x14ac:dyDescent="0.35">
      <c r="B53" s="1" t="s">
        <v>31</v>
      </c>
      <c r="C53" s="11"/>
      <c r="D53" s="11"/>
      <c r="E53" s="11"/>
      <c r="F53" s="11"/>
      <c r="G53" s="11"/>
      <c r="H53" s="11"/>
    </row>
    <row r="54" spans="2:12" ht="14.45" x14ac:dyDescent="0.35">
      <c r="C54" s="11"/>
      <c r="D54" s="11"/>
      <c r="E54" s="11"/>
      <c r="F54" s="11"/>
      <c r="G54" s="11"/>
      <c r="H54" s="11"/>
    </row>
    <row r="55" spans="2:12" ht="14.45" x14ac:dyDescent="0.35">
      <c r="B55" s="20" t="s">
        <v>16</v>
      </c>
      <c r="C55" s="11"/>
      <c r="D55" s="11"/>
      <c r="E55" s="11"/>
      <c r="F55" s="11"/>
      <c r="G55" s="11"/>
      <c r="H55" s="11"/>
    </row>
    <row r="56" spans="2:12" ht="14.45" x14ac:dyDescent="0.35">
      <c r="B56" t="s">
        <v>17</v>
      </c>
      <c r="C56" s="12">
        <v>1501.434</v>
      </c>
      <c r="D56" s="12">
        <v>2032.07</v>
      </c>
      <c r="E56" s="12">
        <v>2452.5300000000002</v>
      </c>
      <c r="F56" s="12">
        <v>2709.24</v>
      </c>
      <c r="G56" s="12">
        <v>3179.53</v>
      </c>
      <c r="H56" s="12">
        <v>4159.79</v>
      </c>
      <c r="I56" s="42">
        <f>Working!I34</f>
        <v>5261.7846</v>
      </c>
      <c r="J56" s="42">
        <f>Working!J34</f>
        <v>5506.2392</v>
      </c>
      <c r="K56" s="42">
        <f>Working!K34</f>
        <v>5429.6938</v>
      </c>
      <c r="L56" s="22" t="s">
        <v>184</v>
      </c>
    </row>
    <row r="57" spans="2:12" ht="14.45" x14ac:dyDescent="0.35">
      <c r="B57" t="s">
        <v>18</v>
      </c>
      <c r="C57" s="12">
        <v>223.84</v>
      </c>
      <c r="D57" s="12">
        <v>299.08</v>
      </c>
      <c r="E57" s="12">
        <v>326.26</v>
      </c>
      <c r="F57" s="12">
        <v>309.95999999999998</v>
      </c>
      <c r="G57" s="12">
        <v>832.91</v>
      </c>
      <c r="H57" s="12">
        <v>1068.54</v>
      </c>
      <c r="I57" s="42">
        <f>Working!I35</f>
        <v>400</v>
      </c>
      <c r="J57" s="42">
        <f>Working!J35</f>
        <v>250</v>
      </c>
      <c r="K57" s="42">
        <f>Working!K35</f>
        <v>100</v>
      </c>
      <c r="L57" s="22" t="s">
        <v>184</v>
      </c>
    </row>
    <row r="58" spans="2:12" ht="14.45" x14ac:dyDescent="0.35">
      <c r="C58" s="11"/>
      <c r="D58" s="11"/>
      <c r="E58" s="11"/>
      <c r="F58" s="11"/>
      <c r="G58" s="11"/>
      <c r="H58" s="11"/>
    </row>
    <row r="59" spans="2:12" ht="14.45" x14ac:dyDescent="0.35">
      <c r="B59" t="s">
        <v>68</v>
      </c>
      <c r="C59" s="12">
        <v>130.53</v>
      </c>
      <c r="D59" s="12">
        <v>155.28</v>
      </c>
      <c r="E59" s="12">
        <v>167.33</v>
      </c>
      <c r="F59" s="12">
        <v>173.46</v>
      </c>
      <c r="G59" s="12">
        <v>181.42</v>
      </c>
      <c r="H59" s="12">
        <v>179.41</v>
      </c>
      <c r="I59" s="46">
        <f>H59</f>
        <v>179.41</v>
      </c>
      <c r="J59" s="46">
        <f t="shared" ref="J59:K61" si="36">I59</f>
        <v>179.41</v>
      </c>
      <c r="K59" s="46">
        <f t="shared" si="36"/>
        <v>179.41</v>
      </c>
      <c r="L59" s="22" t="s">
        <v>190</v>
      </c>
    </row>
    <row r="60" spans="2:12" ht="14.45" x14ac:dyDescent="0.35">
      <c r="C60" s="11"/>
      <c r="D60" s="11"/>
      <c r="E60" s="11"/>
      <c r="F60" s="11"/>
      <c r="G60" s="11"/>
      <c r="H60" s="11"/>
    </row>
    <row r="61" spans="2:12" ht="14.45" x14ac:dyDescent="0.35">
      <c r="B61" t="s">
        <v>79</v>
      </c>
      <c r="C61" s="11">
        <f t="shared" ref="C61:G61" si="37">C63-SUM(C59,C57,C56)</f>
        <v>90.753999999999905</v>
      </c>
      <c r="D61" s="11">
        <f t="shared" si="37"/>
        <v>128.30999999999995</v>
      </c>
      <c r="E61" s="11">
        <f t="shared" si="37"/>
        <v>197.27909999999974</v>
      </c>
      <c r="F61" s="11">
        <f t="shared" si="37"/>
        <v>139.17000000000007</v>
      </c>
      <c r="G61" s="11">
        <f t="shared" si="37"/>
        <v>210.39999999999964</v>
      </c>
      <c r="H61" s="11">
        <f>H63-SUM(H59,H57,H56)</f>
        <v>115.92000000000007</v>
      </c>
      <c r="I61" s="46">
        <f>H61</f>
        <v>115.92000000000007</v>
      </c>
      <c r="J61" s="46">
        <f t="shared" si="36"/>
        <v>115.92000000000007</v>
      </c>
      <c r="K61" s="46">
        <f t="shared" si="36"/>
        <v>115.92000000000007</v>
      </c>
      <c r="L61" s="22" t="s">
        <v>190</v>
      </c>
    </row>
    <row r="62" spans="2:12" ht="14.45" x14ac:dyDescent="0.35">
      <c r="C62" s="11"/>
      <c r="D62" s="11"/>
      <c r="E62" s="11"/>
      <c r="F62" s="11"/>
      <c r="G62" s="11"/>
      <c r="H62" s="11"/>
    </row>
    <row r="63" spans="2:12" ht="14.45" x14ac:dyDescent="0.35">
      <c r="B63" t="s">
        <v>69</v>
      </c>
      <c r="C63" s="12">
        <v>1946.558</v>
      </c>
      <c r="D63" s="12">
        <v>2614.7399999999998</v>
      </c>
      <c r="E63" s="12">
        <v>3143.3991000000001</v>
      </c>
      <c r="F63" s="12">
        <v>3331.83</v>
      </c>
      <c r="G63" s="12">
        <v>4404.26</v>
      </c>
      <c r="H63" s="12">
        <v>5523.66</v>
      </c>
      <c r="I63" s="42">
        <f>SUM(I56:I61)</f>
        <v>5957.1145999999999</v>
      </c>
      <c r="J63" s="42">
        <f t="shared" ref="J63:K63" si="38">SUM(J56:J61)</f>
        <v>6051.5691999999999</v>
      </c>
      <c r="K63" s="42">
        <f t="shared" si="38"/>
        <v>5825.0237999999999</v>
      </c>
      <c r="L63" s="22" t="s">
        <v>195</v>
      </c>
    </row>
    <row r="64" spans="2:12" ht="14.45" x14ac:dyDescent="0.35">
      <c r="C64" s="11"/>
      <c r="D64" s="11"/>
      <c r="E64" s="11"/>
      <c r="F64" s="11"/>
      <c r="G64" s="11"/>
      <c r="H64" s="11"/>
    </row>
    <row r="65" spans="2:15" ht="14.45" x14ac:dyDescent="0.35">
      <c r="B65" t="s">
        <v>70</v>
      </c>
      <c r="C65" s="12">
        <v>312.43</v>
      </c>
      <c r="D65" s="12">
        <v>40.21</v>
      </c>
      <c r="E65" s="12">
        <v>64.268799999999999</v>
      </c>
      <c r="F65" s="12">
        <v>40.06</v>
      </c>
      <c r="G65" s="12">
        <v>0</v>
      </c>
      <c r="H65" s="12">
        <v>0</v>
      </c>
      <c r="I65" s="46">
        <f>H65</f>
        <v>0</v>
      </c>
      <c r="J65" s="46">
        <f t="shared" ref="J65:K65" si="39">I65</f>
        <v>0</v>
      </c>
      <c r="K65" s="46">
        <f t="shared" si="39"/>
        <v>0</v>
      </c>
      <c r="L65" s="22" t="s">
        <v>190</v>
      </c>
    </row>
    <row r="66" spans="2:15" ht="14.45" x14ac:dyDescent="0.35">
      <c r="B66" t="s">
        <v>19</v>
      </c>
      <c r="C66" s="12">
        <v>653.42999999999995</v>
      </c>
      <c r="D66" s="12">
        <v>639.71</v>
      </c>
      <c r="E66" s="12">
        <v>943.48</v>
      </c>
      <c r="F66" s="12">
        <v>784.61</v>
      </c>
      <c r="G66" s="12">
        <v>1005.6</v>
      </c>
      <c r="H66" s="12">
        <v>925.69</v>
      </c>
      <c r="I66" s="11">
        <f>Working!I73*Working!I$7/365</f>
        <v>994.53793561643852</v>
      </c>
      <c r="J66" s="11">
        <f>Working!J73*Working!J$7/365</f>
        <v>1065.1501290452056</v>
      </c>
      <c r="K66" s="11">
        <f>Working!K73*Working!K$7/365</f>
        <v>1140.7757882074154</v>
      </c>
      <c r="L66" s="22" t="s">
        <v>196</v>
      </c>
    </row>
    <row r="67" spans="2:15" ht="14.45" x14ac:dyDescent="0.35">
      <c r="B67" t="s">
        <v>23</v>
      </c>
      <c r="C67" s="12">
        <v>673.18</v>
      </c>
      <c r="D67" s="12">
        <v>593.51</v>
      </c>
      <c r="E67" s="12">
        <v>613.79999999999995</v>
      </c>
      <c r="F67" s="12">
        <v>747.23</v>
      </c>
      <c r="G67" s="12">
        <v>706.38</v>
      </c>
      <c r="H67" s="12">
        <v>674.35</v>
      </c>
      <c r="I67" s="11">
        <f>Working!I74*Working!I$7/365</f>
        <v>716.06731364383575</v>
      </c>
      <c r="J67" s="11">
        <f>Working!J74*Working!J$7/365</f>
        <v>766.908092912548</v>
      </c>
      <c r="K67" s="11">
        <f>Working!K74*Working!K$7/365</f>
        <v>821.35856750933897</v>
      </c>
      <c r="L67" s="22" t="s">
        <v>197</v>
      </c>
    </row>
    <row r="68" spans="2:15" ht="14.45" x14ac:dyDescent="0.35">
      <c r="B68" t="s">
        <v>22</v>
      </c>
      <c r="C68" s="12">
        <v>3.27</v>
      </c>
      <c r="D68" s="12">
        <v>2.8</v>
      </c>
      <c r="E68" s="12">
        <v>1.27</v>
      </c>
      <c r="F68" s="12">
        <v>0.36</v>
      </c>
      <c r="G68" s="12">
        <v>0.75</v>
      </c>
      <c r="H68" s="12">
        <v>0.95</v>
      </c>
      <c r="I68" s="46">
        <f>H68</f>
        <v>0.95</v>
      </c>
      <c r="J68" s="46">
        <f t="shared" ref="J68:K69" si="40">I68</f>
        <v>0.95</v>
      </c>
      <c r="K68" s="46">
        <f t="shared" si="40"/>
        <v>0.95</v>
      </c>
      <c r="L68" s="22" t="s">
        <v>190</v>
      </c>
    </row>
    <row r="69" spans="2:15" ht="14.45" x14ac:dyDescent="0.35">
      <c r="B69" t="s">
        <v>71</v>
      </c>
      <c r="C69" s="12">
        <v>122.22460000000001</v>
      </c>
      <c r="D69" s="12">
        <v>203.31899999999996</v>
      </c>
      <c r="E69" s="12">
        <v>195.14330000000018</v>
      </c>
      <c r="F69" s="12">
        <v>160.17239999999993</v>
      </c>
      <c r="G69" s="12">
        <v>220.39240000000018</v>
      </c>
      <c r="H69" s="12">
        <f>6.81+25.02+164.3+4.75</f>
        <v>200.88</v>
      </c>
      <c r="I69" s="46">
        <f>H69</f>
        <v>200.88</v>
      </c>
      <c r="J69" s="46">
        <f t="shared" si="40"/>
        <v>200.88</v>
      </c>
      <c r="K69" s="46">
        <f t="shared" si="40"/>
        <v>200.88</v>
      </c>
      <c r="L69" s="22" t="s">
        <v>190</v>
      </c>
      <c r="O69" s="11"/>
    </row>
    <row r="70" spans="2:15" ht="14.45" x14ac:dyDescent="0.35">
      <c r="B70" s="1" t="s">
        <v>72</v>
      </c>
      <c r="C70" s="18">
        <f>SUM(C65:C69)</f>
        <v>1764.5346</v>
      </c>
      <c r="D70" s="18">
        <f t="shared" ref="D70:G70" si="41">SUM(D65:D69)</f>
        <v>1479.549</v>
      </c>
      <c r="E70" s="18">
        <f t="shared" si="41"/>
        <v>1817.9621000000002</v>
      </c>
      <c r="F70" s="18">
        <f t="shared" si="41"/>
        <v>1732.4323999999999</v>
      </c>
      <c r="G70" s="18">
        <f t="shared" si="41"/>
        <v>1933.1224000000002</v>
      </c>
      <c r="H70" s="18">
        <f t="shared" ref="H70" si="42">SUM(H65:H69)</f>
        <v>1801.87</v>
      </c>
      <c r="I70" s="10">
        <f>SUM(I65:I69)</f>
        <v>1912.4352492602743</v>
      </c>
      <c r="J70" s="10">
        <f t="shared" ref="J70:K70" si="43">SUM(J65:J69)</f>
        <v>2033.8882219577536</v>
      </c>
      <c r="K70" s="10">
        <f t="shared" si="43"/>
        <v>2163.9643557167542</v>
      </c>
      <c r="L70" s="22" t="s">
        <v>198</v>
      </c>
    </row>
    <row r="71" spans="2:15" ht="14.45" x14ac:dyDescent="0.35">
      <c r="C71" s="11"/>
      <c r="D71" s="11"/>
      <c r="E71" s="11"/>
      <c r="F71" s="11"/>
      <c r="G71" s="11"/>
      <c r="H71" s="11"/>
    </row>
    <row r="72" spans="2:15" ht="14.45" x14ac:dyDescent="0.35">
      <c r="B72" t="s">
        <v>20</v>
      </c>
      <c r="C72" s="12">
        <v>637.89</v>
      </c>
      <c r="D72" s="12">
        <v>635.32000000000005</v>
      </c>
      <c r="E72" s="12">
        <v>758.21</v>
      </c>
      <c r="F72" s="12">
        <v>870.51</v>
      </c>
      <c r="G72" s="12">
        <v>1052.8699999999999</v>
      </c>
      <c r="H72" s="12">
        <v>1194.76</v>
      </c>
      <c r="I72" s="11">
        <f>Working!I77*Working!I$7/365</f>
        <v>1193.4455227397264</v>
      </c>
      <c r="J72" s="11">
        <f>Working!J77*Working!J$7/365</f>
        <v>1278.1801548542467</v>
      </c>
      <c r="K72" s="11">
        <f>Working!K77*Working!K$7/365</f>
        <v>1368.9309458488985</v>
      </c>
      <c r="L72" s="22" t="s">
        <v>220</v>
      </c>
    </row>
    <row r="73" spans="2:15" ht="14.45" x14ac:dyDescent="0.35">
      <c r="B73" t="s">
        <v>74</v>
      </c>
      <c r="C73" s="12">
        <v>54.48</v>
      </c>
      <c r="D73" s="12">
        <v>47.01</v>
      </c>
      <c r="E73" s="12">
        <v>53.82</v>
      </c>
      <c r="F73" s="12">
        <v>50.38</v>
      </c>
      <c r="G73" s="12">
        <v>100.53</v>
      </c>
      <c r="H73" s="12">
        <v>123.19</v>
      </c>
      <c r="I73" s="11">
        <f>Working!I78*Working!I$7/365</f>
        <v>119.34455227397262</v>
      </c>
      <c r="J73" s="11">
        <f>Working!J78*Working!J$7/365</f>
        <v>127.81801548542468</v>
      </c>
      <c r="K73" s="11">
        <f>Working!K78*Working!K$7/365</f>
        <v>136.89309458488984</v>
      </c>
      <c r="L73" s="22" t="s">
        <v>221</v>
      </c>
    </row>
    <row r="74" spans="2:15" ht="14.45" x14ac:dyDescent="0.35">
      <c r="B74" t="s">
        <v>76</v>
      </c>
      <c r="C74" s="12">
        <v>264.27</v>
      </c>
      <c r="D74" s="12">
        <v>33.54</v>
      </c>
      <c r="E74" s="12">
        <v>57.99</v>
      </c>
      <c r="F74" s="12">
        <v>195.57</v>
      </c>
      <c r="G74" s="12">
        <v>224.25</v>
      </c>
      <c r="H74" s="12">
        <v>236.45</v>
      </c>
      <c r="I74" s="11">
        <f>Working!I79*Working!I$7/365</f>
        <v>298.36138068493159</v>
      </c>
      <c r="J74" s="11">
        <f>Working!J79*Working!J$7/365</f>
        <v>319.54503871356167</v>
      </c>
      <c r="K74" s="11">
        <f>Working!K79*Working!K$7/365</f>
        <v>342.23273646222464</v>
      </c>
      <c r="L74" s="22" t="s">
        <v>222</v>
      </c>
    </row>
    <row r="75" spans="2:15" ht="14.45" x14ac:dyDescent="0.35">
      <c r="B75" t="s">
        <v>75</v>
      </c>
      <c r="C75" s="11">
        <f t="shared" ref="C75:E75" si="44">C76-SUM(C72:C74)</f>
        <v>559.90800000000002</v>
      </c>
      <c r="D75" s="11">
        <f t="shared" si="44"/>
        <v>515.57769999999994</v>
      </c>
      <c r="E75" s="11">
        <f t="shared" si="44"/>
        <v>537.82999999999981</v>
      </c>
      <c r="F75" s="11">
        <f>F76-SUM(F72:F74)</f>
        <v>722.46</v>
      </c>
      <c r="G75" s="11">
        <f>G76-SUM(G72:G74)</f>
        <v>751.95</v>
      </c>
      <c r="H75" s="11">
        <f>H76-SUM(H72:H74)</f>
        <v>746.9699999999998</v>
      </c>
      <c r="I75" s="46">
        <f>H75</f>
        <v>746.9699999999998</v>
      </c>
      <c r="J75" s="46">
        <f t="shared" ref="J75:K75" si="45">I75</f>
        <v>746.9699999999998</v>
      </c>
      <c r="K75" s="46">
        <f t="shared" si="45"/>
        <v>746.9699999999998</v>
      </c>
      <c r="L75" s="22" t="s">
        <v>190</v>
      </c>
    </row>
    <row r="76" spans="2:15" ht="14.45" x14ac:dyDescent="0.35">
      <c r="B76" s="1" t="s">
        <v>109</v>
      </c>
      <c r="C76" s="9">
        <v>1516.548</v>
      </c>
      <c r="D76" s="9">
        <v>1231.4476999999999</v>
      </c>
      <c r="E76" s="9">
        <v>1407.85</v>
      </c>
      <c r="F76" s="9">
        <v>1838.92</v>
      </c>
      <c r="G76" s="9">
        <v>2129.6</v>
      </c>
      <c r="H76" s="9">
        <v>2301.37</v>
      </c>
      <c r="I76" s="10">
        <f>SUM(I72:I75)</f>
        <v>2358.1214556986306</v>
      </c>
      <c r="J76" s="10">
        <f t="shared" ref="J76:K76" si="46">SUM(J72:J75)</f>
        <v>2472.5132090532329</v>
      </c>
      <c r="K76" s="10">
        <f t="shared" si="46"/>
        <v>2595.026776896013</v>
      </c>
      <c r="L76" s="22" t="s">
        <v>199</v>
      </c>
    </row>
    <row r="77" spans="2:15" ht="14.45" x14ac:dyDescent="0.35">
      <c r="B77" s="1" t="s">
        <v>73</v>
      </c>
      <c r="C77" s="10">
        <f t="shared" ref="C77:F77" si="47">C70-C76</f>
        <v>247.98659999999995</v>
      </c>
      <c r="D77" s="10">
        <f t="shared" si="47"/>
        <v>248.10130000000004</v>
      </c>
      <c r="E77" s="10">
        <f t="shared" si="47"/>
        <v>410.11210000000028</v>
      </c>
      <c r="F77" s="10">
        <f t="shared" si="47"/>
        <v>-106.48760000000016</v>
      </c>
      <c r="G77" s="10">
        <f>G70-G76</f>
        <v>-196.47759999999971</v>
      </c>
      <c r="H77" s="10">
        <f>H70-H76</f>
        <v>-499.5</v>
      </c>
      <c r="I77" s="10">
        <f>I70-I76</f>
        <v>-445.68620643835629</v>
      </c>
      <c r="J77" s="10">
        <f t="shared" ref="J77:K77" si="48">J70-J76</f>
        <v>-438.62498709547936</v>
      </c>
      <c r="K77" s="10">
        <f t="shared" si="48"/>
        <v>-431.06242117925876</v>
      </c>
      <c r="L77" s="22" t="s">
        <v>110</v>
      </c>
    </row>
    <row r="78" spans="2:15" ht="14.45" x14ac:dyDescent="0.35">
      <c r="B78" s="1"/>
      <c r="C78" s="10"/>
      <c r="D78" s="10"/>
      <c r="E78" s="10"/>
      <c r="F78" s="10"/>
      <c r="G78" s="10"/>
      <c r="H78" s="11"/>
      <c r="I78" s="11"/>
    </row>
    <row r="79" spans="2:15" ht="14.45" x14ac:dyDescent="0.35">
      <c r="B79" t="s">
        <v>21</v>
      </c>
      <c r="C79" s="12">
        <v>70.577600000000004</v>
      </c>
      <c r="D79" s="12">
        <v>13.657599999999931</v>
      </c>
      <c r="E79" s="12">
        <v>24.007600000000011</v>
      </c>
      <c r="F79" s="12">
        <v>82.177599999999998</v>
      </c>
      <c r="G79" s="12">
        <v>67.547599999999946</v>
      </c>
      <c r="H79" s="12">
        <v>27.4</v>
      </c>
      <c r="I79" s="11">
        <f>I133</f>
        <v>65.677831171018624</v>
      </c>
      <c r="J79" s="11">
        <f t="shared" ref="J79:K79" si="49">J133</f>
        <v>49.145077383861121</v>
      </c>
      <c r="K79" s="11">
        <f t="shared" si="49"/>
        <v>47.075291410628438</v>
      </c>
      <c r="L79" s="22" t="s">
        <v>200</v>
      </c>
    </row>
    <row r="80" spans="2:15" ht="14.45" x14ac:dyDescent="0.35">
      <c r="C80" s="11"/>
      <c r="D80" s="11"/>
      <c r="E80" s="11"/>
      <c r="F80" s="11"/>
      <c r="G80" s="11"/>
      <c r="H80" s="11"/>
    </row>
    <row r="81" spans="2:12" thickBot="1" x14ac:dyDescent="0.4">
      <c r="B81" s="3" t="s">
        <v>56</v>
      </c>
      <c r="C81" s="17">
        <f>C63+C77+C79</f>
        <v>2265.1222000000002</v>
      </c>
      <c r="D81" s="17">
        <f t="shared" ref="D81:G81" si="50">D63+D77+D79</f>
        <v>2876.4989</v>
      </c>
      <c r="E81" s="17">
        <f t="shared" si="50"/>
        <v>3577.5188000000003</v>
      </c>
      <c r="F81" s="17">
        <f t="shared" si="50"/>
        <v>3307.5199999999995</v>
      </c>
      <c r="G81" s="17">
        <f t="shared" si="50"/>
        <v>4275.33</v>
      </c>
      <c r="H81" s="17">
        <f>H63+H77+H79</f>
        <v>5051.5599999999995</v>
      </c>
      <c r="I81" s="17">
        <f>I63+I77+I79</f>
        <v>5577.1062247326627</v>
      </c>
      <c r="J81" s="17">
        <f t="shared" ref="J81:K81" si="51">J63+J77+J79</f>
        <v>5662.0892902883816</v>
      </c>
      <c r="K81" s="17">
        <f t="shared" si="51"/>
        <v>5441.0366702313695</v>
      </c>
      <c r="L81" s="22" t="s">
        <v>111</v>
      </c>
    </row>
    <row r="82" spans="2:12" thickTop="1" x14ac:dyDescent="0.35">
      <c r="C82" s="11"/>
      <c r="D82" s="11"/>
      <c r="E82" s="11"/>
      <c r="F82" s="11"/>
      <c r="G82" s="11"/>
      <c r="H82" s="11"/>
    </row>
    <row r="83" spans="2:12" ht="14.45" x14ac:dyDescent="0.35">
      <c r="B83" s="20" t="s">
        <v>24</v>
      </c>
      <c r="C83" s="11"/>
      <c r="D83" s="11"/>
      <c r="E83" s="11"/>
      <c r="F83" s="11"/>
      <c r="G83" s="11"/>
      <c r="H83" s="11"/>
    </row>
    <row r="84" spans="2:12" ht="14.45" x14ac:dyDescent="0.35">
      <c r="C84" s="11"/>
      <c r="D84" s="11"/>
      <c r="E84" s="11"/>
      <c r="F84" s="11"/>
      <c r="G84" s="11"/>
      <c r="H84" s="11"/>
      <c r="I84" s="11"/>
    </row>
    <row r="85" spans="2:12" ht="14.45" x14ac:dyDescent="0.35">
      <c r="C85" s="11"/>
      <c r="D85" s="11"/>
      <c r="E85" s="11"/>
      <c r="F85" s="11"/>
      <c r="G85" s="11"/>
      <c r="H85" s="11"/>
      <c r="I85" s="42"/>
    </row>
    <row r="86" spans="2:12" ht="14.45" x14ac:dyDescent="0.35">
      <c r="B86" t="s">
        <v>25</v>
      </c>
      <c r="C86" s="12">
        <v>40.450000000000003</v>
      </c>
      <c r="D86" s="12">
        <v>40.450000000000003</v>
      </c>
      <c r="E86" s="12">
        <v>40.450000000000003</v>
      </c>
      <c r="F86" s="12">
        <v>40.450000000000003</v>
      </c>
      <c r="G86" s="12">
        <v>40.450000000000003</v>
      </c>
      <c r="H86" s="12">
        <v>40.450000000000003</v>
      </c>
      <c r="I86" s="42">
        <f>Working!I59</f>
        <v>40.450000000000003</v>
      </c>
      <c r="J86" s="42">
        <f>Working!J59</f>
        <v>40.450000000000003</v>
      </c>
      <c r="K86" s="42">
        <f>Working!K59</f>
        <v>40.450000000000003</v>
      </c>
      <c r="L86" s="22" t="s">
        <v>184</v>
      </c>
    </row>
    <row r="87" spans="2:12" ht="14.45" x14ac:dyDescent="0.35">
      <c r="B87" t="s">
        <v>26</v>
      </c>
      <c r="C87" s="12">
        <v>1672.99</v>
      </c>
      <c r="D87" s="12">
        <v>2014.29</v>
      </c>
      <c r="E87" s="12">
        <v>2374.5</v>
      </c>
      <c r="F87" s="12">
        <v>2565.64</v>
      </c>
      <c r="G87" s="12">
        <v>2725.66</v>
      </c>
      <c r="H87" s="12">
        <v>2867.47</v>
      </c>
      <c r="I87" s="11">
        <f>H87+I41-I51</f>
        <v>3043.0186247326624</v>
      </c>
      <c r="J87" s="11">
        <f t="shared" ref="J87:K87" si="52">I87+J41-J51</f>
        <v>3228.0016902883822</v>
      </c>
      <c r="K87" s="11">
        <f t="shared" si="52"/>
        <v>3456.9490702313701</v>
      </c>
      <c r="L87" s="22" t="s">
        <v>212</v>
      </c>
    </row>
    <row r="88" spans="2:12" ht="14.45" x14ac:dyDescent="0.35">
      <c r="B88" t="s">
        <v>27</v>
      </c>
      <c r="C88" s="11">
        <f t="shared" ref="C88:H88" si="53">C87+C86</f>
        <v>1713.44</v>
      </c>
      <c r="D88" s="11">
        <f t="shared" si="53"/>
        <v>2054.7399999999998</v>
      </c>
      <c r="E88" s="11">
        <f t="shared" si="53"/>
        <v>2414.9499999999998</v>
      </c>
      <c r="F88" s="11">
        <f t="shared" si="53"/>
        <v>2606.0899999999997</v>
      </c>
      <c r="G88" s="11">
        <f t="shared" si="53"/>
        <v>2766.1099999999997</v>
      </c>
      <c r="H88" s="11">
        <f t="shared" si="53"/>
        <v>2907.9199999999996</v>
      </c>
      <c r="I88" s="42">
        <f>I87+I86</f>
        <v>3083.4686247326622</v>
      </c>
      <c r="J88" s="42">
        <f t="shared" ref="J88:K88" si="54">J87+J86</f>
        <v>3268.451690288382</v>
      </c>
      <c r="K88" s="42">
        <f t="shared" si="54"/>
        <v>3497.3990702313699</v>
      </c>
      <c r="L88" s="22" t="s">
        <v>113</v>
      </c>
    </row>
    <row r="89" spans="2:12" ht="14.45" x14ac:dyDescent="0.35">
      <c r="C89" s="11"/>
      <c r="D89" s="11"/>
      <c r="E89" s="11"/>
      <c r="F89" s="11"/>
      <c r="G89" s="11"/>
      <c r="H89" s="11"/>
    </row>
    <row r="90" spans="2:12" ht="14.45" x14ac:dyDescent="0.35">
      <c r="B90" t="s">
        <v>77</v>
      </c>
      <c r="C90" s="12">
        <v>351.66</v>
      </c>
      <c r="D90" s="12">
        <v>587.91</v>
      </c>
      <c r="E90" s="12">
        <v>852.43</v>
      </c>
      <c r="F90" s="12">
        <v>451.16</v>
      </c>
      <c r="G90" s="12">
        <v>1222.6400000000001</v>
      </c>
      <c r="H90" s="12">
        <v>1640.78</v>
      </c>
      <c r="I90" s="42">
        <f>Working!I45</f>
        <v>1990.78</v>
      </c>
      <c r="J90" s="42">
        <f>Working!J45</f>
        <v>1890.78</v>
      </c>
      <c r="K90" s="42">
        <f>Working!K45</f>
        <v>1440.78</v>
      </c>
      <c r="L90" s="22" t="s">
        <v>184</v>
      </c>
    </row>
    <row r="91" spans="2:12" ht="14.45" x14ac:dyDescent="0.35">
      <c r="C91" s="11"/>
      <c r="D91" s="11"/>
      <c r="E91" s="11"/>
      <c r="F91" s="11"/>
      <c r="G91" s="11"/>
      <c r="H91" s="11"/>
    </row>
    <row r="92" spans="2:12" ht="14.45" x14ac:dyDescent="0.35">
      <c r="B92" t="s">
        <v>81</v>
      </c>
      <c r="C92" s="12">
        <v>125.91</v>
      </c>
      <c r="D92" s="12">
        <v>158.19999999999999</v>
      </c>
      <c r="E92" s="12">
        <v>213.35</v>
      </c>
      <c r="F92" s="12">
        <v>189.29</v>
      </c>
      <c r="G92" s="12">
        <v>219.78</v>
      </c>
      <c r="H92" s="12">
        <v>274.39</v>
      </c>
      <c r="I92" s="46">
        <f t="shared" ref="I92:K92" si="55">H92</f>
        <v>274.39</v>
      </c>
      <c r="J92" s="46">
        <f t="shared" si="55"/>
        <v>274.39</v>
      </c>
      <c r="K92" s="46">
        <f t="shared" si="55"/>
        <v>274.39</v>
      </c>
      <c r="L92" s="22" t="s">
        <v>190</v>
      </c>
    </row>
    <row r="93" spans="2:12" ht="14.45" x14ac:dyDescent="0.35">
      <c r="B93" t="s">
        <v>80</v>
      </c>
      <c r="C93" s="11">
        <f t="shared" ref="C93:F93" si="56">C95-SUM(C92,C90,C88)</f>
        <v>74.112199999999575</v>
      </c>
      <c r="D93" s="11">
        <f t="shared" si="56"/>
        <v>75.652400000000398</v>
      </c>
      <c r="E93" s="11">
        <f t="shared" si="56"/>
        <v>96.788500000000568</v>
      </c>
      <c r="F93" s="11">
        <f t="shared" si="56"/>
        <v>60.980000000000018</v>
      </c>
      <c r="G93" s="11">
        <f>G95-SUM(G92,G90,G88)</f>
        <v>66.800000000000182</v>
      </c>
      <c r="H93" s="11">
        <f>H95-SUM(H92,H90,H88)</f>
        <v>228.46999999999935</v>
      </c>
      <c r="I93" s="46">
        <f t="shared" ref="I93:K93" si="57">H93</f>
        <v>228.46999999999935</v>
      </c>
      <c r="J93" s="46">
        <f t="shared" si="57"/>
        <v>228.46999999999935</v>
      </c>
      <c r="K93" s="46">
        <f t="shared" si="57"/>
        <v>228.46999999999935</v>
      </c>
      <c r="L93" s="22" t="s">
        <v>190</v>
      </c>
    </row>
    <row r="94" spans="2:12" ht="14.45" x14ac:dyDescent="0.35">
      <c r="C94" s="11"/>
      <c r="D94" s="11"/>
      <c r="E94" s="11"/>
      <c r="F94" s="11"/>
      <c r="G94" s="11"/>
      <c r="H94" s="11"/>
    </row>
    <row r="95" spans="2:12" thickBot="1" x14ac:dyDescent="0.4">
      <c r="B95" s="3" t="s">
        <v>28</v>
      </c>
      <c r="C95" s="21">
        <f>1746.1153+519.0069</f>
        <v>2265.1221999999998</v>
      </c>
      <c r="D95" s="21">
        <f>2086.984+789.5184</f>
        <v>2876.5023999999999</v>
      </c>
      <c r="E95" s="21">
        <f>2444.0996+1133.4189</f>
        <v>3577.5185000000001</v>
      </c>
      <c r="F95" s="21">
        <f>2629.46+678.06</f>
        <v>3307.52</v>
      </c>
      <c r="G95" s="21">
        <f>2789.9+1485.43</f>
        <v>4275.33</v>
      </c>
      <c r="H95" s="21">
        <f>2931.57+2119.99</f>
        <v>5051.5599999999995</v>
      </c>
      <c r="I95" s="49">
        <f>I88+I90+I92+I93</f>
        <v>5577.1086247326621</v>
      </c>
      <c r="J95" s="49">
        <f t="shared" ref="J95:K95" si="58">J88+J90+J92+J93</f>
        <v>5662.0916902883819</v>
      </c>
      <c r="K95" s="49">
        <f t="shared" si="58"/>
        <v>5441.0390702313698</v>
      </c>
      <c r="L95" s="22" t="s">
        <v>112</v>
      </c>
    </row>
    <row r="96" spans="2:12" thickTop="1" x14ac:dyDescent="0.35">
      <c r="C96" s="11"/>
      <c r="D96" s="11"/>
      <c r="E96" s="11"/>
      <c r="F96" s="11"/>
      <c r="G96" s="11"/>
      <c r="H96" s="11"/>
      <c r="I96" s="11"/>
      <c r="J96" s="11"/>
      <c r="K96" s="11"/>
    </row>
    <row r="97" spans="2:12" ht="14.45" x14ac:dyDescent="0.35">
      <c r="C97" s="11"/>
      <c r="D97" s="11"/>
      <c r="E97" s="11"/>
      <c r="F97" s="11"/>
      <c r="G97" s="11"/>
      <c r="H97" s="11"/>
      <c r="I97" s="11"/>
      <c r="J97" s="11"/>
      <c r="K97" s="11"/>
    </row>
    <row r="98" spans="2:12" thickBot="1" x14ac:dyDescent="0.4">
      <c r="B98" s="4" t="s">
        <v>29</v>
      </c>
      <c r="C98" s="11">
        <f t="shared" ref="C98:K98" si="59">C95-C81</f>
        <v>0</v>
      </c>
      <c r="D98" s="11">
        <f t="shared" si="59"/>
        <v>3.4999999998035491E-3</v>
      </c>
      <c r="E98" s="11">
        <f t="shared" si="59"/>
        <v>-3.0000000015206751E-4</v>
      </c>
      <c r="F98" s="11">
        <f t="shared" si="59"/>
        <v>0</v>
      </c>
      <c r="G98" s="11">
        <f t="shared" si="59"/>
        <v>0</v>
      </c>
      <c r="H98" s="11">
        <f t="shared" si="59"/>
        <v>0</v>
      </c>
      <c r="I98" s="11">
        <f t="shared" si="59"/>
        <v>2.3999999993975507E-3</v>
      </c>
      <c r="J98" s="11">
        <f t="shared" si="59"/>
        <v>2.4000000003070454E-3</v>
      </c>
      <c r="K98" s="11">
        <f t="shared" si="59"/>
        <v>2.4000000003070454E-3</v>
      </c>
      <c r="L98" s="22" t="s">
        <v>114</v>
      </c>
    </row>
    <row r="99" spans="2:12" ht="14.45" x14ac:dyDescent="0.35">
      <c r="C99" s="11"/>
      <c r="D99" s="11"/>
      <c r="E99" s="11"/>
      <c r="F99" s="11"/>
      <c r="G99" s="11"/>
      <c r="H99" s="11"/>
    </row>
    <row r="100" spans="2:12" ht="14.45" x14ac:dyDescent="0.35">
      <c r="C100" s="11"/>
      <c r="D100" s="11"/>
      <c r="E100" s="11"/>
      <c r="F100" s="11"/>
      <c r="G100" s="11"/>
      <c r="H100" s="11"/>
    </row>
    <row r="101" spans="2:12" ht="14.45" x14ac:dyDescent="0.35">
      <c r="B101" s="1" t="s">
        <v>30</v>
      </c>
      <c r="C101" s="11"/>
      <c r="D101" s="11"/>
      <c r="E101" s="11"/>
      <c r="F101" s="11"/>
      <c r="G101" s="11"/>
      <c r="H101" s="11"/>
    </row>
    <row r="102" spans="2:12" ht="14.45" x14ac:dyDescent="0.35">
      <c r="C102" s="11"/>
      <c r="D102" s="11"/>
      <c r="E102" s="11"/>
      <c r="F102" s="11"/>
      <c r="G102" s="11"/>
      <c r="H102" s="11"/>
    </row>
    <row r="103" spans="2:12" ht="14.45" x14ac:dyDescent="0.35">
      <c r="B103" t="s">
        <v>12</v>
      </c>
      <c r="C103" s="15">
        <v>471.57</v>
      </c>
      <c r="D103" s="12">
        <v>586.88</v>
      </c>
      <c r="E103" s="12">
        <v>437.28</v>
      </c>
      <c r="F103" s="12">
        <v>344.31</v>
      </c>
      <c r="G103" s="12">
        <v>356</v>
      </c>
      <c r="H103" s="12">
        <v>287.07</v>
      </c>
      <c r="I103" s="11">
        <f>I38</f>
        <v>312.08644396917759</v>
      </c>
      <c r="J103" s="11">
        <f t="shared" ref="J103:K103" si="60">J38</f>
        <v>328.85878321016804</v>
      </c>
      <c r="K103" s="11">
        <f t="shared" si="60"/>
        <v>407.01756434308948</v>
      </c>
      <c r="L103" s="22" t="s">
        <v>201</v>
      </c>
    </row>
    <row r="104" spans="2:12" ht="14.45" x14ac:dyDescent="0.35">
      <c r="B104" t="s">
        <v>7</v>
      </c>
      <c r="C104" s="12">
        <v>93.43</v>
      </c>
      <c r="D104" s="12">
        <v>107.72</v>
      </c>
      <c r="E104" s="12">
        <v>143.08000000000001</v>
      </c>
      <c r="F104" s="12">
        <v>168.61</v>
      </c>
      <c r="G104" s="12">
        <v>192.71</v>
      </c>
      <c r="H104" s="12">
        <v>276.51</v>
      </c>
      <c r="I104" s="42">
        <f>I28</f>
        <v>366.54539999999997</v>
      </c>
      <c r="J104" s="42">
        <f t="shared" ref="J104:K104" si="61">J28</f>
        <v>405.54539999999997</v>
      </c>
      <c r="K104" s="42">
        <f t="shared" si="61"/>
        <v>426.54539999999997</v>
      </c>
      <c r="L104" s="22" t="s">
        <v>201</v>
      </c>
    </row>
    <row r="105" spans="2:12" ht="14.45" x14ac:dyDescent="0.35">
      <c r="B105" t="s">
        <v>32</v>
      </c>
      <c r="C105" s="15">
        <v>-8.0299999999999994</v>
      </c>
      <c r="D105" s="12">
        <v>-7.39</v>
      </c>
      <c r="E105" s="12">
        <v>-5.47</v>
      </c>
      <c r="F105" s="12">
        <v>-10.85</v>
      </c>
      <c r="G105" s="12">
        <v>-29.42</v>
      </c>
      <c r="H105" s="12">
        <v>-6.46</v>
      </c>
      <c r="I105" s="11">
        <f>-I35</f>
        <v>-37.730000000000004</v>
      </c>
      <c r="J105" s="11">
        <f t="shared" ref="J105:K105" si="62">-J35</f>
        <v>-37.730000000000004</v>
      </c>
      <c r="K105" s="11">
        <f t="shared" si="62"/>
        <v>-37.730000000000004</v>
      </c>
      <c r="L105" s="22" t="s">
        <v>203</v>
      </c>
    </row>
    <row r="106" spans="2:12" ht="14.45" x14ac:dyDescent="0.35">
      <c r="B106" t="s">
        <v>33</v>
      </c>
      <c r="C106" s="15">
        <v>-7.44</v>
      </c>
      <c r="D106" s="12">
        <v>-10.89</v>
      </c>
      <c r="E106" s="12">
        <v>-0.23</v>
      </c>
      <c r="F106" s="12">
        <v>-2</v>
      </c>
      <c r="G106" s="12">
        <v>0</v>
      </c>
      <c r="H106" s="12">
        <v>0</v>
      </c>
      <c r="I106" s="46">
        <v>0</v>
      </c>
      <c r="J106" s="46">
        <v>0</v>
      </c>
      <c r="K106" s="46">
        <v>0</v>
      </c>
      <c r="L106" s="22" t="s">
        <v>202</v>
      </c>
    </row>
    <row r="107" spans="2:12" ht="14.45" x14ac:dyDescent="0.35">
      <c r="B107" t="s">
        <v>48</v>
      </c>
      <c r="C107" s="12">
        <v>131.86000000000001</v>
      </c>
      <c r="D107" s="12">
        <v>94.89</v>
      </c>
      <c r="E107" s="12">
        <v>81.72</v>
      </c>
      <c r="F107" s="12">
        <v>97.35</v>
      </c>
      <c r="G107" s="12">
        <v>88.04</v>
      </c>
      <c r="H107" s="12">
        <v>192.49</v>
      </c>
      <c r="I107" s="11">
        <f>I34</f>
        <v>187.48671213082193</v>
      </c>
      <c r="J107" s="11">
        <f t="shared" ref="J107:K107" si="63">J34</f>
        <v>202.47598887293219</v>
      </c>
      <c r="K107" s="11">
        <f t="shared" si="63"/>
        <v>179.70019988291037</v>
      </c>
      <c r="L107" s="22" t="s">
        <v>201</v>
      </c>
    </row>
    <row r="108" spans="2:12" ht="14.45" x14ac:dyDescent="0.35">
      <c r="B108" t="s">
        <v>34</v>
      </c>
      <c r="C108" s="11">
        <f t="shared" ref="C108:F108" si="64">C109-SUM(C103:C107)</f>
        <v>8.1599999999999682</v>
      </c>
      <c r="D108" s="11">
        <f t="shared" si="64"/>
        <v>17.459999999999923</v>
      </c>
      <c r="E108" s="11">
        <f t="shared" si="64"/>
        <v>-2.6299999999999955</v>
      </c>
      <c r="F108" s="11">
        <f t="shared" si="64"/>
        <v>-0.99000000000012278</v>
      </c>
      <c r="G108" s="11">
        <f>G109-SUM(G103:G107)</f>
        <v>2.6999999999999318</v>
      </c>
      <c r="H108" s="11">
        <f>H109-SUM(H103:H107)</f>
        <v>-33.409999999999854</v>
      </c>
      <c r="I108" s="46">
        <v>0</v>
      </c>
      <c r="J108" s="46">
        <v>0</v>
      </c>
      <c r="K108" s="46">
        <v>0</v>
      </c>
      <c r="L108" s="22" t="s">
        <v>202</v>
      </c>
    </row>
    <row r="109" spans="2:12" ht="14.45" x14ac:dyDescent="0.35">
      <c r="B109" s="1" t="s">
        <v>35</v>
      </c>
      <c r="C109" s="15">
        <v>689.55</v>
      </c>
      <c r="D109" s="12">
        <v>788.67</v>
      </c>
      <c r="E109" s="12">
        <v>653.75</v>
      </c>
      <c r="F109" s="12">
        <v>596.42999999999995</v>
      </c>
      <c r="G109" s="12">
        <v>610.03</v>
      </c>
      <c r="H109" s="12">
        <v>716.2</v>
      </c>
      <c r="I109" s="11">
        <f>SUM(I103:I108)</f>
        <v>828.38855609999951</v>
      </c>
      <c r="J109" s="11">
        <f t="shared" ref="J109:K109" si="65">SUM(J103:J108)</f>
        <v>899.15017208310019</v>
      </c>
      <c r="K109" s="11">
        <f t="shared" si="65"/>
        <v>975.53316422599983</v>
      </c>
      <c r="L109" s="22" t="s">
        <v>204</v>
      </c>
    </row>
    <row r="110" spans="2:12" ht="14.45" x14ac:dyDescent="0.35">
      <c r="B110" t="s">
        <v>36</v>
      </c>
      <c r="C110" s="11">
        <f t="shared" ref="C110:F110" si="66">C111-C109</f>
        <v>171.42000000000007</v>
      </c>
      <c r="D110" s="11">
        <f t="shared" si="66"/>
        <v>82.019999999999982</v>
      </c>
      <c r="E110" s="11">
        <f t="shared" si="66"/>
        <v>-217.35999999999996</v>
      </c>
      <c r="F110" s="11">
        <f t="shared" si="66"/>
        <v>173.83000000000004</v>
      </c>
      <c r="G110" s="11">
        <f>G111-G109</f>
        <v>23.470000000000027</v>
      </c>
      <c r="H110" s="11">
        <f>H111-H109</f>
        <v>258.23</v>
      </c>
      <c r="I110" s="11">
        <f>H77-I77-(I74-H74)+(H61-I61)+(I92-H92)+(I93-H93)</f>
        <v>-115.72517424657531</v>
      </c>
      <c r="J110" s="11">
        <f t="shared" ref="J110:K110" si="67">I77-J77-(J74-I74)+(I61-J61)+(J92-I92)+(J93-I93)</f>
        <v>-28.244877371507016</v>
      </c>
      <c r="K110" s="11">
        <f t="shared" si="67"/>
        <v>-30.250263664883562</v>
      </c>
      <c r="L110" s="22" t="s">
        <v>205</v>
      </c>
    </row>
    <row r="111" spans="2:12" ht="14.45" x14ac:dyDescent="0.35">
      <c r="B111" t="s">
        <v>37</v>
      </c>
      <c r="C111" s="11">
        <f t="shared" ref="C111:F111" si="68">C113-C112</f>
        <v>860.97</v>
      </c>
      <c r="D111" s="11">
        <f t="shared" si="68"/>
        <v>870.68999999999994</v>
      </c>
      <c r="E111" s="11">
        <f t="shared" si="68"/>
        <v>436.39000000000004</v>
      </c>
      <c r="F111" s="11">
        <f t="shared" si="68"/>
        <v>770.26</v>
      </c>
      <c r="G111" s="11">
        <f>G113-G112</f>
        <v>633.5</v>
      </c>
      <c r="H111" s="11">
        <f>H113-H112</f>
        <v>974.43000000000006</v>
      </c>
      <c r="I111" s="11">
        <f>I109+I110</f>
        <v>712.6633818534242</v>
      </c>
      <c r="J111" s="11">
        <f t="shared" ref="J111:K111" si="69">J109+J110</f>
        <v>870.90529471159311</v>
      </c>
      <c r="K111" s="11">
        <f t="shared" si="69"/>
        <v>945.28290056111632</v>
      </c>
      <c r="L111" s="22" t="s">
        <v>206</v>
      </c>
    </row>
    <row r="112" spans="2:12" ht="14.45" x14ac:dyDescent="0.35">
      <c r="B112" t="s">
        <v>38</v>
      </c>
      <c r="C112" s="15">
        <v>-112.28</v>
      </c>
      <c r="D112" s="12">
        <v>-168.64</v>
      </c>
      <c r="E112" s="12">
        <v>-101.73</v>
      </c>
      <c r="F112" s="12">
        <v>-97.87</v>
      </c>
      <c r="G112" s="12">
        <v>-80.83</v>
      </c>
      <c r="H112" s="12">
        <v>-18.100000000000001</v>
      </c>
      <c r="I112" s="11">
        <f>-I39</f>
        <v>-78.021610992294399</v>
      </c>
      <c r="J112" s="11">
        <f t="shared" ref="J112:K112" si="70">-J39</f>
        <v>-82.21469580254201</v>
      </c>
      <c r="K112" s="11">
        <f t="shared" si="70"/>
        <v>-101.75439108577237</v>
      </c>
      <c r="L112" s="22" t="s">
        <v>201</v>
      </c>
    </row>
    <row r="113" spans="2:12" ht="14.45" x14ac:dyDescent="0.35">
      <c r="B113" s="1" t="s">
        <v>39</v>
      </c>
      <c r="C113" s="16">
        <v>748.69</v>
      </c>
      <c r="D113" s="9">
        <v>702.05</v>
      </c>
      <c r="E113" s="9">
        <v>334.66</v>
      </c>
      <c r="F113" s="9">
        <v>672.39</v>
      </c>
      <c r="G113" s="9">
        <v>552.66999999999996</v>
      </c>
      <c r="H113" s="9">
        <v>956.33</v>
      </c>
      <c r="I113" s="10">
        <f>I111+I112</f>
        <v>634.64177086112977</v>
      </c>
      <c r="J113" s="10">
        <f t="shared" ref="J113:K113" si="71">J111+J112</f>
        <v>788.69059890905112</v>
      </c>
      <c r="K113" s="10">
        <f t="shared" si="71"/>
        <v>843.52850947534398</v>
      </c>
      <c r="L113" s="22" t="s">
        <v>207</v>
      </c>
    </row>
    <row r="114" spans="2:12" ht="14.45" x14ac:dyDescent="0.35">
      <c r="C114" s="13"/>
      <c r="D114" s="11"/>
      <c r="E114" s="11"/>
      <c r="F114" s="11"/>
      <c r="G114" s="11"/>
      <c r="H114" s="11"/>
    </row>
    <row r="115" spans="2:12" ht="14.45" x14ac:dyDescent="0.35">
      <c r="B115" t="s">
        <v>40</v>
      </c>
      <c r="C115" s="15">
        <v>-302.79000000000002</v>
      </c>
      <c r="D115" s="12">
        <v>-738.13</v>
      </c>
      <c r="E115" s="12">
        <v>-587.71</v>
      </c>
      <c r="F115" s="12">
        <v>-483.85</v>
      </c>
      <c r="G115" s="12">
        <v>-1107.32</v>
      </c>
      <c r="H115" s="12">
        <f>-1118.34+8.46</f>
        <v>-1109.8799999999999</v>
      </c>
      <c r="I115" s="11">
        <f>-Working!I36</f>
        <v>-800</v>
      </c>
      <c r="J115" s="11">
        <f>-Working!J36</f>
        <v>-500</v>
      </c>
      <c r="K115" s="11">
        <f>-Working!K36</f>
        <v>-200</v>
      </c>
      <c r="L115" s="22" t="s">
        <v>184</v>
      </c>
    </row>
    <row r="116" spans="2:12" ht="14.45" x14ac:dyDescent="0.35">
      <c r="B116" t="s">
        <v>49</v>
      </c>
      <c r="C116" s="15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-2.99</v>
      </c>
      <c r="I116" s="46">
        <v>0</v>
      </c>
      <c r="J116" s="46">
        <v>0</v>
      </c>
      <c r="K116" s="46">
        <v>0</v>
      </c>
      <c r="L116" s="22" t="s">
        <v>202</v>
      </c>
    </row>
    <row r="117" spans="2:12" ht="14.45" x14ac:dyDescent="0.35">
      <c r="B117" t="s">
        <v>41</v>
      </c>
      <c r="C117" s="15">
        <f>47.85-19.55+7.42-5.19</f>
        <v>30.529999999999998</v>
      </c>
      <c r="D117" s="12">
        <f>-24.74+273.81+12.08-35.12</f>
        <v>226.02999999999997</v>
      </c>
      <c r="E117" s="12">
        <f>-12.05-21.23+44.08</f>
        <v>10.799999999999997</v>
      </c>
      <c r="F117" s="12">
        <f>34.86-6.13+7.98</f>
        <v>36.71</v>
      </c>
      <c r="G117" s="12">
        <f>40.89-7.17+0.2</f>
        <v>33.92</v>
      </c>
      <c r="H117" s="12">
        <f>0.12+0.46+0.04</f>
        <v>0.62000000000000011</v>
      </c>
      <c r="I117" s="11">
        <f>H59-I59</f>
        <v>0</v>
      </c>
      <c r="J117" s="11">
        <f t="shared" ref="J117:K117" si="72">I59-J59</f>
        <v>0</v>
      </c>
      <c r="K117" s="11">
        <f t="shared" si="72"/>
        <v>0</v>
      </c>
      <c r="L117" s="22" t="s">
        <v>208</v>
      </c>
    </row>
    <row r="118" spans="2:12" ht="14.45" x14ac:dyDescent="0.35">
      <c r="B118" t="s">
        <v>42</v>
      </c>
      <c r="C118" s="15">
        <v>8.6199999999999992</v>
      </c>
      <c r="D118" s="12">
        <v>7.49</v>
      </c>
      <c r="E118" s="12">
        <v>5.69</v>
      </c>
      <c r="F118" s="12">
        <v>11.51</v>
      </c>
      <c r="G118" s="12">
        <v>3.41</v>
      </c>
      <c r="H118" s="12">
        <v>31.55</v>
      </c>
      <c r="I118" s="11">
        <f>-I105</f>
        <v>37.730000000000004</v>
      </c>
      <c r="J118" s="11">
        <f t="shared" ref="J118:K118" si="73">-J105</f>
        <v>37.730000000000004</v>
      </c>
      <c r="K118" s="11">
        <f t="shared" si="73"/>
        <v>37.730000000000004</v>
      </c>
      <c r="L118" s="22" t="s">
        <v>209</v>
      </c>
    </row>
    <row r="119" spans="2:12" x14ac:dyDescent="0.25">
      <c r="B119" t="s">
        <v>43</v>
      </c>
      <c r="C119" s="15">
        <v>7.44</v>
      </c>
      <c r="D119" s="15">
        <v>10.89</v>
      </c>
      <c r="E119" s="15">
        <v>0.23</v>
      </c>
      <c r="F119" s="15">
        <v>2</v>
      </c>
      <c r="G119" s="15">
        <v>0</v>
      </c>
      <c r="H119" s="12">
        <v>10.36</v>
      </c>
      <c r="I119" s="11">
        <f>-I106</f>
        <v>0</v>
      </c>
      <c r="J119" s="11">
        <f t="shared" ref="J119:K119" si="74">-J106</f>
        <v>0</v>
      </c>
      <c r="K119" s="11">
        <f t="shared" si="74"/>
        <v>0</v>
      </c>
      <c r="L119" s="22" t="s">
        <v>209</v>
      </c>
    </row>
    <row r="120" spans="2:12" x14ac:dyDescent="0.25">
      <c r="B120" t="s">
        <v>34</v>
      </c>
      <c r="C120" s="11">
        <f t="shared" ref="C120:F120" si="75">C121-SUM(C115:C119)</f>
        <v>2.9100000000000534</v>
      </c>
      <c r="D120" s="11">
        <f t="shared" si="75"/>
        <v>61.110000000000014</v>
      </c>
      <c r="E120" s="11">
        <f t="shared" si="75"/>
        <v>27.560000000000059</v>
      </c>
      <c r="F120" s="11">
        <f t="shared" si="75"/>
        <v>21.880000000000052</v>
      </c>
      <c r="G120" s="11">
        <f>G121-SUM(G115:G119)</f>
        <v>18.249999999999773</v>
      </c>
      <c r="H120" s="11">
        <f>H121-SUM(H115:H119)</f>
        <v>-5.1599999999998545</v>
      </c>
      <c r="I120" s="46">
        <v>0</v>
      </c>
      <c r="J120" s="46">
        <v>0</v>
      </c>
      <c r="K120" s="46">
        <v>0</v>
      </c>
      <c r="L120" s="22" t="s">
        <v>202</v>
      </c>
    </row>
    <row r="121" spans="2:12" x14ac:dyDescent="0.25">
      <c r="B121" s="1" t="s">
        <v>44</v>
      </c>
      <c r="C121" s="16">
        <v>-253.29</v>
      </c>
      <c r="D121" s="9">
        <v>-432.61</v>
      </c>
      <c r="E121" s="9">
        <v>-543.42999999999995</v>
      </c>
      <c r="F121" s="9">
        <v>-411.75</v>
      </c>
      <c r="G121" s="9">
        <v>-1051.74</v>
      </c>
      <c r="H121" s="9">
        <v>-1075.5</v>
      </c>
      <c r="I121" s="10">
        <f>SUM(I115:I120)</f>
        <v>-762.27</v>
      </c>
      <c r="J121" s="10">
        <f t="shared" ref="J121:K121" si="76">SUM(J115:J120)</f>
        <v>-462.27</v>
      </c>
      <c r="K121" s="10">
        <f t="shared" si="76"/>
        <v>-162.26999999999998</v>
      </c>
      <c r="L121" s="22" t="s">
        <v>204</v>
      </c>
    </row>
    <row r="122" spans="2:12" x14ac:dyDescent="0.25">
      <c r="C122" s="13"/>
      <c r="D122" s="11"/>
      <c r="E122" s="11"/>
      <c r="F122" s="11"/>
      <c r="G122" s="11"/>
      <c r="H122" s="11"/>
    </row>
    <row r="123" spans="2:12" x14ac:dyDescent="0.25">
      <c r="B123" t="s">
        <v>131</v>
      </c>
      <c r="C123" s="15">
        <f>-245.92-20+69.45-126.27+722.83-785.96+24.61-38.16</f>
        <v>-399.41999999999996</v>
      </c>
      <c r="D123" s="12">
        <f>-110.07+504.9-316.58+141.7-312.43</f>
        <v>-92.480000000000018</v>
      </c>
      <c r="E123" s="12">
        <f>46.85+363.09-78.98</f>
        <v>330.96</v>
      </c>
      <c r="F123" s="12">
        <f>32.67+281.04-470.95+290.13-185.22-0.09</f>
        <v>-52.419999999999959</v>
      </c>
      <c r="G123" s="12">
        <f>133.15+1054.04-456.39-104.84</f>
        <v>625.96</v>
      </c>
      <c r="H123" s="12">
        <f>12.2+468.88-50.05</f>
        <v>431.03</v>
      </c>
      <c r="I123" s="11">
        <f>Working!I50</f>
        <v>411.9113806849316</v>
      </c>
      <c r="J123" s="11">
        <f>Working!J50</f>
        <v>-78.816341971369923</v>
      </c>
      <c r="K123" s="11">
        <f>Working!K50</f>
        <v>-427.31230225133703</v>
      </c>
      <c r="L123" s="22" t="s">
        <v>184</v>
      </c>
    </row>
    <row r="124" spans="2:12" x14ac:dyDescent="0.25">
      <c r="B124" t="s">
        <v>45</v>
      </c>
      <c r="C124" s="15">
        <f>400-6.55</f>
        <v>393.45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1">
        <f>Working!I59-Working!H59</f>
        <v>0</v>
      </c>
      <c r="J124" s="11">
        <f>Working!J59-Working!I59</f>
        <v>0</v>
      </c>
      <c r="K124" s="11">
        <f>Working!K59-Working!J59</f>
        <v>0</v>
      </c>
      <c r="L124" s="22" t="s">
        <v>213</v>
      </c>
    </row>
    <row r="125" spans="2:12" x14ac:dyDescent="0.25">
      <c r="B125" t="s">
        <v>50</v>
      </c>
      <c r="C125" s="15">
        <f>-35.73-4.69</f>
        <v>-40.419999999999995</v>
      </c>
      <c r="D125" s="12">
        <v>-0.66</v>
      </c>
      <c r="E125" s="12">
        <f>-85.91-12.02</f>
        <v>-97.929999999999993</v>
      </c>
      <c r="F125" s="12">
        <f>-47.27-5.53</f>
        <v>-52.800000000000004</v>
      </c>
      <c r="G125" s="12">
        <f>-44.34-8.29</f>
        <v>-52.63</v>
      </c>
      <c r="H125" s="12">
        <f>-90.03-17.87</f>
        <v>-107.9</v>
      </c>
      <c r="I125" s="11">
        <f>-Working!I64</f>
        <v>-58.516208244220799</v>
      </c>
      <c r="J125" s="11">
        <f>-Working!J64</f>
        <v>-61.661021851906511</v>
      </c>
      <c r="K125" s="11">
        <f>-Working!K64</f>
        <v>-76.315793314329284</v>
      </c>
      <c r="L125" s="22" t="s">
        <v>184</v>
      </c>
    </row>
    <row r="126" spans="2:12" x14ac:dyDescent="0.25">
      <c r="B126" t="s">
        <v>78</v>
      </c>
      <c r="C126" s="12">
        <v>-131.86000000000001</v>
      </c>
      <c r="D126" s="12">
        <v>-94.89</v>
      </c>
      <c r="E126" s="12">
        <v>-81.72</v>
      </c>
      <c r="F126" s="12">
        <v>-97.35</v>
      </c>
      <c r="G126" s="12">
        <v>-88.04</v>
      </c>
      <c r="H126" s="12">
        <v>-192.49</v>
      </c>
      <c r="I126" s="11">
        <f>-I107</f>
        <v>-187.48671213082193</v>
      </c>
      <c r="J126" s="11">
        <f t="shared" ref="J126:K126" si="77">-J107</f>
        <v>-202.47598887293219</v>
      </c>
      <c r="K126" s="11">
        <f t="shared" si="77"/>
        <v>-179.70019988291037</v>
      </c>
      <c r="L126" s="22" t="s">
        <v>209</v>
      </c>
    </row>
    <row r="127" spans="2:12" x14ac:dyDescent="0.25">
      <c r="B127" t="s">
        <v>34</v>
      </c>
      <c r="C127" s="11">
        <f t="shared" ref="C127:F127" si="78">C128-SUM(C123:C126)</f>
        <v>-15.770000000000039</v>
      </c>
      <c r="D127" s="11">
        <f t="shared" si="78"/>
        <v>-138.32999999999998</v>
      </c>
      <c r="E127" s="11">
        <f t="shared" si="78"/>
        <v>67.810000000000031</v>
      </c>
      <c r="F127" s="11">
        <f t="shared" si="78"/>
        <v>9.9999999999965894E-2</v>
      </c>
      <c r="G127" s="11">
        <f>G128-SUM(G123:G126)</f>
        <v>-0.85000000000002274</v>
      </c>
      <c r="H127" s="11">
        <f>H128-SUM(H123:H126)</f>
        <v>-51.61999999999999</v>
      </c>
      <c r="I127" s="46">
        <v>0</v>
      </c>
      <c r="J127" s="46">
        <v>0</v>
      </c>
      <c r="K127" s="46">
        <v>0</v>
      </c>
      <c r="L127" s="22" t="s">
        <v>202</v>
      </c>
    </row>
    <row r="128" spans="2:12" x14ac:dyDescent="0.25">
      <c r="B128" s="1" t="s">
        <v>46</v>
      </c>
      <c r="C128" s="16">
        <v>-194.02</v>
      </c>
      <c r="D128" s="9">
        <v>-326.36</v>
      </c>
      <c r="E128" s="9">
        <v>219.12</v>
      </c>
      <c r="F128" s="9">
        <v>-202.47</v>
      </c>
      <c r="G128" s="9">
        <v>484.44</v>
      </c>
      <c r="H128" s="9">
        <v>79.02</v>
      </c>
      <c r="I128" s="10">
        <f>SUM(I123:I127)</f>
        <v>165.90846030988885</v>
      </c>
      <c r="J128" s="10">
        <f t="shared" ref="J128:K128" si="79">SUM(J123:J127)</f>
        <v>-342.95335269620864</v>
      </c>
      <c r="K128" s="10">
        <f t="shared" si="79"/>
        <v>-683.32829544857668</v>
      </c>
      <c r="L128" s="22" t="s">
        <v>204</v>
      </c>
    </row>
    <row r="129" spans="2:12" x14ac:dyDescent="0.25">
      <c r="C129" s="13"/>
      <c r="D129" s="11"/>
      <c r="E129" s="11"/>
      <c r="F129" s="11"/>
      <c r="G129" s="11"/>
      <c r="H129" s="11"/>
    </row>
    <row r="130" spans="2:12" x14ac:dyDescent="0.25">
      <c r="B130" s="1" t="s">
        <v>47</v>
      </c>
      <c r="C130" s="14">
        <f t="shared" ref="C130:G130" si="80">C113+C121+C128</f>
        <v>301.38000000000011</v>
      </c>
      <c r="D130" s="14">
        <f t="shared" si="80"/>
        <v>-56.920000000000073</v>
      </c>
      <c r="E130" s="14">
        <f t="shared" si="80"/>
        <v>10.35000000000008</v>
      </c>
      <c r="F130" s="14">
        <f t="shared" si="80"/>
        <v>58.169999999999987</v>
      </c>
      <c r="G130" s="14">
        <f t="shared" si="80"/>
        <v>-14.630000000000052</v>
      </c>
      <c r="H130" s="14">
        <f t="shared" ref="H130" si="81">H113+H121+H128</f>
        <v>-40.149999999999963</v>
      </c>
      <c r="I130" s="10">
        <f>I113+I121+I128</f>
        <v>38.280231171018642</v>
      </c>
      <c r="J130" s="10">
        <f t="shared" ref="J130:K130" si="82">J113+J121+J128</f>
        <v>-16.532753787157503</v>
      </c>
      <c r="K130" s="10">
        <f t="shared" si="82"/>
        <v>-2.0697859732326833</v>
      </c>
      <c r="L130" s="22" t="s">
        <v>115</v>
      </c>
    </row>
    <row r="131" spans="2:12" x14ac:dyDescent="0.25">
      <c r="B131" s="1"/>
      <c r="C131" s="13"/>
      <c r="D131" s="11"/>
      <c r="E131" s="11"/>
      <c r="F131" s="11"/>
      <c r="G131" s="11"/>
      <c r="H131" s="11"/>
    </row>
    <row r="132" spans="2:12" x14ac:dyDescent="0.25">
      <c r="B132" s="1" t="s">
        <v>118</v>
      </c>
      <c r="C132" s="16">
        <v>102.59</v>
      </c>
      <c r="D132" s="9">
        <v>70.577600000000004</v>
      </c>
      <c r="E132" s="10">
        <f t="shared" ref="E132" si="83">D133</f>
        <v>13.657599999999931</v>
      </c>
      <c r="F132" s="10">
        <f>E133</f>
        <v>24.007600000000011</v>
      </c>
      <c r="G132" s="10">
        <f>F133</f>
        <v>82.177599999999998</v>
      </c>
      <c r="H132" s="10">
        <f>G133</f>
        <v>67.547599999999946</v>
      </c>
      <c r="I132" s="10">
        <f>H133</f>
        <v>27.397599999999983</v>
      </c>
      <c r="J132" s="10">
        <f t="shared" ref="J132:K132" si="84">I133</f>
        <v>65.677831171018624</v>
      </c>
      <c r="K132" s="10">
        <f t="shared" si="84"/>
        <v>49.145077383861121</v>
      </c>
      <c r="L132" s="22" t="s">
        <v>117</v>
      </c>
    </row>
    <row r="133" spans="2:12" x14ac:dyDescent="0.25">
      <c r="B133" s="1" t="s">
        <v>119</v>
      </c>
      <c r="C133" s="10">
        <f t="shared" ref="C133:E133" si="85">C132+C130</f>
        <v>403.97000000000014</v>
      </c>
      <c r="D133" s="10">
        <f t="shared" si="85"/>
        <v>13.657599999999931</v>
      </c>
      <c r="E133" s="10">
        <f t="shared" si="85"/>
        <v>24.007600000000011</v>
      </c>
      <c r="F133" s="10">
        <f>F132+F130</f>
        <v>82.177599999999998</v>
      </c>
      <c r="G133" s="10">
        <f>G132+G130</f>
        <v>67.547599999999946</v>
      </c>
      <c r="H133" s="10">
        <f>H132+H130</f>
        <v>27.397599999999983</v>
      </c>
      <c r="I133" s="10">
        <f>I130+I132</f>
        <v>65.677831171018624</v>
      </c>
      <c r="J133" s="10">
        <f t="shared" ref="J133:K133" si="86">J130+J132</f>
        <v>49.145077383861121</v>
      </c>
      <c r="K133" s="10">
        <f t="shared" si="86"/>
        <v>47.075291410628438</v>
      </c>
      <c r="L133" s="22" t="s">
        <v>116</v>
      </c>
    </row>
    <row r="134" spans="2:12" x14ac:dyDescent="0.25">
      <c r="C134" s="11"/>
      <c r="D134" s="11"/>
      <c r="E134" s="11"/>
      <c r="F134" s="11"/>
      <c r="G134" s="11"/>
      <c r="H134" s="11"/>
    </row>
    <row r="135" spans="2:12" x14ac:dyDescent="0.25">
      <c r="B135" s="1" t="s">
        <v>120</v>
      </c>
      <c r="C135" s="14">
        <f>C113+C115</f>
        <v>445.90000000000003</v>
      </c>
      <c r="D135" s="14">
        <f t="shared" ref="D135:G135" si="87">D113+D115</f>
        <v>-36.080000000000041</v>
      </c>
      <c r="E135" s="14">
        <f t="shared" si="87"/>
        <v>-253.05</v>
      </c>
      <c r="F135" s="14">
        <f t="shared" si="87"/>
        <v>188.53999999999996</v>
      </c>
      <c r="G135" s="14">
        <f t="shared" si="87"/>
        <v>-554.65</v>
      </c>
      <c r="H135" s="14">
        <f>H113+H115</f>
        <v>-153.54999999999984</v>
      </c>
      <c r="I135" s="14">
        <f t="shared" ref="I135:K135" si="88">I113+I115</f>
        <v>-165.35822913887023</v>
      </c>
      <c r="J135" s="14">
        <f t="shared" si="88"/>
        <v>288.69059890905112</v>
      </c>
      <c r="K135" s="14">
        <f t="shared" si="88"/>
        <v>643.52850947534398</v>
      </c>
      <c r="L135" s="22" t="s">
        <v>121</v>
      </c>
    </row>
    <row r="136" spans="2:12" x14ac:dyDescent="0.25">
      <c r="B136" s="1"/>
      <c r="C136" s="11"/>
      <c r="D136" s="11"/>
      <c r="E136" s="11"/>
      <c r="F136" s="11"/>
      <c r="G136" s="11"/>
    </row>
    <row r="137" spans="2:12" x14ac:dyDescent="0.25">
      <c r="C137" s="11"/>
      <c r="D137" s="11"/>
      <c r="E137" s="11"/>
      <c r="F137" s="11"/>
      <c r="G137" s="11"/>
    </row>
    <row r="138" spans="2:12" x14ac:dyDescent="0.25">
      <c r="C138" s="11"/>
      <c r="D138" s="11"/>
      <c r="E138" s="11"/>
      <c r="F138" s="11"/>
      <c r="G138" s="11"/>
    </row>
    <row r="139" spans="2:12" x14ac:dyDescent="0.25">
      <c r="C139" s="11"/>
      <c r="D139" s="11"/>
      <c r="E139" s="11"/>
      <c r="F139" s="11"/>
      <c r="G139" s="11"/>
    </row>
    <row r="140" spans="2:12" x14ac:dyDescent="0.25">
      <c r="C140" s="11"/>
      <c r="D140" s="11"/>
      <c r="E140" s="11"/>
      <c r="F140" s="11"/>
      <c r="G140" s="11"/>
    </row>
    <row r="141" spans="2:12" x14ac:dyDescent="0.25">
      <c r="C141" s="11"/>
      <c r="D141" s="11"/>
      <c r="E141" s="11"/>
      <c r="F141" s="11"/>
      <c r="G141" s="11"/>
    </row>
    <row r="142" spans="2:12" x14ac:dyDescent="0.25">
      <c r="C142" s="11"/>
      <c r="D142" s="11"/>
      <c r="E142" s="11"/>
      <c r="F142" s="11"/>
      <c r="G142" s="11"/>
    </row>
    <row r="143" spans="2:12" x14ac:dyDescent="0.25">
      <c r="C143" s="11"/>
      <c r="D143" s="11"/>
      <c r="E143" s="11"/>
      <c r="F143" s="11"/>
      <c r="G143" s="11"/>
    </row>
    <row r="144" spans="2:12" x14ac:dyDescent="0.25">
      <c r="C144" s="11"/>
      <c r="D144" s="11"/>
      <c r="E144" s="11"/>
      <c r="F144" s="11"/>
      <c r="G144" s="11"/>
    </row>
    <row r="145" spans="3:7" x14ac:dyDescent="0.25">
      <c r="C145" s="11"/>
      <c r="D145" s="11"/>
      <c r="E145" s="11"/>
      <c r="F145" s="11"/>
      <c r="G145" s="11"/>
    </row>
    <row r="146" spans="3:7" x14ac:dyDescent="0.25">
      <c r="C146" s="11"/>
      <c r="D146" s="11"/>
      <c r="E146" s="11"/>
      <c r="F146" s="11"/>
      <c r="G146" s="11"/>
    </row>
    <row r="147" spans="3:7" x14ac:dyDescent="0.25">
      <c r="C147" s="11"/>
      <c r="D147" s="11"/>
      <c r="E147" s="11"/>
      <c r="F147" s="11"/>
      <c r="G147" s="11"/>
    </row>
    <row r="148" spans="3:7" x14ac:dyDescent="0.25">
      <c r="C148" s="11"/>
      <c r="D148" s="11"/>
      <c r="E148" s="11"/>
      <c r="F148" s="11"/>
      <c r="G148" s="11"/>
    </row>
    <row r="149" spans="3:7" x14ac:dyDescent="0.25">
      <c r="C149" s="11"/>
      <c r="D149" s="11"/>
      <c r="E149" s="11"/>
      <c r="F149" s="11"/>
      <c r="G149" s="11"/>
    </row>
    <row r="150" spans="3:7" x14ac:dyDescent="0.25">
      <c r="C150" s="11"/>
      <c r="D150" s="11"/>
      <c r="E150" s="11"/>
      <c r="F150" s="11"/>
      <c r="G150" s="11"/>
    </row>
    <row r="151" spans="3:7" x14ac:dyDescent="0.25">
      <c r="C151" s="11"/>
      <c r="D151" s="11"/>
      <c r="E151" s="11"/>
      <c r="F151" s="11"/>
      <c r="G151" s="11"/>
    </row>
    <row r="152" spans="3:7" x14ac:dyDescent="0.25">
      <c r="C152" s="11"/>
      <c r="D152" s="11"/>
      <c r="E152" s="11"/>
      <c r="F152" s="11"/>
      <c r="G152" s="11"/>
    </row>
    <row r="153" spans="3:7" x14ac:dyDescent="0.25">
      <c r="C153" s="11"/>
      <c r="D153" s="11"/>
      <c r="E153" s="11"/>
      <c r="F153" s="11"/>
      <c r="G153" s="11"/>
    </row>
    <row r="154" spans="3:7" x14ac:dyDescent="0.25">
      <c r="C154" s="11"/>
      <c r="D154" s="11"/>
      <c r="E154" s="11"/>
      <c r="F154" s="11"/>
      <c r="G154" s="11"/>
    </row>
    <row r="155" spans="3:7" x14ac:dyDescent="0.25">
      <c r="C155" s="11"/>
      <c r="D155" s="11"/>
      <c r="E155" s="11"/>
      <c r="F155" s="11"/>
      <c r="G155" s="11"/>
    </row>
    <row r="156" spans="3:7" x14ac:dyDescent="0.25">
      <c r="C156" s="11"/>
      <c r="D156" s="11"/>
      <c r="E156" s="11"/>
      <c r="F156" s="11"/>
      <c r="G156" s="11"/>
    </row>
    <row r="157" spans="3:7" x14ac:dyDescent="0.25">
      <c r="C157" s="11"/>
      <c r="D157" s="11"/>
      <c r="E157" s="11"/>
      <c r="F157" s="11"/>
      <c r="G157" s="11"/>
    </row>
    <row r="158" spans="3:7" x14ac:dyDescent="0.25">
      <c r="C158" s="11"/>
      <c r="D158" s="11"/>
      <c r="E158" s="11"/>
      <c r="F158" s="11"/>
      <c r="G158" s="11"/>
    </row>
    <row r="159" spans="3:7" x14ac:dyDescent="0.25">
      <c r="C159" s="11"/>
      <c r="D159" s="11"/>
      <c r="E159" s="11"/>
      <c r="F159" s="11"/>
      <c r="G159" s="11"/>
    </row>
    <row r="160" spans="3:7" x14ac:dyDescent="0.25">
      <c r="C160" s="11"/>
      <c r="D160" s="11"/>
      <c r="E160" s="11"/>
      <c r="F160" s="11"/>
      <c r="G160" s="11"/>
    </row>
    <row r="161" spans="3:7" x14ac:dyDescent="0.25">
      <c r="C161" s="11"/>
      <c r="D161" s="11"/>
      <c r="E161" s="11"/>
      <c r="F161" s="11"/>
      <c r="G161" s="11"/>
    </row>
    <row r="162" spans="3:7" x14ac:dyDescent="0.25">
      <c r="C162" s="11"/>
      <c r="D162" s="11"/>
      <c r="E162" s="11"/>
      <c r="F162" s="11"/>
      <c r="G162" s="11"/>
    </row>
    <row r="163" spans="3:7" x14ac:dyDescent="0.25">
      <c r="C163" s="11"/>
      <c r="D163" s="11"/>
      <c r="E163" s="11"/>
      <c r="F163" s="11"/>
      <c r="G163" s="11"/>
    </row>
    <row r="164" spans="3:7" x14ac:dyDescent="0.25">
      <c r="C164" s="11"/>
      <c r="D164" s="11"/>
      <c r="E164" s="11"/>
      <c r="F164" s="11"/>
      <c r="G164" s="11"/>
    </row>
    <row r="165" spans="3:7" x14ac:dyDescent="0.25">
      <c r="C165" s="11"/>
      <c r="D165" s="11"/>
      <c r="E165" s="11"/>
      <c r="F165" s="11"/>
      <c r="G165" s="11"/>
    </row>
    <row r="166" spans="3:7" x14ac:dyDescent="0.25">
      <c r="C166" s="11"/>
      <c r="D166" s="11"/>
      <c r="E166" s="11"/>
      <c r="F166" s="11"/>
      <c r="G166" s="11"/>
    </row>
    <row r="167" spans="3:7" x14ac:dyDescent="0.25">
      <c r="C167" s="11"/>
      <c r="D167" s="11"/>
      <c r="E167" s="11"/>
      <c r="F167" s="11"/>
      <c r="G167" s="11"/>
    </row>
    <row r="168" spans="3:7" x14ac:dyDescent="0.25">
      <c r="C168" s="11"/>
      <c r="D168" s="11"/>
      <c r="E168" s="11"/>
      <c r="F168" s="11"/>
      <c r="G168" s="11"/>
    </row>
    <row r="169" spans="3:7" x14ac:dyDescent="0.25">
      <c r="C169" s="11"/>
      <c r="D169" s="11"/>
      <c r="E169" s="11"/>
      <c r="F169" s="11"/>
      <c r="G169" s="11"/>
    </row>
    <row r="170" spans="3:7" x14ac:dyDescent="0.25">
      <c r="C170" s="11"/>
      <c r="D170" s="11"/>
      <c r="E170" s="11"/>
      <c r="F170" s="11"/>
      <c r="G170" s="11"/>
    </row>
    <row r="171" spans="3:7" x14ac:dyDescent="0.25">
      <c r="C171" s="11"/>
      <c r="D171" s="11"/>
      <c r="E171" s="11"/>
      <c r="F171" s="11"/>
      <c r="G171" s="11"/>
    </row>
    <row r="172" spans="3:7" x14ac:dyDescent="0.25">
      <c r="C172" s="11"/>
      <c r="D172" s="11"/>
      <c r="E172" s="11"/>
      <c r="F172" s="11"/>
      <c r="G172" s="11"/>
    </row>
    <row r="173" spans="3:7" x14ac:dyDescent="0.25">
      <c r="C173" s="11"/>
      <c r="D173" s="11"/>
      <c r="E173" s="11"/>
      <c r="F173" s="11"/>
      <c r="G173" s="11"/>
    </row>
    <row r="174" spans="3:7" x14ac:dyDescent="0.25">
      <c r="C174" s="11"/>
      <c r="D174" s="11"/>
      <c r="E174" s="11"/>
      <c r="F174" s="11"/>
      <c r="G174" s="11"/>
    </row>
    <row r="175" spans="3:7" x14ac:dyDescent="0.25">
      <c r="C175" s="11"/>
      <c r="D175" s="11"/>
      <c r="E175" s="11"/>
      <c r="F175" s="11"/>
      <c r="G175" s="11"/>
    </row>
    <row r="176" spans="3:7" x14ac:dyDescent="0.25">
      <c r="C176" s="11"/>
      <c r="D176" s="11"/>
      <c r="E176" s="11"/>
      <c r="F176" s="11"/>
      <c r="G176" s="11"/>
    </row>
    <row r="177" spans="3:7" x14ac:dyDescent="0.25">
      <c r="C177" s="11"/>
      <c r="D177" s="11"/>
      <c r="E177" s="11"/>
      <c r="F177" s="11"/>
      <c r="G177" s="11"/>
    </row>
    <row r="178" spans="3:7" x14ac:dyDescent="0.25">
      <c r="C178" s="11"/>
      <c r="D178" s="11"/>
      <c r="E178" s="11"/>
      <c r="F178" s="11"/>
      <c r="G178" s="11"/>
    </row>
    <row r="179" spans="3:7" x14ac:dyDescent="0.25">
      <c r="C179" s="11"/>
      <c r="D179" s="11"/>
      <c r="E179" s="11"/>
      <c r="F179" s="11"/>
      <c r="G179" s="11"/>
    </row>
    <row r="180" spans="3:7" x14ac:dyDescent="0.25">
      <c r="C180" s="11"/>
      <c r="D180" s="11"/>
      <c r="E180" s="11"/>
      <c r="F180" s="11"/>
      <c r="G180" s="11"/>
    </row>
    <row r="181" spans="3:7" x14ac:dyDescent="0.25">
      <c r="C181" s="11"/>
      <c r="D181" s="11"/>
      <c r="E181" s="11"/>
      <c r="F181" s="11"/>
      <c r="G181" s="11"/>
    </row>
    <row r="182" spans="3:7" x14ac:dyDescent="0.25">
      <c r="C182" s="11"/>
      <c r="D182" s="11"/>
      <c r="E182" s="11"/>
      <c r="F182" s="11"/>
      <c r="G182" s="11"/>
    </row>
    <row r="183" spans="3:7" x14ac:dyDescent="0.25">
      <c r="C183" s="11"/>
      <c r="D183" s="11"/>
      <c r="E183" s="11"/>
      <c r="F183" s="11"/>
      <c r="G183" s="11"/>
    </row>
    <row r="184" spans="3:7" x14ac:dyDescent="0.25">
      <c r="C184" s="11"/>
      <c r="D184" s="11"/>
      <c r="E184" s="11"/>
      <c r="F184" s="11"/>
      <c r="G184" s="11"/>
    </row>
    <row r="185" spans="3:7" x14ac:dyDescent="0.25">
      <c r="C185" s="11"/>
      <c r="D185" s="11"/>
      <c r="E185" s="11"/>
      <c r="F185" s="11"/>
      <c r="G185" s="11"/>
    </row>
    <row r="186" spans="3:7" x14ac:dyDescent="0.25">
      <c r="C186" s="11"/>
      <c r="D186" s="11"/>
      <c r="E186" s="11"/>
      <c r="F186" s="11"/>
      <c r="G186" s="11"/>
    </row>
    <row r="187" spans="3:7" x14ac:dyDescent="0.25">
      <c r="C187" s="11"/>
      <c r="D187" s="11"/>
      <c r="E187" s="11"/>
      <c r="F187" s="11"/>
      <c r="G187" s="11"/>
    </row>
    <row r="188" spans="3:7" x14ac:dyDescent="0.25">
      <c r="C188" s="11"/>
      <c r="D188" s="11"/>
      <c r="E188" s="11"/>
      <c r="F188" s="11"/>
      <c r="G188" s="11"/>
    </row>
    <row r="189" spans="3:7" x14ac:dyDescent="0.25">
      <c r="C189" s="11"/>
      <c r="D189" s="11"/>
      <c r="E189" s="11"/>
      <c r="F189" s="11"/>
      <c r="G189" s="11"/>
    </row>
    <row r="190" spans="3:7" x14ac:dyDescent="0.25">
      <c r="C190" s="11"/>
      <c r="D190" s="11"/>
      <c r="E190" s="11"/>
      <c r="F190" s="11"/>
      <c r="G190" s="11"/>
    </row>
    <row r="191" spans="3:7" x14ac:dyDescent="0.25">
      <c r="C191" s="11"/>
      <c r="D191" s="11"/>
      <c r="E191" s="11"/>
      <c r="F191" s="11"/>
      <c r="G191" s="11"/>
    </row>
    <row r="192" spans="3:7" x14ac:dyDescent="0.25">
      <c r="C192" s="11"/>
      <c r="D192" s="11"/>
      <c r="E192" s="11"/>
      <c r="F192" s="11"/>
      <c r="G192" s="11"/>
    </row>
    <row r="193" spans="3:7" x14ac:dyDescent="0.25">
      <c r="C193" s="11"/>
      <c r="D193" s="11"/>
      <c r="E193" s="11"/>
      <c r="F193" s="11"/>
      <c r="G193" s="11"/>
    </row>
    <row r="194" spans="3:7" x14ac:dyDescent="0.25">
      <c r="C194" s="11"/>
      <c r="D194" s="11"/>
      <c r="E194" s="11"/>
      <c r="F194" s="11"/>
      <c r="G194" s="11"/>
    </row>
    <row r="195" spans="3:7" x14ac:dyDescent="0.25">
      <c r="C195" s="11"/>
      <c r="D195" s="11"/>
      <c r="E195" s="11"/>
      <c r="F195" s="11"/>
      <c r="G195" s="11"/>
    </row>
    <row r="196" spans="3:7" x14ac:dyDescent="0.25">
      <c r="C196" s="11"/>
      <c r="D196" s="11"/>
      <c r="E196" s="11"/>
      <c r="F196" s="11"/>
      <c r="G196" s="11"/>
    </row>
    <row r="197" spans="3:7" x14ac:dyDescent="0.25">
      <c r="C197" s="11"/>
      <c r="D197" s="11"/>
      <c r="E197" s="11"/>
      <c r="F197" s="11"/>
      <c r="G197" s="11"/>
    </row>
    <row r="198" spans="3:7" x14ac:dyDescent="0.25">
      <c r="C198" s="11"/>
      <c r="D198" s="11"/>
      <c r="E198" s="11"/>
      <c r="F198" s="11"/>
      <c r="G198" s="11"/>
    </row>
    <row r="199" spans="3:7" x14ac:dyDescent="0.25">
      <c r="C199" s="11"/>
      <c r="D199" s="11"/>
      <c r="E199" s="11"/>
      <c r="F199" s="11"/>
      <c r="G199" s="11"/>
    </row>
    <row r="200" spans="3:7" x14ac:dyDescent="0.25">
      <c r="C200" s="11"/>
      <c r="D200" s="11"/>
      <c r="E200" s="11"/>
      <c r="F200" s="11"/>
      <c r="G200" s="11"/>
    </row>
    <row r="201" spans="3:7" x14ac:dyDescent="0.25">
      <c r="C201" s="11"/>
      <c r="D201" s="11"/>
      <c r="E201" s="11"/>
      <c r="F201" s="11"/>
      <c r="G201" s="11"/>
    </row>
    <row r="202" spans="3:7" x14ac:dyDescent="0.25">
      <c r="C202" s="11"/>
      <c r="D202" s="11"/>
      <c r="E202" s="11"/>
      <c r="F202" s="11"/>
      <c r="G202" s="11"/>
    </row>
    <row r="203" spans="3:7" x14ac:dyDescent="0.25">
      <c r="C203" s="11"/>
      <c r="D203" s="11"/>
      <c r="E203" s="11"/>
      <c r="F203" s="11"/>
      <c r="G20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5" x14ac:dyDescent="0.25"/>
  <cols>
    <col min="1" max="1" width="2.7109375" customWidth="1"/>
    <col min="2" max="2" width="26" bestFit="1" customWidth="1"/>
    <col min="3" max="8" width="11.85546875" customWidth="1"/>
    <col min="9" max="9" width="11.85546875" bestFit="1" customWidth="1"/>
    <col min="10" max="11" width="11.5703125" bestFit="1" customWidth="1"/>
    <col min="12" max="12" width="8.7109375" style="22"/>
  </cols>
  <sheetData>
    <row r="1" spans="2:12" ht="14.45" x14ac:dyDescent="0.35">
      <c r="C1" s="24" t="s">
        <v>82</v>
      </c>
      <c r="D1" s="24" t="s">
        <v>82</v>
      </c>
      <c r="H1" s="24"/>
      <c r="I1" s="24" t="s">
        <v>154</v>
      </c>
      <c r="J1" s="24" t="s">
        <v>154</v>
      </c>
      <c r="K1" s="24" t="s">
        <v>154</v>
      </c>
    </row>
    <row r="2" spans="2:12" s="1" customFormat="1" ht="14.45" x14ac:dyDescent="0.35">
      <c r="B2" s="1" t="s">
        <v>58</v>
      </c>
      <c r="C2" s="6">
        <v>42094</v>
      </c>
      <c r="D2" s="6">
        <v>42460</v>
      </c>
      <c r="E2" s="6">
        <v>42825</v>
      </c>
      <c r="F2" s="6">
        <v>43190</v>
      </c>
      <c r="G2" s="6">
        <v>43555</v>
      </c>
      <c r="H2" s="6">
        <v>43921</v>
      </c>
      <c r="I2" s="7">
        <v>44286</v>
      </c>
      <c r="J2" s="7">
        <v>44651</v>
      </c>
      <c r="K2" s="7">
        <v>45016</v>
      </c>
      <c r="L2" s="22"/>
    </row>
    <row r="4" spans="2:12" ht="14.45" x14ac:dyDescent="0.35">
      <c r="B4" s="2" t="s">
        <v>152</v>
      </c>
      <c r="C4" s="25">
        <v>258668</v>
      </c>
      <c r="D4" s="25">
        <v>275573</v>
      </c>
      <c r="E4" s="25">
        <v>309540</v>
      </c>
      <c r="F4" s="25">
        <v>320683</v>
      </c>
      <c r="G4" s="25">
        <v>343131</v>
      </c>
      <c r="H4" s="25">
        <v>327347</v>
      </c>
      <c r="I4" s="42">
        <f>(1+I5)*H4</f>
        <v>343714.35000000003</v>
      </c>
      <c r="J4" s="42">
        <f t="shared" ref="J4:K4" si="0">(1+J5)*I4</f>
        <v>360900.06750000006</v>
      </c>
      <c r="K4" s="42">
        <f t="shared" si="0"/>
        <v>378945.07087500009</v>
      </c>
      <c r="L4" s="22" t="s">
        <v>160</v>
      </c>
    </row>
    <row r="5" spans="2:12" ht="14.45" x14ac:dyDescent="0.35">
      <c r="B5" s="2" t="s">
        <v>57</v>
      </c>
      <c r="C5" s="26"/>
      <c r="D5" s="39">
        <f t="shared" ref="D5:H5" si="1">D4/C4-1</f>
        <v>6.5354044566780622E-2</v>
      </c>
      <c r="E5" s="39">
        <f t="shared" si="1"/>
        <v>0.12325953558585212</v>
      </c>
      <c r="F5" s="39">
        <f t="shared" si="1"/>
        <v>3.5998578535892056E-2</v>
      </c>
      <c r="G5" s="39">
        <f t="shared" si="1"/>
        <v>7.0000592485413904E-2</v>
      </c>
      <c r="H5" s="39">
        <f t="shared" si="1"/>
        <v>-4.5999924227190236E-2</v>
      </c>
      <c r="I5" s="41">
        <v>0.05</v>
      </c>
      <c r="J5" s="41">
        <v>0.05</v>
      </c>
      <c r="K5" s="41">
        <v>0.05</v>
      </c>
    </row>
    <row r="6" spans="2:12" ht="14.45" x14ac:dyDescent="0.35">
      <c r="B6" s="2"/>
      <c r="C6" s="2"/>
      <c r="D6" s="2"/>
      <c r="E6" s="2"/>
      <c r="F6" s="2"/>
      <c r="G6" s="2"/>
      <c r="H6" s="2"/>
      <c r="I6" s="5"/>
      <c r="J6" s="5"/>
      <c r="K6" s="5"/>
    </row>
    <row r="7" spans="2:12" ht="14.45" x14ac:dyDescent="0.35">
      <c r="B7" s="2" t="s">
        <v>145</v>
      </c>
      <c r="C7" s="27">
        <f>Model!C10</f>
        <v>5802.38</v>
      </c>
      <c r="D7" s="27">
        <f>Model!D10</f>
        <v>5483.55</v>
      </c>
      <c r="E7" s="27">
        <f>Model!E10</f>
        <v>5766.51</v>
      </c>
      <c r="F7" s="27">
        <f>Model!F10</f>
        <v>6283.42</v>
      </c>
      <c r="G7" s="27">
        <f>Model!G10</f>
        <v>6984.51</v>
      </c>
      <c r="H7" s="27">
        <f>Model!H10</f>
        <v>6778.83</v>
      </c>
      <c r="I7" s="44">
        <f>I4*I17/10^7</f>
        <v>7260.1269300000013</v>
      </c>
      <c r="J7" s="44">
        <f t="shared" ref="J7:K7" si="2">J4*J17/10^7</f>
        <v>7775.5959420300014</v>
      </c>
      <c r="K7" s="44">
        <f t="shared" si="2"/>
        <v>8327.6632539141319</v>
      </c>
      <c r="L7" s="22" t="s">
        <v>164</v>
      </c>
    </row>
    <row r="8" spans="2:12" ht="14.45" x14ac:dyDescent="0.35">
      <c r="B8" s="2" t="s">
        <v>3</v>
      </c>
      <c r="C8" s="27">
        <f>Model!C15</f>
        <v>3533.33</v>
      </c>
      <c r="D8" s="27">
        <f>Model!D15</f>
        <v>3090.85</v>
      </c>
      <c r="E8" s="27">
        <f>Model!E15</f>
        <v>3399.7700000000004</v>
      </c>
      <c r="F8" s="27">
        <f>Model!F15</f>
        <v>3810</v>
      </c>
      <c r="G8" s="27">
        <f>Model!G15</f>
        <v>4181.8099999999995</v>
      </c>
      <c r="H8" s="27">
        <f>Model!H15</f>
        <v>3915.08</v>
      </c>
      <c r="I8" s="44">
        <f>I4*I20/10^7</f>
        <v>4193.0506800000012</v>
      </c>
      <c r="J8" s="44">
        <f t="shared" ref="J8:K8" si="3">J4*J20/10^7</f>
        <v>4490.7572782800007</v>
      </c>
      <c r="K8" s="44">
        <f t="shared" si="3"/>
        <v>4809.6010450378817</v>
      </c>
      <c r="L8" s="22" t="s">
        <v>165</v>
      </c>
    </row>
    <row r="9" spans="2:12" ht="14.45" x14ac:dyDescent="0.35">
      <c r="B9" s="2" t="s">
        <v>59</v>
      </c>
      <c r="C9" s="27">
        <f>Model!C21</f>
        <v>378.89</v>
      </c>
      <c r="D9" s="27">
        <f>Model!D21</f>
        <v>388.25</v>
      </c>
      <c r="E9" s="27">
        <f>Model!E21</f>
        <v>406.31</v>
      </c>
      <c r="F9" s="27">
        <f>Model!F21</f>
        <v>438.27</v>
      </c>
      <c r="G9" s="27">
        <f>Model!G21</f>
        <v>530.05999999999995</v>
      </c>
      <c r="H9" s="27">
        <f>Model!H21</f>
        <v>541.77</v>
      </c>
      <c r="I9" s="42">
        <f>(1+I10)*H9</f>
        <v>568.85850000000005</v>
      </c>
      <c r="J9" s="42">
        <f t="shared" ref="J9" si="4">(1+J10)*I9</f>
        <v>597.30142500000011</v>
      </c>
      <c r="K9" s="42">
        <f t="shared" ref="K9" si="5">(1+K10)*J9</f>
        <v>627.16649625000014</v>
      </c>
      <c r="L9" s="22" t="s">
        <v>163</v>
      </c>
    </row>
    <row r="10" spans="2:12" ht="14.45" x14ac:dyDescent="0.35">
      <c r="B10" s="2" t="s">
        <v>57</v>
      </c>
      <c r="C10" s="26"/>
      <c r="D10" s="39">
        <f t="shared" ref="D10" si="6">D9/C9-1</f>
        <v>2.470373987173069E-2</v>
      </c>
      <c r="E10" s="39">
        <f t="shared" ref="E10" si="7">E9/D9-1</f>
        <v>4.6516419832582034E-2</v>
      </c>
      <c r="F10" s="39">
        <f t="shared" ref="F10" si="8">F9/E9-1</f>
        <v>7.8659151879107103E-2</v>
      </c>
      <c r="G10" s="39">
        <f t="shared" ref="G10:H10" si="9">G9/F9-1</f>
        <v>0.20943710498094781</v>
      </c>
      <c r="H10" s="39">
        <f t="shared" si="9"/>
        <v>2.2091838659774377E-2</v>
      </c>
      <c r="I10" s="41">
        <v>0.05</v>
      </c>
      <c r="J10" s="41">
        <v>0.05</v>
      </c>
      <c r="K10" s="41">
        <v>0.05</v>
      </c>
    </row>
    <row r="11" spans="2:12" ht="14.45" x14ac:dyDescent="0.35">
      <c r="B11" s="2" t="s">
        <v>144</v>
      </c>
      <c r="C11" s="27">
        <f>Model!C22</f>
        <v>1209.52</v>
      </c>
      <c r="D11" s="27">
        <f>Model!D22</f>
        <v>1231.24</v>
      </c>
      <c r="E11" s="27">
        <f>Model!E22</f>
        <v>1303.6500000000001</v>
      </c>
      <c r="F11" s="27">
        <f>Model!F22</f>
        <v>1420.38</v>
      </c>
      <c r="G11" s="27">
        <f>Model!G22</f>
        <v>1630.1</v>
      </c>
      <c r="H11" s="27">
        <f>Model!H22</f>
        <v>1598.14</v>
      </c>
      <c r="I11" s="42">
        <f>I12*I7</f>
        <v>1669.8291939000003</v>
      </c>
      <c r="J11" s="42">
        <f t="shared" ref="J11:K11" si="10">J12*J7</f>
        <v>1788.3870666669004</v>
      </c>
      <c r="K11" s="42">
        <f t="shared" si="10"/>
        <v>1915.3625484002505</v>
      </c>
      <c r="L11" s="22" t="s">
        <v>166</v>
      </c>
    </row>
    <row r="12" spans="2:12" ht="14.45" x14ac:dyDescent="0.35">
      <c r="B12" s="2" t="s">
        <v>62</v>
      </c>
      <c r="C12" s="39">
        <f t="shared" ref="C12" si="11">+C11/C7</f>
        <v>0.20845239367294111</v>
      </c>
      <c r="D12" s="39">
        <f t="shared" ref="D12:G12" si="12">+D11/D7</f>
        <v>0.22453337710060089</v>
      </c>
      <c r="E12" s="39">
        <f t="shared" si="12"/>
        <v>0.22607261584563282</v>
      </c>
      <c r="F12" s="39">
        <f t="shared" si="12"/>
        <v>0.22605205445442134</v>
      </c>
      <c r="G12" s="39">
        <f t="shared" si="12"/>
        <v>0.23338788261452842</v>
      </c>
      <c r="H12" s="39">
        <f t="shared" ref="H12" si="13">+H11/H7</f>
        <v>0.23575454761367376</v>
      </c>
      <c r="I12" s="41">
        <v>0.23</v>
      </c>
      <c r="J12" s="41">
        <v>0.23</v>
      </c>
      <c r="K12" s="41">
        <v>0.23</v>
      </c>
    </row>
    <row r="13" spans="2:12" ht="14.45" x14ac:dyDescent="0.35">
      <c r="B13" s="2"/>
      <c r="C13" s="27"/>
      <c r="D13" s="27"/>
      <c r="E13" s="27"/>
      <c r="F13" s="27"/>
      <c r="G13" s="27"/>
      <c r="H13" s="27"/>
      <c r="I13" s="5"/>
      <c r="J13" s="5"/>
      <c r="K13" s="5"/>
    </row>
    <row r="14" spans="2:12" ht="14.45" x14ac:dyDescent="0.35">
      <c r="B14" s="2" t="s">
        <v>61</v>
      </c>
      <c r="C14" s="27">
        <f>Model!C24</f>
        <v>680.64000000000033</v>
      </c>
      <c r="D14" s="27">
        <f>Model!D24</f>
        <v>773.21000000000026</v>
      </c>
      <c r="E14" s="27">
        <f>Model!E24</f>
        <v>656.77999999999975</v>
      </c>
      <c r="F14" s="27">
        <f>Model!F24</f>
        <v>614.77</v>
      </c>
      <c r="G14" s="27">
        <f>Model!G24</f>
        <v>642.54000000000087</v>
      </c>
      <c r="H14" s="27">
        <f>Model!H24</f>
        <v>723.83999999999992</v>
      </c>
      <c r="I14" s="45">
        <f>I7-I8-I9-I11</f>
        <v>828.38855609999951</v>
      </c>
      <c r="J14" s="45">
        <f t="shared" ref="J14:K14" si="14">J7-J8-J9-J11</f>
        <v>899.15017208310019</v>
      </c>
      <c r="K14" s="45">
        <f t="shared" si="14"/>
        <v>975.53316422599983</v>
      </c>
      <c r="L14" s="22" t="s">
        <v>167</v>
      </c>
    </row>
    <row r="15" spans="2:12" ht="14.45" x14ac:dyDescent="0.35">
      <c r="B15" s="2"/>
      <c r="C15" s="2"/>
      <c r="D15" s="2"/>
      <c r="E15" s="2"/>
      <c r="F15" s="2"/>
      <c r="G15" s="2"/>
      <c r="H15" s="2"/>
      <c r="I15" s="5"/>
      <c r="J15" s="5"/>
      <c r="K15" s="5"/>
    </row>
    <row r="16" spans="2:12" s="37" customFormat="1" ht="14.45" x14ac:dyDescent="0.35">
      <c r="B16" s="36" t="s">
        <v>60</v>
      </c>
      <c r="C16" s="36"/>
      <c r="D16" s="36"/>
      <c r="E16" s="36"/>
      <c r="F16" s="36"/>
      <c r="G16" s="36"/>
      <c r="H16" s="36"/>
      <c r="L16" s="38"/>
    </row>
    <row r="17" spans="2:12" ht="14.45" x14ac:dyDescent="0.35">
      <c r="B17" s="2" t="s">
        <v>146</v>
      </c>
      <c r="C17" s="27">
        <f t="shared" ref="C17:H17" si="15">C7*10^7/C$4</f>
        <v>224317.65815640124</v>
      </c>
      <c r="D17" s="27">
        <f t="shared" si="15"/>
        <v>198987.20121347156</v>
      </c>
      <c r="E17" s="27">
        <f t="shared" si="15"/>
        <v>186292.88621825934</v>
      </c>
      <c r="F17" s="27">
        <f t="shared" si="15"/>
        <v>195938.6684046239</v>
      </c>
      <c r="G17" s="27">
        <f t="shared" si="15"/>
        <v>203552.28761027131</v>
      </c>
      <c r="H17" s="27">
        <f t="shared" si="15"/>
        <v>207083.92012146133</v>
      </c>
      <c r="I17" s="27">
        <f>(1+I18)*H17</f>
        <v>211225.59852389057</v>
      </c>
      <c r="J17" s="27">
        <f t="shared" ref="J17:K17" si="16">(1+J18)*I17</f>
        <v>215450.11049436839</v>
      </c>
      <c r="K17" s="27">
        <f t="shared" si="16"/>
        <v>219759.11270425576</v>
      </c>
      <c r="L17" s="22" t="s">
        <v>161</v>
      </c>
    </row>
    <row r="18" spans="2:12" ht="14.45" x14ac:dyDescent="0.35">
      <c r="B18" s="2" t="s">
        <v>57</v>
      </c>
      <c r="C18" s="39"/>
      <c r="D18" s="39">
        <f t="shared" ref="D18:H18" si="17">D17/C17-1</f>
        <v>-0.11292226011591344</v>
      </c>
      <c r="E18" s="39">
        <f t="shared" si="17"/>
        <v>-6.3794630598346225E-2</v>
      </c>
      <c r="F18" s="39">
        <f t="shared" si="17"/>
        <v>5.1777512186179875E-2</v>
      </c>
      <c r="G18" s="39">
        <f t="shared" si="17"/>
        <v>3.8857154984461184E-2</v>
      </c>
      <c r="H18" s="39">
        <f t="shared" si="17"/>
        <v>1.735000157773614E-2</v>
      </c>
      <c r="I18" s="43">
        <v>0.02</v>
      </c>
      <c r="J18" s="43">
        <v>0.02</v>
      </c>
      <c r="K18" s="43">
        <v>0.02</v>
      </c>
    </row>
    <row r="19" spans="2:12" s="5" customFormat="1" ht="14.45" x14ac:dyDescent="0.35">
      <c r="B19" s="28"/>
      <c r="C19" s="26"/>
      <c r="D19" s="26"/>
      <c r="E19" s="26"/>
      <c r="F19" s="26"/>
      <c r="G19" s="26"/>
      <c r="H19" s="26"/>
      <c r="L19" s="22"/>
    </row>
    <row r="20" spans="2:12" ht="14.45" x14ac:dyDescent="0.35">
      <c r="B20" s="2" t="s">
        <v>147</v>
      </c>
      <c r="C20" s="27">
        <f t="shared" ref="C20:H20" si="18">C8*10^7/C$4</f>
        <v>136597.10516956099</v>
      </c>
      <c r="D20" s="27">
        <f t="shared" si="18"/>
        <v>112160.84304340411</v>
      </c>
      <c r="E20" s="27">
        <f t="shared" si="18"/>
        <v>109832.97796730633</v>
      </c>
      <c r="F20" s="27">
        <f t="shared" si="18"/>
        <v>118808.9172173143</v>
      </c>
      <c r="G20" s="27">
        <f t="shared" si="18"/>
        <v>121872.11298308807</v>
      </c>
      <c r="H20" s="27">
        <f t="shared" si="18"/>
        <v>119600.30182039243</v>
      </c>
      <c r="I20" s="27">
        <f>(1+I21)*H20</f>
        <v>121992.30785680028</v>
      </c>
      <c r="J20" s="27">
        <f t="shared" ref="J20" si="19">(1+J21)*I20</f>
        <v>124432.15401393629</v>
      </c>
      <c r="K20" s="27">
        <f t="shared" ref="K20" si="20">(1+K21)*J20</f>
        <v>126920.79709421501</v>
      </c>
      <c r="L20" s="22" t="s">
        <v>162</v>
      </c>
    </row>
    <row r="21" spans="2:12" ht="14.45" x14ac:dyDescent="0.35">
      <c r="B21" s="2" t="s">
        <v>57</v>
      </c>
      <c r="C21" s="26"/>
      <c r="D21" s="39">
        <f t="shared" ref="D21:H21" si="21">D20/C20-1</f>
        <v>-0.17889297211550437</v>
      </c>
      <c r="E21" s="39">
        <f t="shared" si="21"/>
        <v>-2.075470380689759E-2</v>
      </c>
      <c r="F21" s="39">
        <f t="shared" si="21"/>
        <v>8.1723535281724047E-2</v>
      </c>
      <c r="G21" s="39">
        <f t="shared" si="21"/>
        <v>2.5782540885974425E-2</v>
      </c>
      <c r="H21" s="39">
        <f t="shared" si="21"/>
        <v>-1.864094342083733E-2</v>
      </c>
      <c r="I21" s="43">
        <v>0.02</v>
      </c>
      <c r="J21" s="43">
        <v>0.02</v>
      </c>
      <c r="K21" s="43">
        <v>0.02</v>
      </c>
    </row>
    <row r="22" spans="2:12" ht="14.45" x14ac:dyDescent="0.35">
      <c r="B22" s="2"/>
      <c r="C22" s="27"/>
      <c r="D22" s="27"/>
      <c r="E22" s="27"/>
      <c r="F22" s="27"/>
      <c r="G22" s="27"/>
      <c r="H22" s="27"/>
      <c r="I22" s="5"/>
      <c r="J22" s="5"/>
      <c r="K22" s="5"/>
    </row>
    <row r="23" spans="2:12" ht="14.45" x14ac:dyDescent="0.35">
      <c r="B23" s="2" t="s">
        <v>148</v>
      </c>
      <c r="C23" s="2">
        <f t="shared" ref="C23:G23" si="22">C17-C20</f>
        <v>87720.552986840252</v>
      </c>
      <c r="D23" s="2">
        <f t="shared" si="22"/>
        <v>86826.358170067455</v>
      </c>
      <c r="E23" s="2">
        <f t="shared" si="22"/>
        <v>76459.908250953013</v>
      </c>
      <c r="F23" s="2">
        <f t="shared" si="22"/>
        <v>77129.751187309594</v>
      </c>
      <c r="G23" s="2">
        <f t="shared" si="22"/>
        <v>81680.174627183238</v>
      </c>
      <c r="H23" s="2">
        <f t="shared" ref="H23:K23" si="23">H17-H20</f>
        <v>87483.618301068898</v>
      </c>
      <c r="I23" s="2">
        <f t="shared" si="23"/>
        <v>89233.290667090288</v>
      </c>
      <c r="J23" s="2">
        <f t="shared" si="23"/>
        <v>91017.956480432098</v>
      </c>
      <c r="K23" s="2">
        <f t="shared" si="23"/>
        <v>92838.31561004075</v>
      </c>
      <c r="L23" s="22" t="s">
        <v>168</v>
      </c>
    </row>
    <row r="24" spans="2:12" ht="14.45" x14ac:dyDescent="0.35">
      <c r="B24" s="2"/>
      <c r="C24" s="2"/>
      <c r="D24" s="2"/>
      <c r="E24" s="2"/>
      <c r="F24" s="2"/>
      <c r="G24" s="2"/>
      <c r="H24" s="2"/>
      <c r="I24" s="5"/>
      <c r="J24" s="5"/>
      <c r="K24" s="5"/>
    </row>
    <row r="25" spans="2:12" ht="14.45" x14ac:dyDescent="0.35">
      <c r="B25" s="2" t="s">
        <v>149</v>
      </c>
      <c r="C25" s="2">
        <f t="shared" ref="C25:H25" si="24">C9*10^7/C$4</f>
        <v>14647.733774568173</v>
      </c>
      <c r="D25" s="2">
        <f t="shared" si="24"/>
        <v>14088.825828364897</v>
      </c>
      <c r="E25" s="2">
        <f t="shared" si="24"/>
        <v>13126.251857595142</v>
      </c>
      <c r="F25" s="2">
        <f t="shared" si="24"/>
        <v>13666.767493131847</v>
      </c>
      <c r="G25" s="2">
        <f t="shared" si="24"/>
        <v>15447.744447455925</v>
      </c>
      <c r="H25" s="2">
        <f t="shared" si="24"/>
        <v>16550.327328492396</v>
      </c>
      <c r="I25" s="2">
        <f t="shared" ref="I25:K25" si="25">I9*10^7/I$4</f>
        <v>16550.327328492396</v>
      </c>
      <c r="J25" s="2">
        <f t="shared" si="25"/>
        <v>16550.327328492396</v>
      </c>
      <c r="K25" s="2">
        <f t="shared" si="25"/>
        <v>16550.327328492393</v>
      </c>
      <c r="L25" s="22" t="s">
        <v>168</v>
      </c>
    </row>
    <row r="26" spans="2:12" ht="14.45" x14ac:dyDescent="0.35">
      <c r="B26" s="2" t="s">
        <v>150</v>
      </c>
      <c r="C26" s="2">
        <f t="shared" ref="C26:H26" si="26">C11*10^7/C$4</f>
        <v>46759.552785810381</v>
      </c>
      <c r="D26" s="2">
        <f t="shared" si="26"/>
        <v>44679.268288257561</v>
      </c>
      <c r="E26" s="2">
        <f t="shared" si="26"/>
        <v>42115.72010079473</v>
      </c>
      <c r="F26" s="2">
        <f t="shared" si="26"/>
        <v>44292.338539928845</v>
      </c>
      <c r="G26" s="2">
        <f t="shared" si="26"/>
        <v>47506.637406704729</v>
      </c>
      <c r="H26" s="2">
        <f t="shared" si="26"/>
        <v>48820.975906301268</v>
      </c>
      <c r="I26" s="2">
        <f t="shared" ref="I26:K26" si="27">I11*10^7/I$4</f>
        <v>48581.887660494831</v>
      </c>
      <c r="J26" s="2">
        <f t="shared" si="27"/>
        <v>49553.525413704723</v>
      </c>
      <c r="K26" s="2">
        <f t="shared" si="27"/>
        <v>50544.595921978827</v>
      </c>
      <c r="L26" s="22" t="s">
        <v>168</v>
      </c>
    </row>
    <row r="27" spans="2:12" ht="14.45" x14ac:dyDescent="0.35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2" ht="14.45" x14ac:dyDescent="0.35">
      <c r="B28" s="2" t="s">
        <v>151</v>
      </c>
      <c r="C28" s="2">
        <f t="shared" ref="C28:H28" si="28">C23-C25-C26</f>
        <v>26313.266426461698</v>
      </c>
      <c r="D28" s="2">
        <f t="shared" si="28"/>
        <v>28058.264053444989</v>
      </c>
      <c r="E28" s="2">
        <f t="shared" si="28"/>
        <v>21217.936292563143</v>
      </c>
      <c r="F28" s="2">
        <f t="shared" si="28"/>
        <v>19170.645154248901</v>
      </c>
      <c r="G28" s="2">
        <f t="shared" si="28"/>
        <v>18725.792773022578</v>
      </c>
      <c r="H28" s="2">
        <f t="shared" si="28"/>
        <v>22112.315066275238</v>
      </c>
      <c r="I28" s="2">
        <f t="shared" ref="I28:K28" si="29">I23-I25-I26</f>
        <v>24101.075678103065</v>
      </c>
      <c r="J28" s="2">
        <f t="shared" si="29"/>
        <v>24914.103738234982</v>
      </c>
      <c r="K28" s="2">
        <f t="shared" si="29"/>
        <v>25743.392359569531</v>
      </c>
      <c r="L28" s="22" t="s">
        <v>168</v>
      </c>
    </row>
    <row r="29" spans="2:12" ht="14.45" x14ac:dyDescent="0.35">
      <c r="B29" s="2"/>
      <c r="C29" s="27"/>
      <c r="D29" s="27"/>
      <c r="E29" s="27"/>
      <c r="F29" s="27"/>
      <c r="G29" s="27"/>
      <c r="H29" s="27"/>
      <c r="I29" s="5"/>
      <c r="J29" s="5"/>
      <c r="K29" s="5"/>
    </row>
    <row r="30" spans="2:12" ht="14.45" x14ac:dyDescent="0.35">
      <c r="B30" s="2"/>
      <c r="C30" s="2"/>
      <c r="D30" s="2"/>
      <c r="E30" s="2"/>
      <c r="F30" s="2"/>
      <c r="G30" s="2"/>
      <c r="H30" s="2"/>
    </row>
    <row r="31" spans="2:12" s="37" customFormat="1" ht="14.45" x14ac:dyDescent="0.35">
      <c r="B31" s="36" t="s">
        <v>107</v>
      </c>
      <c r="C31" s="36"/>
      <c r="D31" s="36"/>
      <c r="E31" s="36"/>
      <c r="F31" s="36"/>
      <c r="G31" s="36"/>
      <c r="H31" s="36"/>
      <c r="L31" s="38"/>
    </row>
    <row r="32" spans="2:12" ht="14.45" x14ac:dyDescent="0.35">
      <c r="B32" s="2" t="s">
        <v>85</v>
      </c>
      <c r="C32" s="2">
        <f t="shared" ref="C32:F32" si="30">C34+C33</f>
        <v>1501.434</v>
      </c>
      <c r="D32" s="2">
        <f t="shared" si="30"/>
        <v>2139.38</v>
      </c>
      <c r="E32" s="2">
        <f t="shared" si="30"/>
        <v>2701.7022000000002</v>
      </c>
      <c r="F32" s="2">
        <f t="shared" si="30"/>
        <v>3112.2799999999997</v>
      </c>
      <c r="G32" s="2">
        <f>G34+G33</f>
        <v>3766.3</v>
      </c>
      <c r="H32" s="2">
        <f>G32+G35+H36-H35</f>
        <v>4640.55</v>
      </c>
      <c r="I32" s="42">
        <f>H32+I36+H35-I35</f>
        <v>6109.09</v>
      </c>
      <c r="J32" s="42">
        <f t="shared" ref="J32:K32" si="31">I32+J36+I35-J35</f>
        <v>6759.09</v>
      </c>
      <c r="K32" s="42">
        <f t="shared" si="31"/>
        <v>7109.09</v>
      </c>
      <c r="L32" s="22" t="s">
        <v>169</v>
      </c>
    </row>
    <row r="33" spans="2:12" ht="14.45" x14ac:dyDescent="0.35">
      <c r="B33" s="2" t="s">
        <v>106</v>
      </c>
      <c r="C33" s="29">
        <f>0+0</f>
        <v>0</v>
      </c>
      <c r="D33" s="29">
        <f>6.81+100.5</f>
        <v>107.31</v>
      </c>
      <c r="E33" s="29">
        <f>17.007+232.1652</f>
        <v>249.1722</v>
      </c>
      <c r="F33" s="29">
        <f>373.61+29.43</f>
        <v>403.04</v>
      </c>
      <c r="G33" s="29">
        <f>540.19+46.58</f>
        <v>586.7700000000001</v>
      </c>
      <c r="H33" s="2">
        <f>H32-H34</f>
        <v>480.76000000000022</v>
      </c>
      <c r="I33" s="42">
        <f>H33+I38</f>
        <v>847.30540000000019</v>
      </c>
      <c r="J33" s="42">
        <f t="shared" ref="J33:K33" si="32">I33+J38</f>
        <v>1252.8508000000002</v>
      </c>
      <c r="K33" s="42">
        <f t="shared" si="32"/>
        <v>1679.3962000000001</v>
      </c>
      <c r="L33" s="22" t="s">
        <v>171</v>
      </c>
    </row>
    <row r="34" spans="2:12" ht="14.45" x14ac:dyDescent="0.35">
      <c r="B34" s="2" t="s">
        <v>17</v>
      </c>
      <c r="C34" s="30">
        <f>Model!C56</f>
        <v>1501.434</v>
      </c>
      <c r="D34" s="30">
        <f>Model!D56</f>
        <v>2032.07</v>
      </c>
      <c r="E34" s="30">
        <f>Model!E56</f>
        <v>2452.5300000000002</v>
      </c>
      <c r="F34" s="30">
        <f>Model!F56</f>
        <v>2709.24</v>
      </c>
      <c r="G34" s="30">
        <f>Model!G56</f>
        <v>3179.53</v>
      </c>
      <c r="H34" s="30">
        <f>Model!H56</f>
        <v>4159.79</v>
      </c>
      <c r="I34" s="42">
        <f>I32-I33</f>
        <v>5261.7846</v>
      </c>
      <c r="J34" s="42">
        <f t="shared" ref="J34:K34" si="33">J32-J33</f>
        <v>5506.2392</v>
      </c>
      <c r="K34" s="42">
        <f t="shared" si="33"/>
        <v>5429.6938</v>
      </c>
      <c r="L34" s="22" t="s">
        <v>172</v>
      </c>
    </row>
    <row r="35" spans="2:12" x14ac:dyDescent="0.25">
      <c r="B35" s="2" t="s">
        <v>18</v>
      </c>
      <c r="C35" s="30">
        <f>Model!C57</f>
        <v>223.84</v>
      </c>
      <c r="D35" s="30">
        <f>Model!D57</f>
        <v>299.08</v>
      </c>
      <c r="E35" s="30">
        <f>Model!E57</f>
        <v>326.26</v>
      </c>
      <c r="F35" s="30">
        <f>Model!F57</f>
        <v>309.95999999999998</v>
      </c>
      <c r="G35" s="30">
        <f>Model!G57</f>
        <v>832.91</v>
      </c>
      <c r="H35" s="30">
        <f>Model!H57</f>
        <v>1068.54</v>
      </c>
      <c r="I35" s="46">
        <v>400</v>
      </c>
      <c r="J35" s="46">
        <v>250</v>
      </c>
      <c r="K35" s="46">
        <v>100</v>
      </c>
    </row>
    <row r="36" spans="2:12" x14ac:dyDescent="0.25">
      <c r="B36" s="2" t="s">
        <v>40</v>
      </c>
      <c r="C36" s="31">
        <f>-Model!C115</f>
        <v>302.79000000000002</v>
      </c>
      <c r="D36" s="31">
        <f>-Model!D115</f>
        <v>738.13</v>
      </c>
      <c r="E36" s="31">
        <f>-Model!E115</f>
        <v>587.71</v>
      </c>
      <c r="F36" s="31">
        <f>-Model!F115</f>
        <v>483.85</v>
      </c>
      <c r="G36" s="31">
        <f>-Model!G115</f>
        <v>1107.32</v>
      </c>
      <c r="H36" s="31">
        <f>-Model!H115</f>
        <v>1109.8799999999999</v>
      </c>
      <c r="I36" s="46">
        <v>800</v>
      </c>
      <c r="J36" s="46">
        <v>500</v>
      </c>
      <c r="K36" s="46">
        <v>200</v>
      </c>
    </row>
    <row r="37" spans="2:12" x14ac:dyDescent="0.25">
      <c r="B37" s="2"/>
      <c r="C37" s="32"/>
      <c r="D37" s="29"/>
      <c r="E37" s="29"/>
      <c r="F37" s="29"/>
      <c r="G37" s="29"/>
      <c r="H37" s="29"/>
    </row>
    <row r="38" spans="2:12" x14ac:dyDescent="0.25">
      <c r="B38" s="2" t="s">
        <v>123</v>
      </c>
      <c r="C38" s="31">
        <f>Model!C28</f>
        <v>93.43</v>
      </c>
      <c r="D38" s="31">
        <f>Model!D28</f>
        <v>107.72</v>
      </c>
      <c r="E38" s="31">
        <f>Model!E28</f>
        <v>143.08000000000001</v>
      </c>
      <c r="F38" s="31">
        <f>Model!F28</f>
        <v>168.61</v>
      </c>
      <c r="G38" s="31">
        <f>Model!G28</f>
        <v>192.71</v>
      </c>
      <c r="H38" s="31">
        <f>Model!H28</f>
        <v>276.51</v>
      </c>
      <c r="I38" s="42">
        <f>I39*I32</f>
        <v>366.54539999999997</v>
      </c>
      <c r="J38" s="42">
        <f t="shared" ref="J38:K38" si="34">J39*J32</f>
        <v>405.54539999999997</v>
      </c>
      <c r="K38" s="42">
        <f t="shared" si="34"/>
        <v>426.54539999999997</v>
      </c>
      <c r="L38" s="22" t="s">
        <v>170</v>
      </c>
    </row>
    <row r="39" spans="2:12" x14ac:dyDescent="0.25">
      <c r="B39" s="2" t="s">
        <v>159</v>
      </c>
      <c r="C39" s="39">
        <f>C38/C32</f>
        <v>6.2227177484991021E-2</v>
      </c>
      <c r="D39" s="39">
        <f t="shared" ref="D39:H39" si="35">D38/D32</f>
        <v>5.0351036281539509E-2</v>
      </c>
      <c r="E39" s="39">
        <f t="shared" si="35"/>
        <v>5.2959204756171871E-2</v>
      </c>
      <c r="F39" s="39">
        <f t="shared" si="35"/>
        <v>5.4175716837816655E-2</v>
      </c>
      <c r="G39" s="39">
        <f t="shared" si="35"/>
        <v>5.1166927754029153E-2</v>
      </c>
      <c r="H39" s="39">
        <f t="shared" si="35"/>
        <v>5.9585609464395381E-2</v>
      </c>
      <c r="I39" s="47">
        <v>0.06</v>
      </c>
      <c r="J39" s="47">
        <v>0.06</v>
      </c>
      <c r="K39" s="47">
        <v>0.06</v>
      </c>
    </row>
    <row r="40" spans="2:12" x14ac:dyDescent="0.25">
      <c r="B40" s="2"/>
      <c r="C40" s="26"/>
      <c r="D40" s="26"/>
      <c r="E40" s="26"/>
      <c r="F40" s="26"/>
      <c r="G40" s="26"/>
      <c r="H40" s="26"/>
    </row>
    <row r="41" spans="2:12" x14ac:dyDescent="0.25">
      <c r="B41" s="2" t="s">
        <v>211</v>
      </c>
      <c r="C41" s="26">
        <f>C7/C32</f>
        <v>3.8645588151060921</v>
      </c>
      <c r="D41" s="26">
        <f t="shared" ref="D41:K41" si="36">D7/D32</f>
        <v>2.5631491366657628</v>
      </c>
      <c r="E41" s="26">
        <f t="shared" si="36"/>
        <v>2.1343988245632697</v>
      </c>
      <c r="F41" s="26">
        <f t="shared" si="36"/>
        <v>2.0189121801380341</v>
      </c>
      <c r="G41" s="26">
        <f t="shared" si="36"/>
        <v>1.8544752144014018</v>
      </c>
      <c r="H41" s="26">
        <f t="shared" si="36"/>
        <v>1.4607815883893072</v>
      </c>
      <c r="I41" s="26">
        <f t="shared" si="36"/>
        <v>1.1884138112222935</v>
      </c>
      <c r="J41" s="26">
        <f t="shared" si="36"/>
        <v>1.1503909464188229</v>
      </c>
      <c r="K41" s="26">
        <f t="shared" si="36"/>
        <v>1.1714105819330085</v>
      </c>
    </row>
    <row r="42" spans="2:12" x14ac:dyDescent="0.25">
      <c r="B42" s="2"/>
      <c r="C42" s="2"/>
      <c r="D42" s="2"/>
      <c r="E42" s="2"/>
      <c r="F42" s="2"/>
      <c r="G42" s="2"/>
      <c r="H42" s="2"/>
    </row>
    <row r="43" spans="2:12" s="37" customFormat="1" x14ac:dyDescent="0.25">
      <c r="B43" s="36" t="s">
        <v>122</v>
      </c>
      <c r="C43" s="36"/>
      <c r="D43" s="36"/>
      <c r="E43" s="36"/>
      <c r="F43" s="36"/>
      <c r="G43" s="36"/>
      <c r="H43" s="36"/>
      <c r="L43" s="38"/>
    </row>
    <row r="44" spans="2:12" x14ac:dyDescent="0.25">
      <c r="B44" s="2" t="s">
        <v>124</v>
      </c>
      <c r="C44" s="2">
        <f>Model!C74</f>
        <v>264.27</v>
      </c>
      <c r="D44" s="2">
        <f>Model!D74</f>
        <v>33.54</v>
      </c>
      <c r="E44" s="2">
        <f>Model!E74</f>
        <v>57.99</v>
      </c>
      <c r="F44" s="2">
        <f>Model!F74</f>
        <v>195.57</v>
      </c>
      <c r="G44" s="2">
        <f>Model!G74</f>
        <v>224.25</v>
      </c>
      <c r="H44" s="2">
        <f>Model!H74</f>
        <v>236.45</v>
      </c>
      <c r="I44" s="42">
        <f>Model!I74</f>
        <v>298.36138068493159</v>
      </c>
      <c r="J44" s="42">
        <f>Model!J74</f>
        <v>319.54503871356167</v>
      </c>
      <c r="K44" s="42">
        <f>Model!K74</f>
        <v>342.23273646222464</v>
      </c>
      <c r="L44" s="22" t="s">
        <v>108</v>
      </c>
    </row>
    <row r="45" spans="2:12" x14ac:dyDescent="0.25">
      <c r="B45" s="2" t="s">
        <v>125</v>
      </c>
      <c r="C45" s="2">
        <f>Model!C90</f>
        <v>351.66</v>
      </c>
      <c r="D45" s="2">
        <f>Model!D90</f>
        <v>587.91</v>
      </c>
      <c r="E45" s="2">
        <f>Model!E90</f>
        <v>852.43</v>
      </c>
      <c r="F45" s="2">
        <f>Model!F90</f>
        <v>451.16</v>
      </c>
      <c r="G45" s="2">
        <f>Model!G90</f>
        <v>1222.6400000000001</v>
      </c>
      <c r="H45" s="2">
        <f>Model!H90</f>
        <v>1640.78</v>
      </c>
      <c r="I45" s="42">
        <f>H45+I49</f>
        <v>1990.78</v>
      </c>
      <c r="J45" s="42">
        <f t="shared" ref="J45:K45" si="37">I45+J49</f>
        <v>1890.78</v>
      </c>
      <c r="K45" s="42">
        <f t="shared" si="37"/>
        <v>1440.78</v>
      </c>
      <c r="L45" s="22" t="s">
        <v>189</v>
      </c>
    </row>
    <row r="46" spans="2:12" x14ac:dyDescent="0.25">
      <c r="B46" s="33" t="s">
        <v>126</v>
      </c>
      <c r="C46" s="33">
        <f>C45+C44</f>
        <v>615.93000000000006</v>
      </c>
      <c r="D46" s="33">
        <f t="shared" ref="D46:K46" si="38">D45+D44</f>
        <v>621.44999999999993</v>
      </c>
      <c r="E46" s="33">
        <f t="shared" si="38"/>
        <v>910.42</v>
      </c>
      <c r="F46" s="33">
        <f t="shared" si="38"/>
        <v>646.73</v>
      </c>
      <c r="G46" s="33">
        <f t="shared" si="38"/>
        <v>1446.89</v>
      </c>
      <c r="H46" s="33">
        <f t="shared" si="38"/>
        <v>1877.23</v>
      </c>
      <c r="I46" s="33">
        <f t="shared" si="38"/>
        <v>2289.1413806849314</v>
      </c>
      <c r="J46" s="33">
        <f t="shared" si="38"/>
        <v>2210.3250387135618</v>
      </c>
      <c r="K46" s="33">
        <f t="shared" si="38"/>
        <v>1783.0127364622247</v>
      </c>
      <c r="L46" s="22" t="s">
        <v>127</v>
      </c>
    </row>
    <row r="47" spans="2:12" x14ac:dyDescent="0.25">
      <c r="B47" s="2"/>
      <c r="C47" s="2"/>
      <c r="D47" s="2"/>
      <c r="E47" s="2"/>
      <c r="F47" s="2"/>
      <c r="G47" s="2"/>
      <c r="H47" s="2"/>
    </row>
    <row r="48" spans="2:12" x14ac:dyDescent="0.25">
      <c r="B48" s="2" t="s">
        <v>128</v>
      </c>
      <c r="C48" s="2"/>
      <c r="D48" s="2">
        <f>D44-C44</f>
        <v>-230.73</v>
      </c>
      <c r="E48" s="2">
        <f t="shared" ref="E48:H48" si="39">E44-D44</f>
        <v>24.450000000000003</v>
      </c>
      <c r="F48" s="2">
        <f t="shared" si="39"/>
        <v>137.57999999999998</v>
      </c>
      <c r="G48" s="2">
        <f t="shared" si="39"/>
        <v>28.680000000000007</v>
      </c>
      <c r="H48" s="2">
        <f t="shared" si="39"/>
        <v>12.199999999999989</v>
      </c>
      <c r="I48" s="11">
        <f>I44-H44</f>
        <v>61.911380684931601</v>
      </c>
      <c r="J48" s="11">
        <f t="shared" ref="J48:K48" si="40">J44-I44</f>
        <v>21.183658028630077</v>
      </c>
      <c r="K48" s="11">
        <f t="shared" si="40"/>
        <v>22.68769774866297</v>
      </c>
      <c r="L48" s="22" t="s">
        <v>133</v>
      </c>
    </row>
    <row r="49" spans="2:12" x14ac:dyDescent="0.25">
      <c r="B49" s="2" t="s">
        <v>129</v>
      </c>
      <c r="C49" s="2"/>
      <c r="D49" s="2">
        <f t="shared" ref="D49:H49" si="41">D45-C45</f>
        <v>236.24999999999994</v>
      </c>
      <c r="E49" s="2">
        <f t="shared" si="41"/>
        <v>264.52</v>
      </c>
      <c r="F49" s="2">
        <f t="shared" si="41"/>
        <v>-401.26999999999992</v>
      </c>
      <c r="G49" s="2">
        <f t="shared" si="41"/>
        <v>771.48</v>
      </c>
      <c r="H49" s="2">
        <f t="shared" si="41"/>
        <v>418.13999999999987</v>
      </c>
      <c r="I49" s="46">
        <v>350</v>
      </c>
      <c r="J49" s="46">
        <v>-100</v>
      </c>
      <c r="K49" s="46">
        <v>-450</v>
      </c>
    </row>
    <row r="50" spans="2:12" x14ac:dyDescent="0.25">
      <c r="B50" s="33" t="s">
        <v>132</v>
      </c>
      <c r="C50" s="33"/>
      <c r="D50" s="33">
        <f>D48+D49</f>
        <v>5.5199999999999534</v>
      </c>
      <c r="E50" s="33">
        <f t="shared" ref="E50:K50" si="42">E48+E49</f>
        <v>288.96999999999997</v>
      </c>
      <c r="F50" s="33">
        <f t="shared" si="42"/>
        <v>-263.68999999999994</v>
      </c>
      <c r="G50" s="33">
        <f t="shared" si="42"/>
        <v>800.16000000000008</v>
      </c>
      <c r="H50" s="33">
        <f t="shared" si="42"/>
        <v>430.33999999999986</v>
      </c>
      <c r="I50" s="33">
        <f t="shared" si="42"/>
        <v>411.9113806849316</v>
      </c>
      <c r="J50" s="33">
        <f t="shared" si="42"/>
        <v>-78.816341971369923</v>
      </c>
      <c r="K50" s="33">
        <f t="shared" si="42"/>
        <v>-427.31230225133703</v>
      </c>
      <c r="L50" s="22" t="s">
        <v>210</v>
      </c>
    </row>
    <row r="51" spans="2:12" x14ac:dyDescent="0.25">
      <c r="B51" s="2"/>
      <c r="C51" s="2"/>
      <c r="D51" s="2"/>
      <c r="E51" s="2"/>
      <c r="F51" s="2"/>
      <c r="G51" s="2"/>
      <c r="H51" s="2"/>
    </row>
    <row r="52" spans="2:12" x14ac:dyDescent="0.25">
      <c r="B52" s="2" t="s">
        <v>48</v>
      </c>
      <c r="C52" s="2">
        <f>Model!C34</f>
        <v>131.86000000000001</v>
      </c>
      <c r="D52" s="2">
        <f>Model!D34</f>
        <v>94.89</v>
      </c>
      <c r="E52" s="2">
        <f>Model!E34</f>
        <v>81.72</v>
      </c>
      <c r="F52" s="2">
        <f>Model!F34</f>
        <v>97.35</v>
      </c>
      <c r="G52" s="2">
        <f>Model!G34</f>
        <v>88.04</v>
      </c>
      <c r="H52" s="2">
        <f>Model!H34</f>
        <v>150.93</v>
      </c>
      <c r="I52" s="42">
        <f>I53*AVERAGE(I46,H46)</f>
        <v>187.48671213082193</v>
      </c>
      <c r="J52" s="42">
        <f t="shared" ref="J52:K52" si="43">J53*AVERAGE(J46,I46)</f>
        <v>202.47598887293219</v>
      </c>
      <c r="K52" s="42">
        <f t="shared" si="43"/>
        <v>179.70019988291037</v>
      </c>
      <c r="L52" s="22" t="s">
        <v>183</v>
      </c>
    </row>
    <row r="53" spans="2:12" x14ac:dyDescent="0.25">
      <c r="B53" s="2" t="s">
        <v>130</v>
      </c>
      <c r="C53" s="2"/>
      <c r="D53" s="39">
        <f>D52/AVERAGE(D46,C46)</f>
        <v>0.15337244823740484</v>
      </c>
      <c r="E53" s="39">
        <f t="shared" ref="E53:H53" si="44">E52/AVERAGE(E46,D46)</f>
        <v>0.10669312670135195</v>
      </c>
      <c r="F53" s="39">
        <f t="shared" si="44"/>
        <v>0.125036123687506</v>
      </c>
      <c r="G53" s="39">
        <f t="shared" si="44"/>
        <v>8.4103132373592168E-2</v>
      </c>
      <c r="H53" s="39">
        <f t="shared" si="44"/>
        <v>9.0808996065124006E-2</v>
      </c>
      <c r="I53" s="41">
        <v>0.09</v>
      </c>
      <c r="J53" s="41">
        <v>0.09</v>
      </c>
      <c r="K53" s="41">
        <v>0.09</v>
      </c>
    </row>
    <row r="54" spans="2:12" x14ac:dyDescent="0.25">
      <c r="B54" s="2"/>
      <c r="C54" s="2"/>
      <c r="D54" s="2"/>
      <c r="E54" s="2"/>
      <c r="F54" s="2"/>
      <c r="G54" s="2"/>
      <c r="H54" s="2"/>
    </row>
    <row r="55" spans="2:12" x14ac:dyDescent="0.25">
      <c r="B55" s="2"/>
      <c r="C55" s="2"/>
      <c r="D55" s="2"/>
      <c r="E55" s="2"/>
      <c r="F55" s="2"/>
      <c r="G55" s="2"/>
      <c r="H55" s="2"/>
    </row>
    <row r="56" spans="2:12" s="37" customFormat="1" x14ac:dyDescent="0.25">
      <c r="B56" s="36" t="s">
        <v>136</v>
      </c>
      <c r="C56" s="36"/>
      <c r="D56" s="36"/>
      <c r="E56" s="36"/>
      <c r="F56" s="36"/>
      <c r="G56" s="36"/>
      <c r="H56" s="36"/>
      <c r="L56" s="38"/>
    </row>
    <row r="57" spans="2:12" x14ac:dyDescent="0.25">
      <c r="B57" s="2" t="s">
        <v>135</v>
      </c>
      <c r="C57" s="2">
        <f>Model!C86/C58</f>
        <v>4.0449999999999999</v>
      </c>
      <c r="D57" s="2">
        <f>Model!D86/D58</f>
        <v>4.0449999999999999</v>
      </c>
      <c r="E57" s="2">
        <f>Model!E86/E58</f>
        <v>4.0449999999999999</v>
      </c>
      <c r="F57" s="2">
        <f>Model!F86/F58</f>
        <v>4.0449999999999999</v>
      </c>
      <c r="G57" s="2">
        <f>Model!G86/G58</f>
        <v>4.0449999999999999</v>
      </c>
      <c r="H57" s="2">
        <f>Model!H86/H58</f>
        <v>4.0449999999999999</v>
      </c>
      <c r="I57" s="2">
        <f>I59/I58</f>
        <v>4.0449999999999999</v>
      </c>
      <c r="J57" s="2">
        <f t="shared" ref="J57:K57" si="45">J59/J58</f>
        <v>4.0449999999999999</v>
      </c>
      <c r="K57" s="2">
        <f t="shared" si="45"/>
        <v>4.0449999999999999</v>
      </c>
      <c r="L57" s="22" t="s">
        <v>191</v>
      </c>
    </row>
    <row r="58" spans="2:12" x14ac:dyDescent="0.25">
      <c r="B58" s="2" t="s">
        <v>134</v>
      </c>
      <c r="C58" s="29">
        <v>10</v>
      </c>
      <c r="D58" s="29">
        <v>10</v>
      </c>
      <c r="E58" s="29">
        <v>10</v>
      </c>
      <c r="F58" s="29">
        <v>10</v>
      </c>
      <c r="G58" s="29">
        <v>10</v>
      </c>
      <c r="H58" s="29">
        <v>10</v>
      </c>
      <c r="I58" s="46">
        <f>H58</f>
        <v>10</v>
      </c>
      <c r="J58" s="46">
        <f t="shared" ref="J58:K59" si="46">I58</f>
        <v>10</v>
      </c>
      <c r="K58" s="46">
        <f t="shared" si="46"/>
        <v>10</v>
      </c>
      <c r="L58" s="22" t="s">
        <v>190</v>
      </c>
    </row>
    <row r="59" spans="2:12" x14ac:dyDescent="0.25">
      <c r="B59" s="2" t="s">
        <v>25</v>
      </c>
      <c r="C59" s="2">
        <f>Model!C86</f>
        <v>40.450000000000003</v>
      </c>
      <c r="D59" s="2">
        <f>Model!D86</f>
        <v>40.450000000000003</v>
      </c>
      <c r="E59" s="2">
        <f>Model!E86</f>
        <v>40.450000000000003</v>
      </c>
      <c r="F59" s="2">
        <f>Model!F86</f>
        <v>40.450000000000003</v>
      </c>
      <c r="G59" s="2">
        <f>Model!G86</f>
        <v>40.450000000000003</v>
      </c>
      <c r="H59" s="2">
        <f>Model!H86</f>
        <v>40.450000000000003</v>
      </c>
      <c r="I59" s="46">
        <f>H59</f>
        <v>40.450000000000003</v>
      </c>
      <c r="J59" s="46">
        <f t="shared" si="46"/>
        <v>40.450000000000003</v>
      </c>
      <c r="K59" s="46">
        <f t="shared" si="46"/>
        <v>40.450000000000003</v>
      </c>
      <c r="L59" s="22" t="s">
        <v>190</v>
      </c>
    </row>
    <row r="60" spans="2:12" x14ac:dyDescent="0.25">
      <c r="B60" s="2"/>
      <c r="C60" s="2"/>
      <c r="D60" s="2"/>
      <c r="E60" s="2"/>
      <c r="F60" s="2"/>
      <c r="G60" s="2"/>
      <c r="H60" s="2"/>
    </row>
    <row r="61" spans="2:12" s="37" customFormat="1" x14ac:dyDescent="0.25">
      <c r="B61" s="36" t="s">
        <v>137</v>
      </c>
      <c r="C61" s="36"/>
      <c r="D61" s="36"/>
      <c r="E61" s="36"/>
      <c r="F61" s="36"/>
      <c r="G61" s="36"/>
      <c r="H61" s="36"/>
      <c r="L61" s="38"/>
    </row>
    <row r="62" spans="2:12" x14ac:dyDescent="0.25">
      <c r="B62" s="2" t="s">
        <v>138</v>
      </c>
      <c r="C62" s="2">
        <f t="shared" ref="C62:G62" si="47">C64-C63</f>
        <v>35.732499999999995</v>
      </c>
      <c r="D62" s="2">
        <f t="shared" si="47"/>
        <v>-11.357799999999999</v>
      </c>
      <c r="E62" s="2">
        <f t="shared" si="47"/>
        <v>97.929999999999993</v>
      </c>
      <c r="F62" s="2">
        <f t="shared" si="47"/>
        <v>47.27</v>
      </c>
      <c r="G62" s="2">
        <f t="shared" si="47"/>
        <v>44.34</v>
      </c>
      <c r="H62" s="2">
        <f>H64-H63</f>
        <v>90.03</v>
      </c>
      <c r="I62" s="11">
        <f>I64-I63</f>
        <v>58.516208244220799</v>
      </c>
      <c r="J62" s="11">
        <f t="shared" ref="J62:K62" si="48">J64-J63</f>
        <v>61.661021851906511</v>
      </c>
      <c r="K62" s="11">
        <f t="shared" si="48"/>
        <v>76.315793314329284</v>
      </c>
      <c r="L62" s="22" t="s">
        <v>194</v>
      </c>
    </row>
    <row r="63" spans="2:12" x14ac:dyDescent="0.25">
      <c r="B63" s="2" t="s">
        <v>139</v>
      </c>
      <c r="C63" s="29">
        <v>4.6875</v>
      </c>
      <c r="D63" s="29">
        <v>12.017799999999999</v>
      </c>
      <c r="E63" s="29">
        <v>0</v>
      </c>
      <c r="F63" s="29">
        <v>5.53</v>
      </c>
      <c r="G63" s="29">
        <v>8.2899999999999991</v>
      </c>
      <c r="H63" s="29">
        <v>17.87</v>
      </c>
      <c r="I63" s="11">
        <f>I64*I66</f>
        <v>0</v>
      </c>
      <c r="J63" s="11">
        <f t="shared" ref="J63:K63" si="49">J64*J66</f>
        <v>0</v>
      </c>
      <c r="K63" s="11">
        <f t="shared" si="49"/>
        <v>0</v>
      </c>
      <c r="L63" s="22" t="s">
        <v>193</v>
      </c>
    </row>
    <row r="64" spans="2:12" x14ac:dyDescent="0.25">
      <c r="B64" s="2" t="s">
        <v>143</v>
      </c>
      <c r="C64" s="2">
        <f>-Model!C125</f>
        <v>40.419999999999995</v>
      </c>
      <c r="D64" s="2">
        <f>-Model!D125</f>
        <v>0.66</v>
      </c>
      <c r="E64" s="2">
        <f>-Model!E125</f>
        <v>97.929999999999993</v>
      </c>
      <c r="F64" s="2">
        <f>-Model!F125</f>
        <v>52.800000000000004</v>
      </c>
      <c r="G64" s="2">
        <f>-Model!G125</f>
        <v>52.63</v>
      </c>
      <c r="H64" s="2">
        <f>-Model!H125</f>
        <v>107.9</v>
      </c>
      <c r="I64" s="11">
        <f>Model!I41*Working!I67</f>
        <v>58.516208244220799</v>
      </c>
      <c r="J64" s="11">
        <f>Model!J41*Working!J67</f>
        <v>61.661021851906511</v>
      </c>
      <c r="K64" s="11">
        <f>Model!K41*Working!K67</f>
        <v>76.315793314329284</v>
      </c>
      <c r="L64" s="22" t="s">
        <v>192</v>
      </c>
    </row>
    <row r="65" spans="2:12" x14ac:dyDescent="0.25">
      <c r="B65" s="2"/>
      <c r="C65" s="2"/>
      <c r="D65" s="2"/>
      <c r="E65" s="2"/>
      <c r="F65" s="2"/>
      <c r="G65" s="2"/>
      <c r="H65" s="2"/>
    </row>
    <row r="66" spans="2:12" x14ac:dyDescent="0.25">
      <c r="B66" s="2" t="s">
        <v>142</v>
      </c>
      <c r="C66" s="39">
        <f t="shared" ref="C66:G66" si="50">C63/C64</f>
        <v>0.1159698169223157</v>
      </c>
      <c r="D66" s="39">
        <f t="shared" si="50"/>
        <v>18.208787878787877</v>
      </c>
      <c r="E66" s="39">
        <f t="shared" si="50"/>
        <v>0</v>
      </c>
      <c r="F66" s="39">
        <f t="shared" si="50"/>
        <v>0.10473484848484849</v>
      </c>
      <c r="G66" s="39">
        <f t="shared" si="50"/>
        <v>0.15751472544176323</v>
      </c>
      <c r="H66" s="39">
        <f>H63/H64</f>
        <v>0.16561631139944394</v>
      </c>
      <c r="I66" s="41">
        <v>0</v>
      </c>
      <c r="J66" s="41">
        <v>0</v>
      </c>
      <c r="K66" s="41">
        <v>0</v>
      </c>
      <c r="L66" s="22" t="s">
        <v>219</v>
      </c>
    </row>
    <row r="67" spans="2:12" x14ac:dyDescent="0.25">
      <c r="B67" s="2" t="s">
        <v>140</v>
      </c>
      <c r="C67" s="39">
        <f>C64/Model!C41</f>
        <v>0.12875891946992851</v>
      </c>
      <c r="D67" s="39">
        <f>D64/Model!D41</f>
        <v>1.5147342329936649E-3</v>
      </c>
      <c r="E67" s="39">
        <f>E64/Model!E41</f>
        <v>0.27261086212176067</v>
      </c>
      <c r="F67" s="39">
        <f>F64/Model!F41</f>
        <v>0.22632774658150803</v>
      </c>
      <c r="G67" s="39">
        <f>G64/Model!G41</f>
        <v>0.20961446550900048</v>
      </c>
      <c r="H67" s="39">
        <f>H64/Model!H41</f>
        <v>0.46900808484743117</v>
      </c>
      <c r="I67" s="41">
        <v>0.25</v>
      </c>
      <c r="J67" s="41">
        <v>0.25</v>
      </c>
      <c r="K67" s="41">
        <v>0.25</v>
      </c>
    </row>
    <row r="68" spans="2:12" x14ac:dyDescent="0.25">
      <c r="B68" s="2" t="s">
        <v>141</v>
      </c>
      <c r="C68" s="2">
        <f t="shared" ref="C68:K68" si="51">C62/C57</f>
        <v>8.8337453646477115</v>
      </c>
      <c r="D68" s="2">
        <f t="shared" si="51"/>
        <v>-2.8078615574783683</v>
      </c>
      <c r="E68" s="2">
        <f t="shared" si="51"/>
        <v>24.210135970333745</v>
      </c>
      <c r="F68" s="2">
        <f t="shared" si="51"/>
        <v>11.686032138442522</v>
      </c>
      <c r="G68" s="2">
        <f t="shared" si="51"/>
        <v>10.96168108776267</v>
      </c>
      <c r="H68" s="2">
        <f t="shared" si="51"/>
        <v>22.257107540173052</v>
      </c>
      <c r="I68" s="2">
        <f t="shared" si="51"/>
        <v>14.466306117236291</v>
      </c>
      <c r="J68" s="2">
        <f t="shared" si="51"/>
        <v>15.243763127789002</v>
      </c>
      <c r="K68" s="2">
        <f t="shared" si="51"/>
        <v>18.866697976348402</v>
      </c>
      <c r="L68" s="22" t="s">
        <v>168</v>
      </c>
    </row>
    <row r="71" spans="2:12" s="37" customFormat="1" x14ac:dyDescent="0.25">
      <c r="B71" s="36" t="s">
        <v>173</v>
      </c>
      <c r="C71" s="36"/>
      <c r="D71" s="36"/>
      <c r="E71" s="36"/>
      <c r="F71" s="36"/>
      <c r="G71" s="36"/>
      <c r="H71" s="36"/>
      <c r="L71" s="38"/>
    </row>
    <row r="72" spans="2:12" x14ac:dyDescent="0.25">
      <c r="B72" s="1" t="s">
        <v>174</v>
      </c>
    </row>
    <row r="73" spans="2:12" x14ac:dyDescent="0.25">
      <c r="B73" t="s">
        <v>175</v>
      </c>
      <c r="C73" s="11">
        <f>Model!C66/Model!C10*365</f>
        <v>41.104158983037991</v>
      </c>
      <c r="D73" s="11">
        <f>Model!D66/Model!D10*365</f>
        <v>42.580837231355602</v>
      </c>
      <c r="E73" s="11">
        <f>Model!E66/Model!E10*365</f>
        <v>59.718998146192412</v>
      </c>
      <c r="F73" s="11">
        <f>Model!F66/Model!F10*365</f>
        <v>45.57751192821744</v>
      </c>
      <c r="G73" s="11">
        <f>Model!G66/Model!G10*365</f>
        <v>52.551145320144144</v>
      </c>
      <c r="H73" s="11">
        <f>Model!H66/Model!H10*365</f>
        <v>49.842944873967937</v>
      </c>
      <c r="I73" s="46">
        <v>50</v>
      </c>
      <c r="J73" s="46">
        <v>50</v>
      </c>
      <c r="K73" s="46">
        <v>50</v>
      </c>
      <c r="L73" s="22" t="s">
        <v>214</v>
      </c>
    </row>
    <row r="74" spans="2:12" x14ac:dyDescent="0.25">
      <c r="B74" t="s">
        <v>176</v>
      </c>
      <c r="C74" s="11">
        <f>Model!C67/Model!C10*365</f>
        <v>42.346537110633911</v>
      </c>
      <c r="D74" s="11">
        <f>Model!D67/Model!D10*365</f>
        <v>39.505639594788043</v>
      </c>
      <c r="E74" s="11">
        <f>Model!E67/Model!E10*365</f>
        <v>38.851402321334739</v>
      </c>
      <c r="F74" s="11">
        <f>Model!F67/Model!F10*365</f>
        <v>43.406130737719266</v>
      </c>
      <c r="G74" s="11">
        <f>Model!G67/Model!G10*365</f>
        <v>36.914357628523689</v>
      </c>
      <c r="H74" s="11">
        <f>Model!H67/Model!H10*365</f>
        <v>36.309768794910042</v>
      </c>
      <c r="I74" s="46">
        <v>36</v>
      </c>
      <c r="J74" s="46">
        <v>36</v>
      </c>
      <c r="K74" s="46">
        <v>36</v>
      </c>
      <c r="L74" s="22" t="s">
        <v>215</v>
      </c>
    </row>
    <row r="76" spans="2:12" x14ac:dyDescent="0.25">
      <c r="B76" s="1" t="s">
        <v>177</v>
      </c>
    </row>
    <row r="77" spans="2:12" x14ac:dyDescent="0.25">
      <c r="B77" t="s">
        <v>178</v>
      </c>
      <c r="C77" s="11">
        <f>Model!C72/Model!C$10*365</f>
        <v>40.126611838590371</v>
      </c>
      <c r="D77" s="11">
        <f>Model!D72/Model!D$10*365</f>
        <v>42.288626893162274</v>
      </c>
      <c r="E77" s="11">
        <f>Model!E72/Model!E$10*365</f>
        <v>47.992052385238217</v>
      </c>
      <c r="F77" s="11">
        <f>Model!F72/Model!F$10*365</f>
        <v>50.567390051914401</v>
      </c>
      <c r="G77" s="11">
        <f>Model!G72/Model!G$10*365</f>
        <v>55.021404507975504</v>
      </c>
      <c r="H77" s="11">
        <f>Model!H72/Model!H$10*365</f>
        <v>64.33077684497178</v>
      </c>
      <c r="I77" s="46">
        <v>60</v>
      </c>
      <c r="J77" s="46">
        <v>60</v>
      </c>
      <c r="K77" s="46">
        <v>60</v>
      </c>
      <c r="L77" s="22" t="s">
        <v>216</v>
      </c>
    </row>
    <row r="78" spans="2:12" x14ac:dyDescent="0.25">
      <c r="B78" t="s">
        <v>179</v>
      </c>
      <c r="C78" s="11">
        <f>Model!C73/Model!C$10*365</f>
        <v>3.4270764755152192</v>
      </c>
      <c r="D78" s="11">
        <f>Model!D73/Model!D$10*365</f>
        <v>3.1291134392865931</v>
      </c>
      <c r="E78" s="11">
        <f>Model!E73/Model!E$10*365</f>
        <v>3.4066185613135151</v>
      </c>
      <c r="F78" s="11">
        <f>Model!F73/Model!F$10*365</f>
        <v>2.9265431882637163</v>
      </c>
      <c r="G78" s="11">
        <f>Model!G73/Model!G$10*365</f>
        <v>5.2535467770824296</v>
      </c>
      <c r="H78" s="11">
        <f>Model!H73/Model!H$10*365</f>
        <v>6.6330546716763807</v>
      </c>
      <c r="I78" s="46">
        <v>6</v>
      </c>
      <c r="J78" s="46">
        <v>6</v>
      </c>
      <c r="K78" s="46">
        <v>6</v>
      </c>
      <c r="L78" s="22" t="s">
        <v>217</v>
      </c>
    </row>
    <row r="79" spans="2:12" x14ac:dyDescent="0.25">
      <c r="B79" t="s">
        <v>180</v>
      </c>
      <c r="C79" s="11">
        <f>Model!C74/Model!C$10*365</f>
        <v>16.623962925558132</v>
      </c>
      <c r="D79" s="11">
        <f>Model!D74/Model!D$10*365</f>
        <v>2.232513608884755</v>
      </c>
      <c r="E79" s="11">
        <f>Model!E74/Model!E$10*365</f>
        <v>3.6705650384721435</v>
      </c>
      <c r="F79" s="11">
        <f>Model!F74/Model!F$10*365</f>
        <v>11.360540915616019</v>
      </c>
      <c r="G79" s="11">
        <f>Model!G74/Model!G$10*365</f>
        <v>11.718968116589423</v>
      </c>
      <c r="H79" s="11">
        <f>Model!H74/Model!H$10*365</f>
        <v>12.731437430943098</v>
      </c>
      <c r="I79" s="46">
        <v>15</v>
      </c>
      <c r="J79" s="46">
        <v>15</v>
      </c>
      <c r="K79" s="46">
        <v>15</v>
      </c>
      <c r="L79" s="22" t="s">
        <v>218</v>
      </c>
    </row>
    <row r="81" spans="2:12" x14ac:dyDescent="0.25">
      <c r="B81" s="1" t="s">
        <v>181</v>
      </c>
      <c r="C81" s="11">
        <f>C73+C74-C77-C78-C79</f>
        <v>23.27304485400817</v>
      </c>
      <c r="D81" s="11">
        <f t="shared" ref="D81:K81" si="52">D73+D74-D77-D78-D79</f>
        <v>34.436222884810022</v>
      </c>
      <c r="E81" s="11">
        <f t="shared" si="52"/>
        <v>43.501164482503277</v>
      </c>
      <c r="F81" s="11">
        <f t="shared" si="52"/>
        <v>24.129168510142577</v>
      </c>
      <c r="G81" s="11">
        <f t="shared" si="52"/>
        <v>17.471583547020476</v>
      </c>
      <c r="H81" s="11">
        <f t="shared" si="52"/>
        <v>2.4574447212867216</v>
      </c>
      <c r="I81" s="11">
        <f t="shared" si="52"/>
        <v>5</v>
      </c>
      <c r="J81" s="11">
        <f t="shared" si="52"/>
        <v>5</v>
      </c>
      <c r="K81" s="11">
        <f t="shared" si="52"/>
        <v>5</v>
      </c>
      <c r="L81" s="22" t="s">
        <v>182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57F754F62CC6428360FD9C95D9708F" ma:contentTypeVersion="10" ma:contentTypeDescription="Create a new document." ma:contentTypeScope="" ma:versionID="613f4202a08d48eff8915690e83a8449">
  <xsd:schema xmlns:xsd="http://www.w3.org/2001/XMLSchema" xmlns:xs="http://www.w3.org/2001/XMLSchema" xmlns:p="http://schemas.microsoft.com/office/2006/metadata/properties" xmlns:ns3="b139bf46-36a8-45dc-b54a-dc28c92d319d" targetNamespace="http://schemas.microsoft.com/office/2006/metadata/properties" ma:root="true" ma:fieldsID="8435000da587065124b43693e6a92f30" ns3:_="">
    <xsd:import namespace="b139bf46-36a8-45dc-b54a-dc28c92d31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9bf46-36a8-45dc-b54a-dc28c92d3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CE8D2-D44E-4CB0-9A94-F749ECE385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1EE2E7-E895-4C3A-96D4-8F3E5C896FE9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b139bf46-36a8-45dc-b54a-dc28c92d319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82DB8E-C513-42D4-A83E-A80B948F30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9bf46-36a8-45dc-b54a-dc28c92d3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2019-12-20T08:47:23Z</dcterms:created>
  <dcterms:modified xsi:type="dcterms:W3CDTF">2021-02-20T15:21:23Z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0x0101004557F754F62CC6428360FD9C95D9708F</vt:lpwstr>
  </property>
</Properties>
</file>