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\Spring 2018\CS-513\Assignment\Final Exam\"/>
    </mc:Choice>
  </mc:AlternateContent>
  <xr:revisionPtr revIDLastSave="0" documentId="13_ncr:1_{4AE6A63E-5162-48B2-B11E-40C6FBEE592D}" xr6:coauthVersionLast="32" xr6:coauthVersionMax="32" xr10:uidLastSave="{00000000-0000-0000-0000-000000000000}"/>
  <bookViews>
    <workbookView xWindow="0" yWindow="0" windowWidth="23040" windowHeight="9072" xr2:uid="{231435D0-26CC-41DA-8422-EE37B36D7B4C}"/>
  </bookViews>
  <sheets>
    <sheet name="Question 1" sheetId="1" r:id="rId1"/>
    <sheet name="Question 2" sheetId="2" r:id="rId2"/>
    <sheet name="Question 4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11" i="1"/>
  <c r="Q8" i="1"/>
  <c r="Q5" i="1"/>
  <c r="P14" i="1"/>
  <c r="P11" i="1"/>
  <c r="P8" i="1"/>
  <c r="P5" i="1"/>
  <c r="N16" i="1"/>
  <c r="N15" i="1"/>
  <c r="N14" i="1"/>
  <c r="N13" i="1"/>
  <c r="N12" i="1"/>
  <c r="N11" i="1"/>
  <c r="N10" i="1"/>
  <c r="N9" i="1"/>
  <c r="N8" i="1"/>
  <c r="N7" i="1"/>
  <c r="N6" i="1"/>
  <c r="N5" i="1"/>
  <c r="M16" i="1"/>
  <c r="M15" i="1"/>
  <c r="M14" i="1"/>
  <c r="M13" i="1"/>
  <c r="M12" i="1"/>
  <c r="M11" i="1"/>
  <c r="M10" i="1"/>
  <c r="M9" i="1"/>
  <c r="M8" i="1"/>
  <c r="O14" i="1"/>
  <c r="O11" i="1"/>
  <c r="O8" i="1"/>
  <c r="O5" i="1"/>
  <c r="M7" i="1"/>
  <c r="M6" i="1"/>
  <c r="M5" i="1"/>
  <c r="K14" i="1"/>
  <c r="J14" i="1"/>
  <c r="K11" i="1"/>
  <c r="J11" i="1"/>
  <c r="K8" i="1"/>
  <c r="J8" i="1"/>
  <c r="K5" i="1"/>
  <c r="J5" i="1"/>
  <c r="J9" i="2" l="1"/>
  <c r="M94" i="3" l="1"/>
  <c r="M93" i="3"/>
  <c r="M92" i="3"/>
  <c r="M91" i="3"/>
  <c r="M90" i="3"/>
  <c r="N63" i="3"/>
  <c r="N86" i="3"/>
  <c r="M83" i="3"/>
  <c r="M82" i="3"/>
  <c r="M81" i="3"/>
  <c r="M80" i="3"/>
  <c r="M79" i="3"/>
  <c r="E73" i="3"/>
  <c r="N46" i="3"/>
  <c r="N74" i="3"/>
  <c r="M69" i="3"/>
  <c r="M70" i="3"/>
  <c r="M68" i="3"/>
  <c r="L70" i="3"/>
  <c r="L69" i="3"/>
  <c r="B62" i="3"/>
  <c r="F88" i="3"/>
  <c r="E84" i="3"/>
  <c r="B90" i="3" s="1"/>
  <c r="F90" i="3" s="1"/>
  <c r="F79" i="3"/>
  <c r="F78" i="3"/>
  <c r="F77" i="3"/>
  <c r="F80" i="3"/>
  <c r="B89" i="3"/>
  <c r="F89" i="3" s="1"/>
  <c r="F68" i="3"/>
  <c r="F66" i="3"/>
  <c r="F69" i="3"/>
  <c r="F67" i="3"/>
  <c r="B61" i="3"/>
  <c r="O69" i="3" l="1"/>
  <c r="O83" i="3"/>
  <c r="O81" i="3"/>
  <c r="O79" i="3"/>
  <c r="O82" i="3"/>
  <c r="O80" i="3"/>
  <c r="O70" i="3"/>
  <c r="O68" i="3"/>
  <c r="F91" i="3"/>
  <c r="E93" i="3" s="1"/>
  <c r="O94" i="3" l="1"/>
  <c r="O92" i="3"/>
  <c r="O90" i="3"/>
  <c r="O93" i="3"/>
  <c r="O91" i="3"/>
  <c r="L28" i="3" l="1"/>
  <c r="S6" i="3"/>
  <c r="S7" i="3"/>
  <c r="F50" i="3"/>
  <c r="F43" i="3"/>
  <c r="F42" i="3"/>
  <c r="F41" i="3"/>
  <c r="F40" i="3"/>
  <c r="F39" i="3"/>
  <c r="F44" i="3" s="1"/>
  <c r="E46" i="3" s="1"/>
  <c r="F32" i="3"/>
  <c r="F31" i="3"/>
  <c r="F30" i="3"/>
  <c r="F29" i="3"/>
  <c r="F28" i="3"/>
  <c r="G16" i="3"/>
  <c r="H16" i="3" s="1"/>
  <c r="L30" i="3" s="1"/>
  <c r="G10" i="3"/>
  <c r="H10" i="3" s="1"/>
  <c r="L29" i="3" s="1"/>
  <c r="B52" i="3" l="1"/>
  <c r="F52" i="3" s="1"/>
  <c r="K11" i="3"/>
  <c r="K12" i="3" s="1"/>
  <c r="K17" i="3" s="1"/>
  <c r="S5" i="3" s="1"/>
  <c r="S8" i="3" s="1"/>
  <c r="F33" i="3"/>
  <c r="E35" i="3" s="1"/>
  <c r="N23" i="3" l="1"/>
  <c r="B51" i="3"/>
  <c r="F51" i="3" s="1"/>
  <c r="F53" i="3" s="1"/>
  <c r="E55" i="3" s="1"/>
  <c r="N34" i="3"/>
  <c r="M30" i="3"/>
  <c r="M29" i="3"/>
  <c r="M40" i="3" l="1"/>
  <c r="M42" i="3"/>
  <c r="M39" i="3"/>
  <c r="M41" i="3"/>
  <c r="M43" i="3"/>
  <c r="M28" i="3"/>
  <c r="M53" i="3" l="1"/>
  <c r="O53" i="3" s="1"/>
  <c r="M51" i="3"/>
  <c r="O51" i="3" s="1"/>
  <c r="M54" i="3"/>
  <c r="O54" i="3" s="1"/>
  <c r="M52" i="3"/>
  <c r="O52" i="3" s="1"/>
  <c r="M50" i="3"/>
  <c r="O50" i="3" s="1"/>
  <c r="S20" i="2" l="1"/>
  <c r="S17" i="2"/>
  <c r="Q19" i="2"/>
  <c r="Q20" i="2"/>
  <c r="Q21" i="2"/>
  <c r="Q18" i="2"/>
  <c r="Q17" i="2"/>
  <c r="M18" i="2"/>
  <c r="N18" i="2" s="1"/>
  <c r="O18" i="2" s="1"/>
  <c r="M19" i="2"/>
  <c r="N19" i="2" s="1"/>
  <c r="O19" i="2" s="1"/>
  <c r="M20" i="2"/>
  <c r="N20" i="2" s="1"/>
  <c r="O20" i="2" s="1"/>
  <c r="M21" i="2"/>
  <c r="N21" i="2" s="1"/>
  <c r="O21" i="2" s="1"/>
  <c r="M17" i="2"/>
  <c r="N17" i="2" s="1"/>
  <c r="O17" i="2" s="1"/>
  <c r="K19" i="2"/>
  <c r="L19" i="2" s="1"/>
  <c r="J19" i="2"/>
  <c r="J20" i="2"/>
  <c r="K20" i="2" s="1"/>
  <c r="L20" i="2" s="1"/>
  <c r="J21" i="2"/>
  <c r="K21" i="2" s="1"/>
  <c r="L21" i="2" s="1"/>
  <c r="J18" i="2"/>
  <c r="K18" i="2" s="1"/>
  <c r="L18" i="2" s="1"/>
  <c r="J17" i="2"/>
  <c r="K17" i="2" s="1"/>
  <c r="L17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K8" i="2"/>
  <c r="L8" i="2" s="1"/>
  <c r="K7" i="2"/>
  <c r="L7" i="2" s="1"/>
  <c r="K9" i="2"/>
  <c r="L9" i="2" s="1"/>
  <c r="J8" i="2"/>
  <c r="J7" i="2"/>
  <c r="P19" i="2" l="1"/>
  <c r="R19" i="2" s="1"/>
  <c r="P18" i="2"/>
  <c r="R18" i="2" s="1"/>
  <c r="P17" i="2"/>
  <c r="R17" i="2" s="1"/>
  <c r="P21" i="2"/>
  <c r="R21" i="2" s="1"/>
  <c r="P20" i="2"/>
  <c r="R20" i="2" s="1"/>
  <c r="L10" i="2"/>
  <c r="O28" i="3" l="1"/>
  <c r="O29" i="3"/>
  <c r="O30" i="3"/>
  <c r="O39" i="3"/>
  <c r="O40" i="3"/>
  <c r="O41" i="3"/>
  <c r="O42" i="3"/>
  <c r="O43" i="3"/>
</calcChain>
</file>

<file path=xl/sharedStrings.xml><?xml version="1.0" encoding="utf-8"?>
<sst xmlns="http://schemas.openxmlformats.org/spreadsheetml/2006/main" count="339" uniqueCount="78">
  <si>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</si>
  <si>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</si>
  <si>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</si>
  <si>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</si>
  <si>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</si>
  <si>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</si>
  <si>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</si>
  <si>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</si>
  <si>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</si>
  <si>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</si>
  <si>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</si>
  <si>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</si>
  <si>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r>
      <t xml:space="preserve">2) Use the table above and </t>
    </r>
    <r>
      <rPr>
        <b/>
        <u/>
        <sz val="14"/>
        <color theme="1"/>
        <rFont val="Calibri"/>
        <family val="2"/>
        <scheme val="minor"/>
      </rPr>
      <t xml:space="preserve">excel </t>
    </r>
    <r>
      <rPr>
        <b/>
        <sz val="14"/>
        <color theme="1"/>
        <rFont val="Calibri"/>
        <family val="2"/>
        <scheme val="minor"/>
      </rPr>
      <t xml:space="preserve">to classify patient addiction type (alcohol, cocaine, heroin) by constructing a C4.5 tree (two levels only), using Ethnicity and Age Category. </t>
    </r>
    <r>
      <rPr>
        <sz val="14"/>
        <color theme="1"/>
        <rFont val="Calibri"/>
        <family val="2"/>
        <scheme val="minor"/>
      </rPr>
      <t>(20 points)</t>
    </r>
  </si>
  <si>
    <t>Type</t>
  </si>
  <si>
    <t>Col Total</t>
  </si>
  <si>
    <t>pj</t>
  </si>
  <si>
    <t>log2(pj)</t>
  </si>
  <si>
    <t>-pj*LOG2(pj)</t>
  </si>
  <si>
    <t>Enthropy H(T)</t>
  </si>
  <si>
    <t>Total</t>
  </si>
  <si>
    <t>-pj*log2(pj)</t>
  </si>
  <si>
    <t>Percent</t>
  </si>
  <si>
    <t>Per*Row Total</t>
  </si>
  <si>
    <t>Gain</t>
  </si>
  <si>
    <r>
      <t xml:space="preserve">1) Use the table above and </t>
    </r>
    <r>
      <rPr>
        <b/>
        <u/>
        <sz val="14"/>
        <color theme="1"/>
        <rFont val="Calibri"/>
        <family val="2"/>
        <scheme val="minor"/>
      </rPr>
      <t xml:space="preserve">excel </t>
    </r>
    <r>
      <rPr>
        <b/>
        <sz val="14"/>
        <color theme="1"/>
        <rFont val="Calibri"/>
        <family val="2"/>
        <scheme val="minor"/>
      </rPr>
      <t>to classify patient addiction type (alcohol, cocaine, heroin) by constructing a classification and regression tree (CART) (two levels only), using Ethnicity and Age Category</t>
    </r>
    <r>
      <rPr>
        <sz val="14"/>
        <color theme="1"/>
        <rFont val="Calibri"/>
        <family val="2"/>
        <scheme val="minor"/>
      </rPr>
      <t>. (20 points)</t>
    </r>
  </si>
  <si>
    <t xml:space="preserve"> </t>
  </si>
  <si>
    <t>Predicted</t>
  </si>
  <si>
    <t>Actual</t>
  </si>
  <si>
    <t>Output Layer</t>
  </si>
  <si>
    <t>4) Using data in the table below, construct a Neural Network with one Output Layer (z) and one Hidden Layer (A and B).</t>
  </si>
  <si>
    <t xml:space="preserve"> Calculate the predicted outcome if the inputs to the input nodes are (x=1, Node 1=.4, Node 2=.7 Node 3= .7 and Node 4=.2). (15 points)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</si>
  <si>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</si>
  <si>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</si>
  <si>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</si>
  <si>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</si>
  <si>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</si>
  <si>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</si>
  <si>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</si>
  <si>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</si>
  <si>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</si>
  <si>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</si>
  <si>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</si>
  <si>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</si>
  <si>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</si>
  <si>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(0.886432)*(1-0.886432)*(0.8-0.886432)</t>
  </si>
  <si>
    <t>input</t>
  </si>
  <si>
    <t>Output</t>
  </si>
  <si>
    <t>f(net-z)</t>
  </si>
  <si>
    <t>(1/(1+exp(-x))</t>
  </si>
  <si>
    <t>Learning Factor</t>
  </si>
  <si>
    <t>difference</t>
  </si>
  <si>
    <t>Flow</t>
  </si>
  <si>
    <t>Adjustment</t>
  </si>
  <si>
    <t>Old Weight</t>
  </si>
  <si>
    <t>New Weight</t>
  </si>
  <si>
    <t>(0.8532096)*(1-0.85320966)*0.9*(-0.00870115)</t>
  </si>
  <si>
    <t>(0.874352143)*(1-0.874352143)*0.9*(--0.00098078)</t>
  </si>
  <si>
    <t>STEP 2</t>
  </si>
  <si>
    <t>(0.88620897)*(1-0.88620897)*(0.8-0.88620897)</t>
  </si>
  <si>
    <t>(0.853181342)*(1-0.853181342)*0.9*(-0.00869354)</t>
  </si>
  <si>
    <t>(0.874352143)*(1-0.874352143)*0.9*(-0.00869354)</t>
  </si>
  <si>
    <t>Split</t>
  </si>
  <si>
    <t>PL</t>
  </si>
  <si>
    <t>PR</t>
  </si>
  <si>
    <t>Ethnicity : Black</t>
  </si>
  <si>
    <t>Level</t>
  </si>
  <si>
    <t>Ethnicity : Hispanic</t>
  </si>
  <si>
    <t>Ethnicity : White</t>
  </si>
  <si>
    <t>Ethnicity : Hispanic, White</t>
  </si>
  <si>
    <t>Ethnicity : Black, White</t>
  </si>
  <si>
    <t>Ethnicity : Black, Hispanic</t>
  </si>
  <si>
    <t>Age : Old</t>
  </si>
  <si>
    <t>Age : Young</t>
  </si>
  <si>
    <t>P( j |tL )</t>
  </si>
  <si>
    <t>P( j |tR)</t>
  </si>
  <si>
    <t>2PL PR</t>
  </si>
  <si>
    <t>Q(s|t)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</si>
  <si>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(s|t)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</si>
</sst>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00000"/>
    <numFmt numFmtId="167" formatCode="0.00000000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548DD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</cellStyleXfs>
  <cellXfs count="95">
    <xf numFmtId="0" fontId="0" fillId="0" borderId="0" xfId="0"/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/>
    <xf numFmtId="0" fontId="0" fillId="0" borderId="11" xfId="0" applyBorder="1"/>
    <xf numFmtId="0" fontId="4" fillId="4" borderId="11" xfId="3" applyBorder="1"/>
    <xf numFmtId="10" fontId="0" fillId="0" borderId="11" xfId="0" applyNumberFormat="1" applyBorder="1"/>
    <xf numFmtId="0" fontId="1" fillId="2" borderId="11" xfId="1" applyBorder="1"/>
    <xf numFmtId="0" fontId="2" fillId="3" borderId="11" xfId="2" applyBorder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/>
    <xf numFmtId="0" fontId="14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10" fillId="6" borderId="0" xfId="0" applyFont="1" applyFill="1" applyBorder="1"/>
    <xf numFmtId="0" fontId="12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6" fillId="0" borderId="0" xfId="0" applyFont="1" applyAlignment="1"/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0" fillId="0" borderId="0" xfId="0" applyNumberFormat="1" applyFont="1" applyFill="1" applyBorder="1"/>
    <xf numFmtId="0" fontId="17" fillId="0" borderId="0" xfId="0" applyFont="1" applyFill="1" applyBorder="1"/>
    <xf numFmtId="164" fontId="0" fillId="0" borderId="0" xfId="0" applyNumberFormat="1"/>
    <xf numFmtId="165" fontId="3" fillId="0" borderId="0" xfId="0" applyNumberFormat="1" applyFont="1"/>
    <xf numFmtId="166" fontId="3" fillId="0" borderId="0" xfId="0" applyNumberFormat="1" applyFont="1"/>
    <xf numFmtId="0" fontId="18" fillId="7" borderId="6" xfId="0" applyFont="1" applyFill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19" fillId="0" borderId="0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4" fillId="0" borderId="0" xfId="0" applyNumberFormat="1" applyFont="1" applyFill="1" applyBorder="1" applyAlignment="1">
      <alignment horizontal="left" vertical="center"/>
    </xf>
    <xf numFmtId="164" fontId="20" fillId="0" borderId="0" xfId="0" applyNumberFormat="1" applyFont="1" applyFill="1" applyBorder="1" applyAlignment="1">
      <alignment horizontal="left" vertic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6" fontId="19" fillId="0" borderId="0" xfId="0" applyNumberFormat="1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6" fontId="19" fillId="0" borderId="4" xfId="0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/>
    <xf numFmtId="0" fontId="0" fillId="8" borderId="1" xfId="0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7" fontId="0" fillId="0" borderId="4" xfId="0" applyNumberForma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1"/>
    <xf numFmtId="0" fontId="4" fillId="5" borderId="12" xfId="4" applyBorder="1" applyAlignment="1">
      <alignment horizontal="center" vertical="center"/>
    </xf>
    <xf numFmtId="0" fontId="4" fillId="5" borderId="14" xfId="4" applyBorder="1" applyAlignment="1">
      <alignment horizontal="center" vertical="center"/>
    </xf>
    <xf numFmtId="0" fontId="4" fillId="5" borderId="13" xfId="4" applyBorder="1" applyAlignment="1">
      <alignment horizontal="center" vertical="center"/>
    </xf>
    <xf numFmtId="0" fontId="4" fillId="5" borderId="11" xfId="4" applyBorder="1" applyAlignment="1">
      <alignment horizontal="center"/>
    </xf>
    <xf numFmtId="49" fontId="0" fillId="0" borderId="0" xfId="0" applyNumberFormat="1" applyAlignment="1">
      <alignment horizontal="left"/>
    </xf>
    <xf numFmtId="0" fontId="21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4" fillId="4" borderId="0" xfId="3"/>
    <xf numFmtId="0" fontId="0" fillId="0" borderId="0" xfId="0" applyFont="1"/>
    <xf numFmtId="0" fontId="4" fillId="9" borderId="0" xfId="5"/>
  </cellXfs>
  <cellStyles count="6">
    <cellStyle name="Accent1" xfId="3" builtinId="29"/>
    <cellStyle name="Accent3" xfId="4" builtinId="37"/>
    <cellStyle name="Accent6" xfId="5" builtinId="49"/>
    <cellStyle name="Bad" xfId="2" builtinId="27"/>
    <cellStyle name="Good" xfId="1" builtinId="26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548DD4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548DD4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548DD4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548DD4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548DD4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548DD4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</xdr:row>
      <xdr:rowOff>28575</xdr:rowOff>
    </xdr:from>
    <xdr:to>
      <xdr:col>2</xdr:col>
      <xdr:colOff>504825</xdr:colOff>
      <xdr:row>11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3162D-3A52-4CE8-AFB2-378CA3509F68}"/>
            </a:ext>
          </a:extLst>
        </xdr:cNvPr>
        <xdr:cNvSpPr>
          <a:spLocks noChangeArrowheads="1"/>
        </xdr:cNvSpPr>
      </xdr:nvSpPr>
      <xdr:spPr bwMode="auto">
        <a:xfrm>
          <a:off x="710565" y="2588895"/>
          <a:ext cx="104394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12</xdr:row>
      <xdr:rowOff>95250</xdr:rowOff>
    </xdr:from>
    <xdr:to>
      <xdr:col>2</xdr:col>
      <xdr:colOff>504825</xdr:colOff>
      <xdr:row>15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EE1F007-F554-4461-8464-A58B90E2024E}"/>
            </a:ext>
          </a:extLst>
        </xdr:cNvPr>
        <xdr:cNvSpPr>
          <a:spLocks noChangeArrowheads="1"/>
        </xdr:cNvSpPr>
      </xdr:nvSpPr>
      <xdr:spPr bwMode="auto">
        <a:xfrm>
          <a:off x="710565" y="3402330"/>
          <a:ext cx="1043940" cy="57340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17</xdr:row>
      <xdr:rowOff>0</xdr:rowOff>
    </xdr:from>
    <xdr:to>
      <xdr:col>2</xdr:col>
      <xdr:colOff>504825</xdr:colOff>
      <xdr:row>20</xdr:row>
      <xdr:rowOff>9525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320A682-B68B-4359-AA6A-7E005531CA57}"/>
            </a:ext>
          </a:extLst>
        </xdr:cNvPr>
        <xdr:cNvSpPr>
          <a:spLocks noChangeArrowheads="1"/>
        </xdr:cNvSpPr>
      </xdr:nvSpPr>
      <xdr:spPr bwMode="auto">
        <a:xfrm>
          <a:off x="710565" y="4236720"/>
          <a:ext cx="104394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10</xdr:row>
      <xdr:rowOff>123825</xdr:rowOff>
    </xdr:from>
    <xdr:to>
      <xdr:col>7</xdr:col>
      <xdr:colOff>504825</xdr:colOff>
      <xdr:row>13</xdr:row>
      <xdr:rowOff>133350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EA8E1E1-2E5B-42A7-A4A8-DB2DC523E887}"/>
            </a:ext>
          </a:extLst>
        </xdr:cNvPr>
        <xdr:cNvSpPr>
          <a:spLocks noChangeArrowheads="1"/>
        </xdr:cNvSpPr>
      </xdr:nvSpPr>
      <xdr:spPr bwMode="auto">
        <a:xfrm>
          <a:off x="5625465" y="3049905"/>
          <a:ext cx="1242060" cy="57340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A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5</xdr:col>
      <xdr:colOff>590550</xdr:colOff>
      <xdr:row>16</xdr:row>
      <xdr:rowOff>9525</xdr:rowOff>
    </xdr:from>
    <xdr:to>
      <xdr:col>7</xdr:col>
      <xdr:colOff>400050</xdr:colOff>
      <xdr:row>19</xdr:row>
      <xdr:rowOff>19050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A81DE3D-35E3-4845-B39E-7B110658C2A0}"/>
            </a:ext>
          </a:extLst>
        </xdr:cNvPr>
        <xdr:cNvSpPr>
          <a:spLocks noChangeArrowheads="1"/>
        </xdr:cNvSpPr>
      </xdr:nvSpPr>
      <xdr:spPr bwMode="auto">
        <a:xfrm>
          <a:off x="5071110" y="4063365"/>
          <a:ext cx="169164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B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2</xdr:col>
      <xdr:colOff>438150</xdr:colOff>
      <xdr:row>9</xdr:row>
      <xdr:rowOff>133350</xdr:rowOff>
    </xdr:from>
    <xdr:to>
      <xdr:col>6</xdr:col>
      <xdr:colOff>114300</xdr:colOff>
      <xdr:row>12</xdr:row>
      <xdr:rowOff>38100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D1C87694-FB9B-4551-8E4E-E336FB2F9A57}"/>
            </a:ext>
          </a:extLst>
        </xdr:cNvPr>
        <xdr:cNvSpPr>
          <a:spLocks noChangeShapeType="1"/>
        </xdr:cNvSpPr>
      </xdr:nvSpPr>
      <xdr:spPr bwMode="auto">
        <a:xfrm>
          <a:off x="1687830" y="2876550"/>
          <a:ext cx="3966210" cy="4686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495300</xdr:colOff>
      <xdr:row>9</xdr:row>
      <xdr:rowOff>152400</xdr:rowOff>
    </xdr:from>
    <xdr:to>
      <xdr:col>5</xdr:col>
      <xdr:colOff>581025</xdr:colOff>
      <xdr:row>17</xdr:row>
      <xdr:rowOff>47625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FC180817-47A9-4894-9793-5FCACFF30A00}"/>
            </a:ext>
          </a:extLst>
        </xdr:cNvPr>
        <xdr:cNvSpPr>
          <a:spLocks noChangeShapeType="1"/>
        </xdr:cNvSpPr>
      </xdr:nvSpPr>
      <xdr:spPr bwMode="auto">
        <a:xfrm>
          <a:off x="1744980" y="2895600"/>
          <a:ext cx="3316605" cy="13887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504825</xdr:colOff>
      <xdr:row>12</xdr:row>
      <xdr:rowOff>76200</xdr:rowOff>
    </xdr:from>
    <xdr:to>
      <xdr:col>6</xdr:col>
      <xdr:colOff>47625</xdr:colOff>
      <xdr:row>14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26A4718B-4E13-479A-BEEC-BDF405C9E85E}"/>
            </a:ext>
          </a:extLst>
        </xdr:cNvPr>
        <xdr:cNvSpPr>
          <a:spLocks noChangeShapeType="1"/>
        </xdr:cNvSpPr>
      </xdr:nvSpPr>
      <xdr:spPr bwMode="auto">
        <a:xfrm flipV="1">
          <a:off x="1754505" y="3383280"/>
          <a:ext cx="3832860" cy="2990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14</xdr:row>
      <xdr:rowOff>9525</xdr:rowOff>
    </xdr:from>
    <xdr:to>
      <xdr:col>5</xdr:col>
      <xdr:colOff>590550</xdr:colOff>
      <xdr:row>17</xdr:row>
      <xdr:rowOff>38100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FD2EBF02-DAD7-4DD1-A638-7124AC1F4CCB}"/>
            </a:ext>
          </a:extLst>
        </xdr:cNvPr>
        <xdr:cNvSpPr>
          <a:spLocks noChangeShapeType="1"/>
        </xdr:cNvSpPr>
      </xdr:nvSpPr>
      <xdr:spPr bwMode="auto">
        <a:xfrm>
          <a:off x="1706880" y="3682365"/>
          <a:ext cx="3364230" cy="59245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17</xdr:row>
      <xdr:rowOff>38100</xdr:rowOff>
    </xdr:from>
    <xdr:to>
      <xdr:col>5</xdr:col>
      <xdr:colOff>590550</xdr:colOff>
      <xdr:row>18</xdr:row>
      <xdr:rowOff>85725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AA306522-3AFF-4488-A6CC-374E23E61A62}"/>
            </a:ext>
          </a:extLst>
        </xdr:cNvPr>
        <xdr:cNvSpPr>
          <a:spLocks noChangeShapeType="1"/>
        </xdr:cNvSpPr>
      </xdr:nvSpPr>
      <xdr:spPr bwMode="auto">
        <a:xfrm flipV="1">
          <a:off x="1735455" y="4274820"/>
          <a:ext cx="3335655" cy="23050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12</xdr:row>
      <xdr:rowOff>38100</xdr:rowOff>
    </xdr:from>
    <xdr:to>
      <xdr:col>6</xdr:col>
      <xdr:colOff>104775</xdr:colOff>
      <xdr:row>18</xdr:row>
      <xdr:rowOff>57150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9C5836D-7001-459F-A9D7-0405DD3916C7}"/>
            </a:ext>
          </a:extLst>
        </xdr:cNvPr>
        <xdr:cNvSpPr>
          <a:spLocks noChangeShapeType="1"/>
        </xdr:cNvSpPr>
      </xdr:nvSpPr>
      <xdr:spPr bwMode="auto">
        <a:xfrm flipV="1">
          <a:off x="1735455" y="3345180"/>
          <a:ext cx="3909060" cy="11315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12</xdr:row>
      <xdr:rowOff>152400</xdr:rowOff>
    </xdr:from>
    <xdr:to>
      <xdr:col>11</xdr:col>
      <xdr:colOff>114300</xdr:colOff>
      <xdr:row>16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151BE32E-9A3F-47CC-B4BD-8EB7D428AC60}"/>
            </a:ext>
          </a:extLst>
        </xdr:cNvPr>
        <xdr:cNvSpPr>
          <a:spLocks noChangeArrowheads="1"/>
        </xdr:cNvSpPr>
      </xdr:nvSpPr>
      <xdr:spPr bwMode="auto">
        <a:xfrm>
          <a:off x="8732520" y="3459480"/>
          <a:ext cx="1280160" cy="59436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504825</xdr:colOff>
      <xdr:row>12</xdr:row>
      <xdr:rowOff>47625</xdr:rowOff>
    </xdr:from>
    <xdr:to>
      <xdr:col>9</xdr:col>
      <xdr:colOff>304800</xdr:colOff>
      <xdr:row>14</xdr:row>
      <xdr:rowOff>57150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9CD2125-6E9D-4F24-8BDA-A7DA808177B7}"/>
            </a:ext>
          </a:extLst>
        </xdr:cNvPr>
        <xdr:cNvSpPr>
          <a:spLocks noChangeShapeType="1"/>
        </xdr:cNvSpPr>
      </xdr:nvSpPr>
      <xdr:spPr bwMode="auto">
        <a:xfrm>
          <a:off x="6867525" y="3354705"/>
          <a:ext cx="1864995" cy="3752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14</xdr:row>
      <xdr:rowOff>66675</xdr:rowOff>
    </xdr:from>
    <xdr:to>
      <xdr:col>9</xdr:col>
      <xdr:colOff>295275</xdr:colOff>
      <xdr:row>17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85D7AB85-B0F2-47F7-B372-F4EB98A4CB4A}"/>
            </a:ext>
          </a:extLst>
        </xdr:cNvPr>
        <xdr:cNvSpPr>
          <a:spLocks noChangeShapeType="1"/>
        </xdr:cNvSpPr>
      </xdr:nvSpPr>
      <xdr:spPr bwMode="auto">
        <a:xfrm flipV="1">
          <a:off x="6762750" y="3739515"/>
          <a:ext cx="1960245" cy="563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3</xdr:row>
      <xdr:rowOff>95250</xdr:rowOff>
    </xdr:from>
    <xdr:to>
      <xdr:col>2</xdr:col>
      <xdr:colOff>523875</xdr:colOff>
      <xdr:row>6</xdr:row>
      <xdr:rowOff>104775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0AA6840-4D62-4D1C-A7B3-C887A8299910}"/>
            </a:ext>
          </a:extLst>
        </xdr:cNvPr>
        <xdr:cNvSpPr>
          <a:spLocks noChangeArrowheads="1"/>
        </xdr:cNvSpPr>
      </xdr:nvSpPr>
      <xdr:spPr bwMode="auto">
        <a:xfrm>
          <a:off x="729615" y="1741170"/>
          <a:ext cx="104394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2</xdr:col>
      <xdr:colOff>533400</xdr:colOff>
      <xdr:row>5</xdr:row>
      <xdr:rowOff>28575</xdr:rowOff>
    </xdr:from>
    <xdr:to>
      <xdr:col>6</xdr:col>
      <xdr:colOff>66675</xdr:colOff>
      <xdr:row>12</xdr:row>
      <xdr:rowOff>28575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727B36D5-A9D0-4456-9867-042F69E31974}"/>
            </a:ext>
          </a:extLst>
        </xdr:cNvPr>
        <xdr:cNvSpPr>
          <a:spLocks noChangeShapeType="1"/>
        </xdr:cNvSpPr>
      </xdr:nvSpPr>
      <xdr:spPr bwMode="auto">
        <a:xfrm>
          <a:off x="1783080" y="2040255"/>
          <a:ext cx="3823335" cy="1295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5</xdr:row>
      <xdr:rowOff>28575</xdr:rowOff>
    </xdr:from>
    <xdr:to>
      <xdr:col>5</xdr:col>
      <xdr:colOff>571500</xdr:colOff>
      <xdr:row>17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6DFCE378-4712-4748-A54C-5E36A94E160F}"/>
            </a:ext>
          </a:extLst>
        </xdr:cNvPr>
        <xdr:cNvSpPr>
          <a:spLocks noChangeShapeType="1"/>
        </xdr:cNvSpPr>
      </xdr:nvSpPr>
      <xdr:spPr bwMode="auto">
        <a:xfrm>
          <a:off x="1764030" y="2040255"/>
          <a:ext cx="3288030" cy="22536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</xdr:colOff>
      <xdr:row>5</xdr:row>
      <xdr:rowOff>28575</xdr:rowOff>
    </xdr:from>
    <xdr:to>
      <xdr:col>7</xdr:col>
      <xdr:colOff>523875</xdr:colOff>
      <xdr:row>8</xdr:row>
      <xdr:rowOff>38100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49E3725-2849-4CBE-8447-C83330148C1E}"/>
            </a:ext>
          </a:extLst>
        </xdr:cNvPr>
        <xdr:cNvSpPr>
          <a:spLocks noChangeArrowheads="1"/>
        </xdr:cNvSpPr>
      </xdr:nvSpPr>
      <xdr:spPr bwMode="auto">
        <a:xfrm>
          <a:off x="5644515" y="2040255"/>
          <a:ext cx="124206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XX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7</xdr:col>
      <xdr:colOff>533400</xdr:colOff>
      <xdr:row>6</xdr:row>
      <xdr:rowOff>142875</xdr:rowOff>
    </xdr:from>
    <xdr:to>
      <xdr:col>9</xdr:col>
      <xdr:colOff>295275</xdr:colOff>
      <xdr:row>14</xdr:row>
      <xdr:rowOff>47625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AA3EF7A8-3575-428D-AA93-D5D77BC232EC}"/>
            </a:ext>
          </a:extLst>
        </xdr:cNvPr>
        <xdr:cNvSpPr>
          <a:spLocks noChangeShapeType="1"/>
        </xdr:cNvSpPr>
      </xdr:nvSpPr>
      <xdr:spPr bwMode="auto">
        <a:xfrm>
          <a:off x="6896100" y="2337435"/>
          <a:ext cx="1826895" cy="13830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323850</xdr:colOff>
      <xdr:row>9</xdr:row>
      <xdr:rowOff>57150</xdr:rowOff>
    </xdr:from>
    <xdr:ext cx="431913" cy="179601"/>
    <xdr:sp macro="" textlink="">
      <xdr:nvSpPr>
        <xdr:cNvPr id="21" name="Text Box 22">
          <a:extLst>
            <a:ext uri="{FF2B5EF4-FFF2-40B4-BE49-F238E27FC236}">
              <a16:creationId xmlns:a16="http://schemas.microsoft.com/office/drawing/2014/main" id="{F951211E-243A-4122-98B7-FE83BDB6C46F}"/>
            </a:ext>
          </a:extLst>
        </xdr:cNvPr>
        <xdr:cNvSpPr txBox="1">
          <a:spLocks noChangeArrowheads="1"/>
        </xdr:cNvSpPr>
      </xdr:nvSpPr>
      <xdr:spPr bwMode="auto">
        <a:xfrm>
          <a:off x="948690" y="28003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1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276225</xdr:colOff>
      <xdr:row>13</xdr:row>
      <xdr:rowOff>114300</xdr:rowOff>
    </xdr:from>
    <xdr:ext cx="431913" cy="179601"/>
    <xdr:sp macro="" textlink="">
      <xdr:nvSpPr>
        <xdr:cNvPr id="22" name="Text Box 23">
          <a:extLst>
            <a:ext uri="{FF2B5EF4-FFF2-40B4-BE49-F238E27FC236}">
              <a16:creationId xmlns:a16="http://schemas.microsoft.com/office/drawing/2014/main" id="{33830792-24D4-47E9-9302-5C880A50AFB1}"/>
            </a:ext>
          </a:extLst>
        </xdr:cNvPr>
        <xdr:cNvSpPr txBox="1">
          <a:spLocks noChangeArrowheads="1"/>
        </xdr:cNvSpPr>
      </xdr:nvSpPr>
      <xdr:spPr bwMode="auto">
        <a:xfrm>
          <a:off x="901065" y="360426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2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352425</xdr:colOff>
      <xdr:row>18</xdr:row>
      <xdr:rowOff>9525</xdr:rowOff>
    </xdr:from>
    <xdr:ext cx="431913" cy="179601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305A81D0-3CF2-4725-AC79-7119CE06BD32}"/>
            </a:ext>
          </a:extLst>
        </xdr:cNvPr>
        <xdr:cNvSpPr txBox="1">
          <a:spLocks noChangeArrowheads="1"/>
        </xdr:cNvSpPr>
      </xdr:nvSpPr>
      <xdr:spPr bwMode="auto">
        <a:xfrm>
          <a:off x="977265" y="44291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3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409575</xdr:colOff>
      <xdr:row>4</xdr:row>
      <xdr:rowOff>85725</xdr:rowOff>
    </xdr:from>
    <xdr:ext cx="104003" cy="179601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CF38B7B1-8112-4FED-8195-1B53287F6924}"/>
            </a:ext>
          </a:extLst>
        </xdr:cNvPr>
        <xdr:cNvSpPr txBox="1">
          <a:spLocks noChangeArrowheads="1"/>
        </xdr:cNvSpPr>
      </xdr:nvSpPr>
      <xdr:spPr bwMode="auto">
        <a:xfrm>
          <a:off x="1034415" y="19145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X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10</xdr:col>
      <xdr:colOff>0</xdr:colOff>
      <xdr:row>14</xdr:row>
      <xdr:rowOff>9525</xdr:rowOff>
    </xdr:from>
    <xdr:ext cx="424732" cy="179601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6246D20E-FBC0-41FF-A00B-82738DB02CB6}"/>
            </a:ext>
          </a:extLst>
        </xdr:cNvPr>
        <xdr:cNvSpPr txBox="1">
          <a:spLocks noChangeArrowheads="1"/>
        </xdr:cNvSpPr>
      </xdr:nvSpPr>
      <xdr:spPr bwMode="auto">
        <a:xfrm>
          <a:off x="9273540" y="368236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z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twoCellAnchor>
    <xdr:from>
      <xdr:col>1</xdr:col>
      <xdr:colOff>76200</xdr:colOff>
      <xdr:row>21</xdr:row>
      <xdr:rowOff>0</xdr:rowOff>
    </xdr:from>
    <xdr:to>
      <xdr:col>2</xdr:col>
      <xdr:colOff>495300</xdr:colOff>
      <xdr:row>23</xdr:row>
      <xdr:rowOff>152400</xdr:rowOff>
    </xdr:to>
    <xdr:sp macro="" textlink="">
      <xdr:nvSpPr>
        <xdr:cNvPr id="26" name="Oval 3">
          <a:extLst>
            <a:ext uri="{FF2B5EF4-FFF2-40B4-BE49-F238E27FC236}">
              <a16:creationId xmlns:a16="http://schemas.microsoft.com/office/drawing/2014/main" id="{9AEB7206-3FC3-4885-B111-8CB7C4551C82}"/>
            </a:ext>
          </a:extLst>
        </xdr:cNvPr>
        <xdr:cNvSpPr>
          <a:spLocks noChangeArrowheads="1"/>
        </xdr:cNvSpPr>
      </xdr:nvSpPr>
      <xdr:spPr bwMode="auto">
        <a:xfrm>
          <a:off x="701040" y="4968240"/>
          <a:ext cx="1043940" cy="5638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endParaRPr lang="en-US"/>
        </a:p>
        <a:p>
          <a:r>
            <a:rPr lang="en-US"/>
            <a:t>Node 4</a:t>
          </a:r>
        </a:p>
      </xdr:txBody>
    </xdr:sp>
    <xdr:clientData/>
  </xdr:twoCellAnchor>
  <xdr:twoCellAnchor>
    <xdr:from>
      <xdr:col>2</xdr:col>
      <xdr:colOff>495300</xdr:colOff>
      <xdr:row>12</xdr:row>
      <xdr:rowOff>57150</xdr:rowOff>
    </xdr:from>
    <xdr:to>
      <xdr:col>6</xdr:col>
      <xdr:colOff>76200</xdr:colOff>
      <xdr:row>22</xdr:row>
      <xdr:rowOff>38100</xdr:rowOff>
    </xdr:to>
    <xdr:sp macro="" textlink="">
      <xdr:nvSpPr>
        <xdr:cNvPr id="27" name="Line 11">
          <a:extLst>
            <a:ext uri="{FF2B5EF4-FFF2-40B4-BE49-F238E27FC236}">
              <a16:creationId xmlns:a16="http://schemas.microsoft.com/office/drawing/2014/main" id="{759CC13D-95AD-4EF8-B4A2-A6244EDE3EEB}"/>
            </a:ext>
          </a:extLst>
        </xdr:cNvPr>
        <xdr:cNvSpPr>
          <a:spLocks noChangeShapeType="1"/>
        </xdr:cNvSpPr>
      </xdr:nvSpPr>
      <xdr:spPr bwMode="auto">
        <a:xfrm flipV="1">
          <a:off x="1744980" y="3364230"/>
          <a:ext cx="3870960" cy="187071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</xdr:col>
      <xdr:colOff>504825</xdr:colOff>
      <xdr:row>17</xdr:row>
      <xdr:rowOff>152400</xdr:rowOff>
    </xdr:from>
    <xdr:to>
      <xdr:col>5</xdr:col>
      <xdr:colOff>581025</xdr:colOff>
      <xdr:row>22</xdr:row>
      <xdr:rowOff>38100</xdr:rowOff>
    </xdr:to>
    <xdr:sp macro="" textlink="">
      <xdr:nvSpPr>
        <xdr:cNvPr id="28" name="Line 10">
          <a:extLst>
            <a:ext uri="{FF2B5EF4-FFF2-40B4-BE49-F238E27FC236}">
              <a16:creationId xmlns:a16="http://schemas.microsoft.com/office/drawing/2014/main" id="{E4947B6A-924D-496C-AB10-916699DA4FC6}"/>
            </a:ext>
          </a:extLst>
        </xdr:cNvPr>
        <xdr:cNvSpPr>
          <a:spLocks noChangeShapeType="1"/>
        </xdr:cNvSpPr>
      </xdr:nvSpPr>
      <xdr:spPr bwMode="auto">
        <a:xfrm flipV="1">
          <a:off x="1754505" y="4389120"/>
          <a:ext cx="3307080" cy="845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4EC18-8744-4AB1-BF18-E649A90E4D01}" name="Table1" displayName="Table1" ref="A4:F11" totalsRowShown="0" headerRowDxfId="19" dataDxfId="17" headerRowBorderDxfId="18" tableBorderDxfId="16">
  <autoFilter ref="A4:F11" xr:uid="{30E8B388-FD6E-40E7-BBC6-9FC9816535B7}"/>
  <tableColumns count="6">
    <tableColumn id="1" xr3:uid="{6F840108-41AD-420A-8D6A-852F3AF469C5}" name="Ethnicity" dataDxfId="15"/>
    <tableColumn id="2" xr3:uid="{AD6DFD83-31D8-42BF-895C-BE3FA2E7A27D}" name="Age Category" dataDxfId="14"/>
    <tableColumn id="3" xr3:uid="{0728F558-B0AF-4D07-8D40-ABFA1749D47F}" name="Alcohol" dataDxfId="13"/>
    <tableColumn id="4" xr3:uid="{77C210CE-81AB-44C1-8EA1-54EBE7811FC9}" name="Cocaine" dataDxfId="12"/>
    <tableColumn id="5" xr3:uid="{00C0AB7F-CFBC-4332-A09C-6447478BB7DB}" name="Heroin" dataDxfId="11"/>
    <tableColumn id="6" xr3:uid="{0EF6DD76-EBFB-4C23-93B0-60501EEC15C5}" name="Row Total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88BE9-D0C9-45D2-833F-14B2953290A5}" name="Table4" displayName="Table4" ref="B14:D18" totalsRowShown="0" headerRowCellStyle="Accent1">
  <autoFilter ref="B14:D18" xr:uid="{38900E6E-8393-484F-9B81-1E6AF066CEFD}"/>
  <tableColumns count="3">
    <tableColumn id="1" xr3:uid="{7E4DECD9-49A9-47B6-A677-9EA02DFEEABE}" name="Split"/>
    <tableColumn id="2" xr3:uid="{55FF451D-64A2-4DD0-9008-3F5F9671695B}" name="PL"/>
    <tableColumn id="3" xr3:uid="{D403447A-BA38-4379-806C-44AB0D7A0D1D}" name="P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BA4568-E5E2-4805-9F30-1C4240D84156}" name="Table7" displayName="Table7" ref="I4:Q16" totalsRowShown="0">
  <autoFilter ref="I4:Q16" xr:uid="{583A14E9-E279-4EFA-9615-2337AB9CA4D2}"/>
  <tableColumns count="9">
    <tableColumn id="1" xr3:uid="{CB7C0283-D424-47CE-974A-417218166B31}" name="Split"/>
    <tableColumn id="2" xr3:uid="{05DA4812-8256-4BD7-A2F8-15951B03AE74}" name="PL"/>
    <tableColumn id="3" xr3:uid="{D9CC319F-0DA6-4102-8D00-750132C72F6B}" name="PR"/>
    <tableColumn id="4" xr3:uid="{2B7F0373-F018-4BE5-BC73-353DA754FC85}" name="Level"/>
    <tableColumn id="5" xr3:uid="{9E7C2B35-48C3-4462-8FF2-C4B291DF526C}" name="P( j |tL )"/>
    <tableColumn id="6" xr3:uid="{5A696524-45B6-48B0-BA12-2FEE5FFAB335}" name="P( j |tR)"/>
    <tableColumn id="7" xr3:uid="{480C2002-B445-4A41-85B6-58DCA39FD276}" name="2PL PR"/>
    <tableColumn id="8" xr3:uid="{F2E89310-EE10-4FEE-AC8B-69D1AE262B22}" name="Q(s|t)"/>
    <tableColumn id="9" xr3:uid="{AE85A15A-083F-45F4-AB41-0FACEEA6BAEF}" name="Φ(s|t)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5D28A-E061-4198-B41C-4F127D4F4C98}" name="Table13" displayName="Table13" ref="A4:F11" totalsRowShown="0" headerRowDxfId="9" dataDxfId="7" headerRowBorderDxfId="8" tableBorderDxfId="6">
  <autoFilter ref="A4:F11" xr:uid="{54F2411C-8EB8-4959-943A-6ADDDCB592A4}"/>
  <tableColumns count="6">
    <tableColumn id="1" xr3:uid="{3205199C-DFA1-46BF-A940-CA72EFA4AF9A}" name="Ethnicity" dataDxfId="5"/>
    <tableColumn id="2" xr3:uid="{903AD18D-1CAB-48AD-92A5-036E0F54D78D}" name="Age Category" dataDxfId="4"/>
    <tableColumn id="3" xr3:uid="{75B8860F-186F-42EB-8616-3C226D33728D}" name="Alcohol" dataDxfId="3"/>
    <tableColumn id="4" xr3:uid="{D955A12D-C202-4F53-8F7F-EFA531C5F8B4}" name="Cocaine" dataDxfId="2"/>
    <tableColumn id="5" xr3:uid="{12AB863B-DBF2-4B2E-9822-166E507D485F}" name="Heroin" dataDxfId="1"/>
    <tableColumn id="6" xr3:uid="{CC33ACC1-8E06-4E74-B20C-54AED99486D5}" name="Row Total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EF25CA-1C4F-44C7-8581-2D6AAD1570B4}" name="Table3" displayName="Table3" ref="H6:L10" totalsRowShown="0">
  <tableColumns count="5">
    <tableColumn id="1" xr3:uid="{B2EBA1C1-39C8-469B-B041-7FDF4099FA00}" name="Type"/>
    <tableColumn id="2" xr3:uid="{66AF7876-CDDE-4454-86A3-A2F93766ED5F}" name="Col Total"/>
    <tableColumn id="3" xr3:uid="{DE47B11A-0E47-4292-A8E9-4C5FEB1FEB43}" name="pj"/>
    <tableColumn id="4" xr3:uid="{DAE00D7D-2C63-4E8C-AE4F-D392DF34DC96}" name="log2(pj)"/>
    <tableColumn id="5" xr3:uid="{D7C5CD9C-C38A-40E4-86FF-7D0427CAAF37}" name="-pj*LOG2(pj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0324-57A3-4C72-B5CC-3D95C20D688B}">
  <dimension ref="A2:Q25"/>
  <sheetViews>
    <sheetView tabSelected="1" topLeftCell="B1" workbookViewId="0">
      <selection activeCell="Q23" sqref="Q23"/>
    </sheetView>
  </sheetViews>
  <sheetFormatPr defaultRowHeight="14.4" x14ac:dyDescent="0.3"/>
  <cols>
    <col min="1" max="1" width="15.109375" bestFit="1" customWidth="1"/>
    <col min="2" max="2" width="17" customWidth="1"/>
    <col min="3" max="3" width="16.33203125" bestFit="1" customWidth="1"/>
    <col min="4" max="4" width="22.33203125" bestFit="1" customWidth="1"/>
    <col min="5" max="5" width="12.44140625" customWidth="1"/>
    <col min="6" max="6" width="13.44140625" customWidth="1"/>
    <col min="10" max="10" width="14.44140625" bestFit="1" customWidth="1"/>
    <col min="12" max="12" width="12.6640625" bestFit="1" customWidth="1"/>
    <col min="13" max="13" width="14.88671875" bestFit="1" customWidth="1"/>
    <col min="14" max="15" width="12" bestFit="1" customWidth="1"/>
  </cols>
  <sheetData>
    <row r="2" spans="1:17" ht="18" x14ac:dyDescent="0.3">
      <c r="A2" s="10" t="s">
        <v>24</v>
      </c>
    </row>
    <row r="4" spans="1:17" ht="18.600000000000001" thickBot="1" x14ac:dyDescent="0.35">
      <c r="A4" s="1" t="s">
        <v>0</v>
      </c>
      <c r="B4" s="1" t="s">
        <v>1</v>
      </c>
      <c r="C4" s="4" t="s">
        <v>2</v>
      </c>
      <c r="D4" s="4" t="s">
        <v>3</v>
      </c>
      <c r="E4" s="4" t="s">
        <v>4</v>
      </c>
      <c r="F4" s="5" t="s">
        <v>5</v>
      </c>
      <c r="I4" t="s">
        <v>61</v>
      </c>
      <c r="J4" t="s">
        <v>62</v>
      </c>
      <c r="K4" t="s">
        <v>63</v>
      </c>
      <c r="L4" t="s">
        <v>65</v>
      </c>
      <c r="M4" t="s">
        <v>73</v>
      </c>
      <c r="N4" t="s">
        <v>74</v>
      </c>
      <c r="O4" t="s">
        <v>75</v>
      </c>
      <c r="P4" t="s">
        <v>76</v>
      </c>
      <c r="Q4" t="s">
        <v>77</v>
      </c>
    </row>
    <row r="5" spans="1:17" ht="18.600000000000001" thickBot="1" x14ac:dyDescent="0.35">
      <c r="A5" s="1" t="s">
        <v>6</v>
      </c>
      <c r="B5" s="1" t="s">
        <v>7</v>
      </c>
      <c r="C5" s="2">
        <v>30</v>
      </c>
      <c r="D5" s="2">
        <v>48</v>
      </c>
      <c r="E5" s="2">
        <v>17</v>
      </c>
      <c r="F5" s="3">
        <v>95</v>
      </c>
      <c r="I5">
        <v>1</v>
      </c>
      <c r="J5">
        <f>205/400</f>
        <v>0.51249999999999996</v>
      </c>
      <c r="K5">
        <f>1-J5</f>
        <v>0.48750000000000004</v>
      </c>
      <c r="L5" t="s">
        <v>2</v>
      </c>
      <c r="M5">
        <f>55/205</f>
        <v>0.26829268292682928</v>
      </c>
      <c r="N5">
        <f>101/195</f>
        <v>0.517948717948718</v>
      </c>
      <c r="O5">
        <f>2*J5*K5</f>
        <v>0.49968750000000001</v>
      </c>
      <c r="P5">
        <f>ABS(M5-N5)+ABS(M6-N6)+ABS(M7-N7)</f>
        <v>0.97585991244527837</v>
      </c>
      <c r="Q5" s="94">
        <f>O5*P5</f>
        <v>0.48762500000000003</v>
      </c>
    </row>
    <row r="6" spans="1:17" ht="18.600000000000001" thickBot="1" x14ac:dyDescent="0.35">
      <c r="A6" s="1"/>
      <c r="B6" s="1" t="s">
        <v>8</v>
      </c>
      <c r="C6" s="2">
        <v>25</v>
      </c>
      <c r="D6" s="2">
        <v>72</v>
      </c>
      <c r="E6" s="2">
        <v>13</v>
      </c>
      <c r="F6" s="3">
        <v>110</v>
      </c>
      <c r="L6" t="s">
        <v>3</v>
      </c>
      <c r="M6">
        <f>120/205</f>
        <v>0.58536585365853655</v>
      </c>
      <c r="N6">
        <f>19/195</f>
        <v>9.7435897435897437E-2</v>
      </c>
    </row>
    <row r="7" spans="1:17" ht="18.600000000000001" thickBot="1" x14ac:dyDescent="0.35">
      <c r="A7" s="1" t="s">
        <v>9</v>
      </c>
      <c r="B7" s="1" t="s">
        <v>7</v>
      </c>
      <c r="C7" s="2">
        <v>7</v>
      </c>
      <c r="D7" s="2">
        <v>0</v>
      </c>
      <c r="E7" s="2">
        <v>5</v>
      </c>
      <c r="F7" s="3">
        <v>12</v>
      </c>
      <c r="L7" t="s">
        <v>4</v>
      </c>
      <c r="M7">
        <f>30/205</f>
        <v>0.14634146341463414</v>
      </c>
      <c r="N7">
        <f>75/195</f>
        <v>0.38461538461538464</v>
      </c>
    </row>
    <row r="8" spans="1:17" ht="18.600000000000001" thickBot="1" x14ac:dyDescent="0.35">
      <c r="A8" s="1"/>
      <c r="B8" s="1" t="s">
        <v>8</v>
      </c>
      <c r="C8" s="2">
        <v>8</v>
      </c>
      <c r="D8" s="2">
        <v>7</v>
      </c>
      <c r="E8" s="2">
        <v>19</v>
      </c>
      <c r="F8" s="3">
        <v>34</v>
      </c>
      <c r="I8" s="93">
        <v>2</v>
      </c>
      <c r="J8">
        <f>46/400</f>
        <v>0.115</v>
      </c>
      <c r="K8">
        <f>1-J8</f>
        <v>0.88500000000000001</v>
      </c>
      <c r="L8" t="s">
        <v>2</v>
      </c>
      <c r="M8">
        <f>15/46</f>
        <v>0.32608695652173914</v>
      </c>
      <c r="N8">
        <f>141/354</f>
        <v>0.39830508474576271</v>
      </c>
      <c r="O8">
        <f>2*J8*K8</f>
        <v>0.20355000000000001</v>
      </c>
      <c r="P8">
        <f>ABS(M8-N8)+ABS(M9-N9)+ABS(M10-N10)</f>
        <v>0.58585114222549739</v>
      </c>
      <c r="Q8">
        <f>O8*P8</f>
        <v>0.11924999999999999</v>
      </c>
    </row>
    <row r="9" spans="1:17" ht="18.600000000000001" thickBot="1" x14ac:dyDescent="0.35">
      <c r="A9" s="1" t="s">
        <v>10</v>
      </c>
      <c r="B9" s="1" t="s">
        <v>7</v>
      </c>
      <c r="C9" s="2">
        <v>60</v>
      </c>
      <c r="D9" s="2">
        <v>2</v>
      </c>
      <c r="E9" s="2">
        <v>17</v>
      </c>
      <c r="F9" s="3">
        <v>79</v>
      </c>
      <c r="L9" t="s">
        <v>3</v>
      </c>
      <c r="M9">
        <f>7/46</f>
        <v>0.15217391304347827</v>
      </c>
      <c r="N9">
        <f>132/354</f>
        <v>0.3728813559322034</v>
      </c>
    </row>
    <row r="10" spans="1:17" ht="18.600000000000001" thickBot="1" x14ac:dyDescent="0.35">
      <c r="A10" s="1"/>
      <c r="B10" s="1" t="s">
        <v>8</v>
      </c>
      <c r="C10" s="2">
        <v>26</v>
      </c>
      <c r="D10" s="2">
        <v>10</v>
      </c>
      <c r="E10" s="2">
        <v>34</v>
      </c>
      <c r="F10" s="3">
        <v>70</v>
      </c>
      <c r="L10" t="s">
        <v>4</v>
      </c>
      <c r="M10">
        <f>24/46</f>
        <v>0.52173913043478259</v>
      </c>
      <c r="N10">
        <f>81/354</f>
        <v>0.2288135593220339</v>
      </c>
    </row>
    <row r="11" spans="1:17" ht="18" x14ac:dyDescent="0.3">
      <c r="A11" s="6" t="s">
        <v>11</v>
      </c>
      <c r="B11" s="6"/>
      <c r="C11" s="7">
        <v>156</v>
      </c>
      <c r="D11" s="7">
        <v>139</v>
      </c>
      <c r="E11" s="7">
        <v>105</v>
      </c>
      <c r="F11" s="8">
        <v>400</v>
      </c>
      <c r="I11">
        <v>3</v>
      </c>
      <c r="J11">
        <f>149/400</f>
        <v>0.3725</v>
      </c>
      <c r="K11">
        <f>1-J11</f>
        <v>0.62749999999999995</v>
      </c>
      <c r="L11" t="s">
        <v>2</v>
      </c>
      <c r="M11">
        <f>86/149</f>
        <v>0.57718120805369133</v>
      </c>
      <c r="N11">
        <f>70/251</f>
        <v>0.2788844621513944</v>
      </c>
      <c r="O11">
        <f>2*J11*K11</f>
        <v>0.46748749999999994</v>
      </c>
      <c r="P11">
        <f>ABS(M11-N11)+ABS(M12-N12)+ABS(M13-N13)</f>
        <v>0.85087836573170417</v>
      </c>
      <c r="Q11">
        <f>O11*P11</f>
        <v>0.39777499999999999</v>
      </c>
    </row>
    <row r="12" spans="1:17" x14ac:dyDescent="0.3">
      <c r="I12" s="13"/>
      <c r="L12" t="s">
        <v>3</v>
      </c>
      <c r="M12">
        <f>12/149</f>
        <v>8.0536912751677847E-2</v>
      </c>
      <c r="N12">
        <f>127/251</f>
        <v>0.50597609561752988</v>
      </c>
    </row>
    <row r="13" spans="1:17" x14ac:dyDescent="0.3">
      <c r="L13" t="s">
        <v>4</v>
      </c>
      <c r="M13">
        <f>51/149</f>
        <v>0.34228187919463088</v>
      </c>
      <c r="N13">
        <f>54/251</f>
        <v>0.2151394422310757</v>
      </c>
    </row>
    <row r="14" spans="1:17" x14ac:dyDescent="0.3">
      <c r="B14" s="92" t="s">
        <v>61</v>
      </c>
      <c r="C14" s="92" t="s">
        <v>62</v>
      </c>
      <c r="D14" s="92" t="s">
        <v>63</v>
      </c>
      <c r="I14">
        <v>4</v>
      </c>
      <c r="J14">
        <f>186/400</f>
        <v>0.46500000000000002</v>
      </c>
      <c r="K14">
        <f>1-J14</f>
        <v>0.53499999999999992</v>
      </c>
      <c r="L14" t="s">
        <v>2</v>
      </c>
      <c r="M14">
        <f>97/186</f>
        <v>0.521505376344086</v>
      </c>
      <c r="N14">
        <f>59/214</f>
        <v>0.27570093457943923</v>
      </c>
      <c r="O14">
        <f>2*J14*K14</f>
        <v>0.49754999999999994</v>
      </c>
      <c r="P14">
        <f>ABS(M14-N14)+ABS(M15-N15)+ABS(M16-N16)</f>
        <v>0.49160888352929355</v>
      </c>
      <c r="Q14">
        <f>O14*P14</f>
        <v>0.24459999999999998</v>
      </c>
    </row>
    <row r="15" spans="1:17" x14ac:dyDescent="0.3">
      <c r="B15">
        <v>1</v>
      </c>
      <c r="C15" t="s">
        <v>64</v>
      </c>
      <c r="D15" t="s">
        <v>68</v>
      </c>
      <c r="L15" t="s">
        <v>3</v>
      </c>
      <c r="M15">
        <f>50/186</f>
        <v>0.26881720430107525</v>
      </c>
      <c r="N15">
        <f>89/214</f>
        <v>0.41588785046728971</v>
      </c>
    </row>
    <row r="16" spans="1:17" x14ac:dyDescent="0.3">
      <c r="B16">
        <v>2</v>
      </c>
      <c r="C16" t="s">
        <v>66</v>
      </c>
      <c r="D16" t="s">
        <v>69</v>
      </c>
      <c r="I16" s="13"/>
      <c r="L16" t="s">
        <v>4</v>
      </c>
      <c r="M16">
        <f>39/186</f>
        <v>0.20967741935483872</v>
      </c>
      <c r="N16">
        <f>66/214</f>
        <v>0.30841121495327101</v>
      </c>
    </row>
    <row r="17" spans="1:9" x14ac:dyDescent="0.3">
      <c r="B17">
        <v>3</v>
      </c>
      <c r="C17" t="s">
        <v>67</v>
      </c>
      <c r="D17" t="s">
        <v>70</v>
      </c>
    </row>
    <row r="18" spans="1:9" x14ac:dyDescent="0.3">
      <c r="B18">
        <v>4</v>
      </c>
      <c r="C18" t="s">
        <v>71</v>
      </c>
      <c r="D18" t="s">
        <v>72</v>
      </c>
    </row>
    <row r="20" spans="1:9" x14ac:dyDescent="0.3">
      <c r="I20" s="13"/>
    </row>
    <row r="21" spans="1:9" x14ac:dyDescent="0.3">
      <c r="E21" s="12"/>
    </row>
    <row r="25" spans="1:9" x14ac:dyDescent="0.3">
      <c r="A25" s="11"/>
      <c r="B25" s="11"/>
      <c r="C25" s="11"/>
      <c r="D25" s="13"/>
      <c r="E25" s="13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C71B-6971-4BFD-845E-BE3892229288}">
  <dimension ref="A2:XEU21"/>
  <sheetViews>
    <sheetView workbookViewId="0">
      <selection activeCell="D24" sqref="D24"/>
    </sheetView>
  </sheetViews>
  <sheetFormatPr defaultRowHeight="14.4" x14ac:dyDescent="0.3"/>
  <cols>
    <col min="1" max="1" width="13" customWidth="1"/>
    <col min="9" max="9" width="10.21875" customWidth="1"/>
    <col min="11" max="11" width="12.77734375" bestFit="1" customWidth="1"/>
    <col min="12" max="12" width="13.6640625" customWidth="1"/>
    <col min="15" max="15" width="10.109375" bestFit="1" customWidth="1"/>
    <col min="18" max="18" width="13.109375" bestFit="1" customWidth="1"/>
  </cols>
  <sheetData>
    <row r="2" spans="1:16375" ht="18" x14ac:dyDescent="0.3">
      <c r="A2" s="10" t="s">
        <v>12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AH2" s="10"/>
      <c r="XAI2" s="10"/>
      <c r="XAJ2" s="10"/>
      <c r="XAK2" s="10"/>
      <c r="XAL2" s="10"/>
      <c r="XAM2" s="10"/>
      <c r="XAN2" s="10"/>
      <c r="XAO2" s="10"/>
      <c r="XAP2" s="10"/>
      <c r="XAQ2" s="10"/>
      <c r="XAR2" s="10"/>
      <c r="XAS2" s="10"/>
      <c r="XAT2" s="10"/>
      <c r="XAU2" s="10"/>
      <c r="XAV2" s="10"/>
      <c r="XAW2" s="10"/>
      <c r="XAX2" s="10"/>
      <c r="XAY2" s="10"/>
      <c r="XAZ2" s="10"/>
      <c r="XBA2" s="10"/>
      <c r="XBB2" s="10"/>
      <c r="XBC2" s="10"/>
      <c r="XBD2" s="10"/>
      <c r="XBE2" s="10"/>
      <c r="XBF2" s="10"/>
      <c r="XBG2" s="10"/>
      <c r="XBH2" s="10"/>
      <c r="XBI2" s="10"/>
      <c r="XBJ2" s="10"/>
      <c r="XBK2" s="10"/>
      <c r="XBL2" s="10"/>
      <c r="XBM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  <c r="XDI2" s="10"/>
      <c r="XDJ2" s="10"/>
      <c r="XDK2" s="10"/>
      <c r="XDL2" s="10"/>
      <c r="XDM2" s="10"/>
      <c r="XDN2" s="10"/>
      <c r="XDO2" s="10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  <c r="XEO2" s="10"/>
      <c r="XEP2" s="10"/>
      <c r="XEQ2" s="10"/>
      <c r="XER2" s="10"/>
      <c r="XES2" s="10"/>
      <c r="XET2" s="10"/>
      <c r="XEU2" s="10"/>
    </row>
    <row r="4" spans="1:16375" ht="18.600000000000001" thickBot="1" x14ac:dyDescent="0.35">
      <c r="A4" s="1" t="s">
        <v>0</v>
      </c>
      <c r="B4" s="1" t="s">
        <v>1</v>
      </c>
      <c r="C4" s="4" t="s">
        <v>2</v>
      </c>
      <c r="D4" s="4" t="s">
        <v>3</v>
      </c>
      <c r="E4" s="4" t="s">
        <v>4</v>
      </c>
      <c r="F4" s="5" t="s">
        <v>5</v>
      </c>
    </row>
    <row r="5" spans="1:16375" ht="18.600000000000001" thickBot="1" x14ac:dyDescent="0.35">
      <c r="A5" s="1" t="s">
        <v>6</v>
      </c>
      <c r="B5" s="1" t="s">
        <v>7</v>
      </c>
      <c r="C5" s="2">
        <v>30</v>
      </c>
      <c r="D5" s="2">
        <v>48</v>
      </c>
      <c r="E5" s="2">
        <v>17</v>
      </c>
      <c r="F5" s="3">
        <v>95</v>
      </c>
    </row>
    <row r="6" spans="1:16375" ht="18.600000000000001" thickBot="1" x14ac:dyDescent="0.35">
      <c r="A6" s="1"/>
      <c r="B6" s="1" t="s">
        <v>8</v>
      </c>
      <c r="C6" s="2">
        <v>25</v>
      </c>
      <c r="D6" s="2">
        <v>72</v>
      </c>
      <c r="E6" s="2">
        <v>13</v>
      </c>
      <c r="F6" s="3">
        <v>110</v>
      </c>
      <c r="H6" t="s">
        <v>13</v>
      </c>
      <c r="I6" t="s">
        <v>14</v>
      </c>
      <c r="J6" t="s">
        <v>15</v>
      </c>
      <c r="K6" t="s">
        <v>16</v>
      </c>
      <c r="L6" s="12" t="s">
        <v>17</v>
      </c>
    </row>
    <row r="7" spans="1:16375" ht="18.600000000000001" thickBot="1" x14ac:dyDescent="0.35">
      <c r="A7" s="1" t="s">
        <v>9</v>
      </c>
      <c r="B7" s="1" t="s">
        <v>7</v>
      </c>
      <c r="C7" s="2">
        <v>7</v>
      </c>
      <c r="D7" s="2">
        <v>0</v>
      </c>
      <c r="E7" s="2">
        <v>5</v>
      </c>
      <c r="F7" s="3">
        <v>12</v>
      </c>
      <c r="H7" t="s">
        <v>2</v>
      </c>
      <c r="I7">
        <v>156</v>
      </c>
      <c r="J7">
        <f>I7/F11</f>
        <v>0.39</v>
      </c>
      <c r="K7">
        <f>LOG(J7,2)</f>
        <v>-1.3584539709124763</v>
      </c>
      <c r="L7">
        <f>-K7*J7</f>
        <v>0.52979704865586574</v>
      </c>
    </row>
    <row r="8" spans="1:16375" ht="18.600000000000001" thickBot="1" x14ac:dyDescent="0.35">
      <c r="A8" s="1"/>
      <c r="B8" s="1" t="s">
        <v>8</v>
      </c>
      <c r="C8" s="2">
        <v>8</v>
      </c>
      <c r="D8" s="2">
        <v>7</v>
      </c>
      <c r="E8" s="2">
        <v>19</v>
      </c>
      <c r="F8" s="3">
        <v>34</v>
      </c>
      <c r="H8" t="s">
        <v>3</v>
      </c>
      <c r="I8">
        <v>139</v>
      </c>
      <c r="J8">
        <f>I8/F11</f>
        <v>0.34749999999999998</v>
      </c>
      <c r="K8">
        <f>LOG(J8,2)</f>
        <v>-1.5249151170512174</v>
      </c>
      <c r="L8">
        <f>-K8*J8</f>
        <v>0.52990800317529796</v>
      </c>
    </row>
    <row r="9" spans="1:16375" ht="18.600000000000001" thickBot="1" x14ac:dyDescent="0.35">
      <c r="A9" s="1" t="s">
        <v>10</v>
      </c>
      <c r="B9" s="1" t="s">
        <v>7</v>
      </c>
      <c r="C9" s="2">
        <v>60</v>
      </c>
      <c r="D9" s="2">
        <v>2</v>
      </c>
      <c r="E9" s="2">
        <v>17</v>
      </c>
      <c r="F9" s="3">
        <v>79</v>
      </c>
      <c r="H9" t="s">
        <v>4</v>
      </c>
      <c r="I9">
        <v>105</v>
      </c>
      <c r="J9">
        <f>I9/F11</f>
        <v>0.26250000000000001</v>
      </c>
      <c r="K9">
        <f>LOG(J9,2)</f>
        <v>-1.9296106721086022</v>
      </c>
      <c r="L9">
        <f>-K9*J9</f>
        <v>0.50652280142850814</v>
      </c>
    </row>
    <row r="10" spans="1:16375" ht="18.600000000000001" thickBot="1" x14ac:dyDescent="0.35">
      <c r="A10" s="1"/>
      <c r="B10" s="1" t="s">
        <v>8</v>
      </c>
      <c r="C10" s="2">
        <v>26</v>
      </c>
      <c r="D10" s="2">
        <v>10</v>
      </c>
      <c r="E10" s="2">
        <v>34</v>
      </c>
      <c r="F10" s="3">
        <v>70</v>
      </c>
      <c r="H10" s="11"/>
      <c r="I10" s="11"/>
      <c r="J10" s="11"/>
      <c r="K10" s="13" t="s">
        <v>18</v>
      </c>
      <c r="L10" s="13">
        <f>SUM(L7:L9)</f>
        <v>1.5662278532596718</v>
      </c>
    </row>
    <row r="11" spans="1:16375" ht="18" x14ac:dyDescent="0.3">
      <c r="A11" s="6" t="s">
        <v>11</v>
      </c>
      <c r="B11" s="6"/>
      <c r="C11" s="7">
        <v>156</v>
      </c>
      <c r="D11" s="7">
        <v>139</v>
      </c>
      <c r="E11" s="7">
        <v>105</v>
      </c>
      <c r="F11" s="8">
        <v>400</v>
      </c>
    </row>
    <row r="15" spans="1:16375" x14ac:dyDescent="0.3">
      <c r="A15" s="14"/>
      <c r="B15" s="14"/>
      <c r="C15" s="14"/>
      <c r="D15" s="14"/>
      <c r="E15" s="14"/>
      <c r="F15" s="14"/>
      <c r="G15" s="88" t="s">
        <v>2</v>
      </c>
      <c r="H15" s="88"/>
      <c r="I15" s="88"/>
      <c r="J15" s="88" t="s">
        <v>3</v>
      </c>
      <c r="K15" s="88"/>
      <c r="L15" s="88"/>
      <c r="M15" s="88" t="s">
        <v>4</v>
      </c>
      <c r="N15" s="88"/>
      <c r="O15" s="88"/>
      <c r="P15" s="14"/>
      <c r="Q15" s="14"/>
      <c r="R15" s="14"/>
      <c r="S15" s="14"/>
    </row>
    <row r="16" spans="1:16375" x14ac:dyDescent="0.3">
      <c r="A16" s="14"/>
      <c r="B16" s="14"/>
      <c r="C16" s="15" t="s">
        <v>2</v>
      </c>
      <c r="D16" s="15" t="s">
        <v>3</v>
      </c>
      <c r="E16" s="15" t="s">
        <v>4</v>
      </c>
      <c r="F16" s="15" t="s">
        <v>19</v>
      </c>
      <c r="G16" s="15" t="s">
        <v>15</v>
      </c>
      <c r="H16" s="15" t="s">
        <v>16</v>
      </c>
      <c r="I16" s="15" t="s">
        <v>20</v>
      </c>
      <c r="J16" s="15" t="s">
        <v>15</v>
      </c>
      <c r="K16" s="15" t="s">
        <v>16</v>
      </c>
      <c r="L16" s="15" t="s">
        <v>20</v>
      </c>
      <c r="M16" s="15" t="s">
        <v>15</v>
      </c>
      <c r="N16" s="15" t="s">
        <v>16</v>
      </c>
      <c r="O16" s="15" t="s">
        <v>20</v>
      </c>
      <c r="P16" s="15" t="s">
        <v>5</v>
      </c>
      <c r="Q16" s="15" t="s">
        <v>21</v>
      </c>
      <c r="R16" s="15" t="s">
        <v>22</v>
      </c>
      <c r="S16" s="15" t="s">
        <v>23</v>
      </c>
    </row>
    <row r="17" spans="1:19" x14ac:dyDescent="0.3">
      <c r="A17" s="85" t="s">
        <v>0</v>
      </c>
      <c r="B17" s="15" t="s">
        <v>6</v>
      </c>
      <c r="C17" s="14">
        <v>55</v>
      </c>
      <c r="D17" s="14">
        <v>120</v>
      </c>
      <c r="E17" s="14">
        <v>30</v>
      </c>
      <c r="F17" s="14">
        <v>205</v>
      </c>
      <c r="G17" s="14">
        <f>C17/F17</f>
        <v>0.26829268292682928</v>
      </c>
      <c r="H17" s="14">
        <f>LOG(G17,2)</f>
        <v>-1.8981203859807865</v>
      </c>
      <c r="I17" s="14">
        <f>-H17*G17</f>
        <v>0.50925181087289395</v>
      </c>
      <c r="J17" s="14">
        <f>D17/F17</f>
        <v>0.58536585365853655</v>
      </c>
      <c r="K17" s="14">
        <f>LOG(J17,2)</f>
        <v>-0.7725895038969276</v>
      </c>
      <c r="L17" s="14">
        <f>-K17*J17</f>
        <v>0.45224751447625028</v>
      </c>
      <c r="M17" s="14">
        <f>E17/F17</f>
        <v>0.14634146341463414</v>
      </c>
      <c r="N17" s="14">
        <f>LOG(M17,2)</f>
        <v>-2.7725895038969277</v>
      </c>
      <c r="O17" s="14">
        <f>-N17*M17</f>
        <v>0.40574480544833086</v>
      </c>
      <c r="P17" s="14">
        <f>SUM(I17,L17,O17)</f>
        <v>1.367244130797475</v>
      </c>
      <c r="Q17" s="16">
        <f>F17/400</f>
        <v>0.51249999999999996</v>
      </c>
      <c r="R17" s="14">
        <f>P17*Q17</f>
        <v>0.70071261703370591</v>
      </c>
      <c r="S17" s="17">
        <f>L10-SUM(R17:R19)</f>
        <v>0.22433022430580274</v>
      </c>
    </row>
    <row r="18" spans="1:19" x14ac:dyDescent="0.3">
      <c r="A18" s="87"/>
      <c r="B18" s="15" t="s">
        <v>9</v>
      </c>
      <c r="C18" s="14">
        <v>15</v>
      </c>
      <c r="D18" s="14">
        <v>7</v>
      </c>
      <c r="E18" s="14">
        <v>24</v>
      </c>
      <c r="F18" s="14">
        <v>46</v>
      </c>
      <c r="G18" s="14">
        <f>C18/F18</f>
        <v>0.32608695652173914</v>
      </c>
      <c r="H18" s="14">
        <f t="shared" ref="H18:H21" si="0">LOG(G18,2)</f>
        <v>-1.6166713604484946</v>
      </c>
      <c r="I18" s="14">
        <f>-H18*G18</f>
        <v>0.52717544362450908</v>
      </c>
      <c r="J18" s="14">
        <f>D18/F18</f>
        <v>0.15217391304347827</v>
      </c>
      <c r="K18" s="14">
        <f t="shared" ref="K18:K21" si="1">LOG(J18,2)</f>
        <v>-2.7162070339994089</v>
      </c>
      <c r="L18" s="14">
        <f t="shared" ref="L18:L21" si="2">-K18*J18</f>
        <v>0.41333585299991005</v>
      </c>
      <c r="M18" s="14">
        <f t="shared" ref="M18:M21" si="3">E18/F18</f>
        <v>0.52173913043478259</v>
      </c>
      <c r="N18" s="14">
        <f t="shared" ref="N18:N21" si="4">LOG(M18,2)</f>
        <v>-0.93859945533585676</v>
      </c>
      <c r="O18" s="14">
        <f t="shared" ref="O18:O21" si="5">-N18*M18</f>
        <v>0.48970406365349045</v>
      </c>
      <c r="P18" s="14">
        <f>SUM(I18,L18,O18)</f>
        <v>1.4302153602779095</v>
      </c>
      <c r="Q18" s="16">
        <f>F18/400</f>
        <v>0.115</v>
      </c>
      <c r="R18" s="14">
        <f>P18*Q18</f>
        <v>0.1644747664319596</v>
      </c>
      <c r="S18" s="14"/>
    </row>
    <row r="19" spans="1:19" x14ac:dyDescent="0.3">
      <c r="A19" s="86"/>
      <c r="B19" s="15" t="s">
        <v>10</v>
      </c>
      <c r="C19" s="14">
        <v>86</v>
      </c>
      <c r="D19" s="14">
        <v>12</v>
      </c>
      <c r="E19" s="14">
        <v>51</v>
      </c>
      <c r="F19" s="14">
        <v>149</v>
      </c>
      <c r="G19" s="14">
        <f>C19/F19</f>
        <v>0.57718120805369133</v>
      </c>
      <c r="H19" s="14">
        <f t="shared" si="0"/>
        <v>-0.79290376576006349</v>
      </c>
      <c r="I19" s="14">
        <f>-H19*G19</f>
        <v>0.45764915339171452</v>
      </c>
      <c r="J19" s="14">
        <f t="shared" ref="J19:J21" si="6">D19/F19</f>
        <v>8.0536912751677847E-2</v>
      </c>
      <c r="K19" s="14">
        <f t="shared" si="1"/>
        <v>-3.6342060197410055</v>
      </c>
      <c r="L19" s="14">
        <f t="shared" si="2"/>
        <v>0.29268773313350377</v>
      </c>
      <c r="M19" s="14">
        <f t="shared" si="3"/>
        <v>0.34228187919463088</v>
      </c>
      <c r="N19" s="14">
        <f t="shared" si="4"/>
        <v>-1.5467431784906658</v>
      </c>
      <c r="O19" s="14">
        <f t="shared" si="5"/>
        <v>0.52942216176526147</v>
      </c>
      <c r="P19" s="14">
        <f t="shared" ref="P19:P21" si="7">SUM(I19,L19,O19)</f>
        <v>1.2797590482904797</v>
      </c>
      <c r="Q19" s="16">
        <f t="shared" ref="Q19:Q21" si="8">F19/400</f>
        <v>0.3725</v>
      </c>
      <c r="R19" s="14">
        <f t="shared" ref="R19:R21" si="9">P19*Q19</f>
        <v>0.47671024548820368</v>
      </c>
      <c r="S19" s="14"/>
    </row>
    <row r="20" spans="1:19" x14ac:dyDescent="0.3">
      <c r="A20" s="85" t="s">
        <v>1</v>
      </c>
      <c r="B20" s="15" t="s">
        <v>7</v>
      </c>
      <c r="C20" s="14">
        <v>97</v>
      </c>
      <c r="D20" s="14">
        <v>50</v>
      </c>
      <c r="E20" s="14">
        <v>39</v>
      </c>
      <c r="F20" s="14">
        <v>186</v>
      </c>
      <c r="G20" s="14">
        <f>C20/F20</f>
        <v>0.521505376344086</v>
      </c>
      <c r="H20" s="14">
        <f t="shared" si="0"/>
        <v>-0.93924596892090373</v>
      </c>
      <c r="I20" s="14">
        <f>-H20*G20</f>
        <v>0.48982182250176159</v>
      </c>
      <c r="J20" s="14">
        <f t="shared" si="6"/>
        <v>0.26881720430107525</v>
      </c>
      <c r="K20" s="14">
        <f t="shared" si="1"/>
        <v>-1.8953026213333068</v>
      </c>
      <c r="L20" s="14">
        <f t="shared" si="2"/>
        <v>0.50948995197131897</v>
      </c>
      <c r="M20" s="14">
        <f t="shared" si="3"/>
        <v>0.20967741935483872</v>
      </c>
      <c r="N20" s="14">
        <f t="shared" si="4"/>
        <v>-2.2537565922457832</v>
      </c>
      <c r="O20" s="14">
        <f t="shared" si="5"/>
        <v>0.47256186611605133</v>
      </c>
      <c r="P20" s="14">
        <f t="shared" si="7"/>
        <v>1.4718736405891319</v>
      </c>
      <c r="Q20" s="16">
        <f t="shared" si="8"/>
        <v>0.46500000000000002</v>
      </c>
      <c r="R20" s="14">
        <f t="shared" si="9"/>
        <v>0.68442124287394634</v>
      </c>
      <c r="S20" s="18">
        <f>L10-SUM(R20:R21)</f>
        <v>4.5987340526151721E-2</v>
      </c>
    </row>
    <row r="21" spans="1:19" x14ac:dyDescent="0.3">
      <c r="A21" s="86"/>
      <c r="B21" s="15" t="s">
        <v>8</v>
      </c>
      <c r="C21" s="14">
        <v>59</v>
      </c>
      <c r="D21" s="14">
        <v>89</v>
      </c>
      <c r="E21" s="14">
        <v>66</v>
      </c>
      <c r="F21" s="14">
        <v>214</v>
      </c>
      <c r="G21" s="14">
        <f>C21/F21</f>
        <v>0.27570093457943923</v>
      </c>
      <c r="H21" s="14">
        <f t="shared" si="0"/>
        <v>-1.8588239370393058</v>
      </c>
      <c r="I21" s="14">
        <f>-H21*G21</f>
        <v>0.51247949666036929</v>
      </c>
      <c r="J21" s="14">
        <f t="shared" si="6"/>
        <v>0.41588785046728971</v>
      </c>
      <c r="K21" s="14">
        <f t="shared" si="1"/>
        <v>-1.2657335554347493</v>
      </c>
      <c r="L21" s="14">
        <f t="shared" si="2"/>
        <v>0.526403207634078</v>
      </c>
      <c r="M21" s="14">
        <f t="shared" si="3"/>
        <v>0.30841121495327101</v>
      </c>
      <c r="N21" s="14">
        <f t="shared" si="4"/>
        <v>-1.6970728670426936</v>
      </c>
      <c r="O21" s="14">
        <f t="shared" si="5"/>
        <v>0.52339630478886812</v>
      </c>
      <c r="P21" s="14">
        <f t="shared" si="7"/>
        <v>1.5622790090833154</v>
      </c>
      <c r="Q21" s="16">
        <f t="shared" si="8"/>
        <v>0.53500000000000003</v>
      </c>
      <c r="R21" s="14">
        <f t="shared" si="9"/>
        <v>0.83581926985957378</v>
      </c>
      <c r="S21" s="14"/>
    </row>
  </sheetData>
  <mergeCells count="5">
    <mergeCell ref="A20:A21"/>
    <mergeCell ref="A17:A19"/>
    <mergeCell ref="G15:I15"/>
    <mergeCell ref="J15:L15"/>
    <mergeCell ref="M15:O1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93BF-EED3-4C67-A0AD-685E107671FB}">
  <dimension ref="A1:S94"/>
  <sheetViews>
    <sheetView zoomScaleNormal="100" workbookViewId="0">
      <selection activeCell="E93" sqref="E93"/>
    </sheetView>
  </sheetViews>
  <sheetFormatPr defaultRowHeight="14.4" x14ac:dyDescent="0.3"/>
  <cols>
    <col min="1" max="1" width="13.33203125" customWidth="1"/>
    <col min="2" max="2" width="13.77734375" customWidth="1"/>
    <col min="3" max="3" width="9.21875" bestFit="1" customWidth="1"/>
    <col min="5" max="5" width="11.5546875" bestFit="1" customWidth="1"/>
    <col min="10" max="10" width="9.21875" bestFit="1" customWidth="1"/>
    <col min="11" max="11" width="9.5546875" bestFit="1" customWidth="1"/>
    <col min="12" max="12" width="12" bestFit="1" customWidth="1"/>
    <col min="13" max="13" width="15.6640625" bestFit="1" customWidth="1"/>
    <col min="14" max="14" width="15" bestFit="1" customWidth="1"/>
    <col min="15" max="15" width="16.109375" bestFit="1" customWidth="1"/>
    <col min="18" max="18" width="14" bestFit="1" customWidth="1"/>
    <col min="19" max="19" width="9.21875" bestFit="1" customWidth="1"/>
  </cols>
  <sheetData>
    <row r="1" spans="1:19" ht="18" x14ac:dyDescent="0.3">
      <c r="A1" s="10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9" ht="18" x14ac:dyDescent="0.35">
      <c r="A2" s="29" t="s">
        <v>30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9" ht="15" thickBot="1" x14ac:dyDescent="0.35"/>
    <row r="4" spans="1:19" ht="17.399999999999999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N4" s="30" t="s">
        <v>31</v>
      </c>
      <c r="O4" s="31" t="s">
        <v>32</v>
      </c>
      <c r="P4" s="32" t="s">
        <v>33</v>
      </c>
    </row>
    <row r="5" spans="1:19" x14ac:dyDescent="0.3">
      <c r="A5" s="20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N5" s="33" t="s">
        <v>34</v>
      </c>
      <c r="O5" s="34" t="s">
        <v>35</v>
      </c>
      <c r="P5" s="35">
        <v>0.5</v>
      </c>
      <c r="R5" s="62" t="s">
        <v>26</v>
      </c>
      <c r="S5" s="64">
        <f>K17</f>
        <v>0.88643230033488507</v>
      </c>
    </row>
    <row r="6" spans="1:19" x14ac:dyDescent="0.3">
      <c r="A6" s="20"/>
      <c r="B6" s="19"/>
      <c r="C6" s="19"/>
      <c r="D6" s="19"/>
      <c r="E6" s="19"/>
      <c r="F6" s="20">
        <v>1</v>
      </c>
      <c r="G6" s="19"/>
      <c r="H6" s="19"/>
      <c r="I6" s="19"/>
      <c r="J6" s="19"/>
      <c r="K6" s="19"/>
      <c r="L6" s="19"/>
      <c r="N6" s="33" t="s">
        <v>36</v>
      </c>
      <c r="O6" s="34" t="s">
        <v>35</v>
      </c>
      <c r="P6" s="35">
        <v>0.6</v>
      </c>
      <c r="R6" s="62" t="s">
        <v>27</v>
      </c>
      <c r="S6" s="64">
        <f>K18</f>
        <v>0.8</v>
      </c>
    </row>
    <row r="7" spans="1:19" x14ac:dyDescent="0.3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N7" s="33" t="s">
        <v>37</v>
      </c>
      <c r="O7" s="34" t="s">
        <v>35</v>
      </c>
      <c r="P7" s="35">
        <v>0.8</v>
      </c>
      <c r="R7" s="63" t="s">
        <v>49</v>
      </c>
      <c r="S7" s="65">
        <f>10/100</f>
        <v>0.1</v>
      </c>
    </row>
    <row r="8" spans="1:19" x14ac:dyDescent="0.3">
      <c r="A8" s="20"/>
      <c r="B8" s="19"/>
      <c r="C8" s="19"/>
      <c r="D8" s="19"/>
      <c r="E8" s="21">
        <v>0.5</v>
      </c>
      <c r="F8" s="19"/>
      <c r="G8" s="19"/>
      <c r="H8" s="19"/>
      <c r="I8" s="19"/>
      <c r="J8" s="19"/>
      <c r="K8" s="19"/>
      <c r="L8" s="19"/>
      <c r="N8" s="33" t="s">
        <v>38</v>
      </c>
      <c r="O8" s="34" t="s">
        <v>35</v>
      </c>
      <c r="P8" s="35">
        <v>0.6</v>
      </c>
      <c r="R8" s="62" t="s">
        <v>50</v>
      </c>
      <c r="S8" s="64">
        <f>S6-S5</f>
        <v>-8.6432300334885026E-2</v>
      </c>
    </row>
    <row r="9" spans="1:19" x14ac:dyDescent="0.3">
      <c r="A9" s="20"/>
      <c r="B9" s="19"/>
      <c r="C9" s="19"/>
      <c r="D9" s="22">
        <v>0.7</v>
      </c>
      <c r="E9" s="19"/>
      <c r="F9" s="19"/>
      <c r="G9" s="19"/>
      <c r="I9" s="19"/>
      <c r="J9" s="19"/>
      <c r="K9" s="19"/>
      <c r="L9" s="23"/>
      <c r="N9" s="33" t="s">
        <v>39</v>
      </c>
      <c r="O9" s="34" t="s">
        <v>35</v>
      </c>
      <c r="P9" s="35">
        <v>0.2</v>
      </c>
    </row>
    <row r="10" spans="1:19" x14ac:dyDescent="0.3">
      <c r="A10" s="20">
        <v>0.4</v>
      </c>
      <c r="B10" s="19"/>
      <c r="C10" s="19"/>
      <c r="D10" s="19"/>
      <c r="E10" s="19"/>
      <c r="F10" s="19"/>
      <c r="G10">
        <f>A5*E8+A10*E12+A15*E14+A19*E16+A22*E20</f>
        <v>1.7599999999999998</v>
      </c>
      <c r="H10" s="19">
        <f>1/(1+EXP(-G10))</f>
        <v>0.85320966019861766</v>
      </c>
      <c r="I10" s="24">
        <v>0.5</v>
      </c>
      <c r="J10" s="19"/>
      <c r="K10" s="19"/>
      <c r="L10" s="23"/>
      <c r="N10" s="33" t="s">
        <v>40</v>
      </c>
      <c r="O10" s="34" t="s">
        <v>41</v>
      </c>
      <c r="P10" s="35">
        <v>0.7</v>
      </c>
    </row>
    <row r="11" spans="1:19" x14ac:dyDescent="0.3">
      <c r="A11" s="20"/>
      <c r="B11" s="19"/>
      <c r="C11" s="19"/>
      <c r="D11" s="19"/>
      <c r="E11" s="19"/>
      <c r="F11" s="19"/>
      <c r="G11" s="25"/>
      <c r="H11" s="19"/>
      <c r="I11" s="19"/>
      <c r="J11" s="19"/>
      <c r="K11" s="19">
        <f>F6*I10+H10*I13+H16*I17</f>
        <v>2.054805623314945</v>
      </c>
      <c r="N11" s="33" t="s">
        <v>36</v>
      </c>
      <c r="O11" s="34" t="s">
        <v>41</v>
      </c>
      <c r="P11" s="35">
        <v>0.9</v>
      </c>
    </row>
    <row r="12" spans="1:19" x14ac:dyDescent="0.3">
      <c r="A12" s="20"/>
      <c r="B12" s="19"/>
      <c r="C12" s="19"/>
      <c r="D12" s="19"/>
      <c r="E12" s="26">
        <v>0.6</v>
      </c>
      <c r="F12" s="19"/>
      <c r="G12" s="19"/>
      <c r="H12" s="19"/>
      <c r="I12" s="19"/>
      <c r="J12" s="19"/>
      <c r="K12" s="19">
        <f>1/(1+EXP(-K11))</f>
        <v>0.88643230033488507</v>
      </c>
      <c r="L12" s="23"/>
      <c r="N12" s="33" t="s">
        <v>37</v>
      </c>
      <c r="O12" s="34" t="s">
        <v>41</v>
      </c>
      <c r="P12" s="35">
        <v>0.8</v>
      </c>
    </row>
    <row r="13" spans="1:19" x14ac:dyDescent="0.3">
      <c r="A13" s="20"/>
      <c r="B13" s="19"/>
      <c r="C13" s="19"/>
      <c r="D13" s="22">
        <v>0.9</v>
      </c>
      <c r="E13" s="19"/>
      <c r="F13" s="19"/>
      <c r="G13" s="19"/>
      <c r="H13" s="19"/>
      <c r="I13" s="27">
        <v>0.9</v>
      </c>
      <c r="J13" s="19"/>
      <c r="K13" s="19"/>
      <c r="L13" s="23"/>
      <c r="N13" s="33" t="s">
        <v>38</v>
      </c>
      <c r="O13" s="34" t="s">
        <v>41</v>
      </c>
      <c r="P13" s="35">
        <v>0.4</v>
      </c>
    </row>
    <row r="14" spans="1:19" x14ac:dyDescent="0.3">
      <c r="A14" s="20"/>
      <c r="B14" s="19"/>
      <c r="C14" s="19"/>
      <c r="D14" s="24" t="s">
        <v>25</v>
      </c>
      <c r="E14" s="26">
        <v>0.8</v>
      </c>
      <c r="F14" s="19"/>
      <c r="G14" s="19"/>
      <c r="H14" s="19"/>
      <c r="I14" s="19"/>
      <c r="J14" s="19"/>
      <c r="K14" s="19"/>
      <c r="L14" s="19"/>
      <c r="N14" s="33" t="s">
        <v>39</v>
      </c>
      <c r="O14" s="34" t="s">
        <v>41</v>
      </c>
      <c r="P14" s="35">
        <v>0.2</v>
      </c>
    </row>
    <row r="15" spans="1:19" x14ac:dyDescent="0.3">
      <c r="A15" s="20">
        <v>0.7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N15" s="33" t="s">
        <v>42</v>
      </c>
      <c r="O15" s="34" t="s">
        <v>43</v>
      </c>
      <c r="P15" s="35">
        <v>0.5</v>
      </c>
    </row>
    <row r="16" spans="1:19" x14ac:dyDescent="0.3">
      <c r="A16" s="20"/>
      <c r="B16" s="19"/>
      <c r="C16" s="19"/>
      <c r="D16" s="22">
        <v>0.8</v>
      </c>
      <c r="E16" s="28">
        <v>0.6</v>
      </c>
      <c r="F16" s="19"/>
      <c r="G16">
        <f>A5*D9+A10*D13+A15*D16+A19*D19+A22*D22</f>
        <v>1.9400000000000002</v>
      </c>
      <c r="H16">
        <f>1/(1+EXP(-G16))</f>
        <v>0.8743521434846544</v>
      </c>
      <c r="I16" s="19"/>
      <c r="J16" s="19"/>
      <c r="K16" s="19"/>
      <c r="L16" s="19"/>
      <c r="N16" s="33" t="s">
        <v>35</v>
      </c>
      <c r="O16" s="34" t="s">
        <v>43</v>
      </c>
      <c r="P16" s="35">
        <v>0.9</v>
      </c>
    </row>
    <row r="17" spans="1:16" ht="15" thickBot="1" x14ac:dyDescent="0.35">
      <c r="A17" s="20"/>
      <c r="B17" s="19"/>
      <c r="C17" s="19"/>
      <c r="D17" s="19"/>
      <c r="E17" s="19"/>
      <c r="F17" s="19"/>
      <c r="G17" s="19"/>
      <c r="H17" s="19"/>
      <c r="I17" s="27">
        <v>0.9</v>
      </c>
      <c r="J17" s="19"/>
      <c r="K17" s="40">
        <f>K12</f>
        <v>0.88643230033488507</v>
      </c>
      <c r="L17" s="41" t="s">
        <v>26</v>
      </c>
      <c r="N17" s="36" t="s">
        <v>41</v>
      </c>
      <c r="O17" s="38" t="s">
        <v>43</v>
      </c>
      <c r="P17" s="39">
        <v>0.9</v>
      </c>
    </row>
    <row r="18" spans="1:16" x14ac:dyDescent="0.3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40">
        <v>0.8</v>
      </c>
      <c r="L18" s="19" t="s">
        <v>27</v>
      </c>
    </row>
    <row r="19" spans="1:16" x14ac:dyDescent="0.3">
      <c r="A19" s="20">
        <v>0.7</v>
      </c>
      <c r="B19" s="19"/>
      <c r="C19" s="19"/>
      <c r="D19" s="22">
        <v>0.4</v>
      </c>
      <c r="E19" s="19"/>
      <c r="F19" s="19"/>
      <c r="G19" s="19"/>
      <c r="H19" s="19"/>
      <c r="I19" s="19"/>
      <c r="J19" s="19"/>
      <c r="K19" s="19"/>
      <c r="L19" s="19"/>
    </row>
    <row r="20" spans="1:16" x14ac:dyDescent="0.3">
      <c r="A20" s="19"/>
      <c r="B20" s="19"/>
      <c r="C20" s="19"/>
      <c r="D20" s="19"/>
      <c r="E20" s="28">
        <v>0.2</v>
      </c>
      <c r="F20" s="19"/>
      <c r="G20" s="19"/>
      <c r="H20" s="19"/>
      <c r="I20" s="19"/>
      <c r="J20" s="19"/>
      <c r="K20" s="19"/>
      <c r="L20" s="19"/>
    </row>
    <row r="22" spans="1:16" ht="18" x14ac:dyDescent="0.35">
      <c r="A22" s="13">
        <v>0.2</v>
      </c>
      <c r="D22" s="22">
        <v>0.2</v>
      </c>
      <c r="J22" s="9" t="s">
        <v>28</v>
      </c>
      <c r="L22" s="42"/>
    </row>
    <row r="23" spans="1:16" x14ac:dyDescent="0.3">
      <c r="J23" s="89" t="s">
        <v>44</v>
      </c>
      <c r="K23" s="89"/>
      <c r="L23" s="89"/>
      <c r="M23" s="89"/>
      <c r="N23" s="44">
        <f>(K17)*(1-K17)*(K18-K17)</f>
        <v>-8.7011463522899558E-3</v>
      </c>
    </row>
    <row r="26" spans="1:16" ht="15" thickBot="1" x14ac:dyDescent="0.35"/>
    <row r="27" spans="1:16" ht="17.399999999999999" x14ac:dyDescent="0.3">
      <c r="B27" s="45" t="s">
        <v>45</v>
      </c>
      <c r="C27" s="46" t="s">
        <v>31</v>
      </c>
      <c r="D27" s="46" t="s">
        <v>32</v>
      </c>
      <c r="E27" s="46" t="s">
        <v>33</v>
      </c>
      <c r="F27" s="47" t="s">
        <v>46</v>
      </c>
      <c r="J27" s="45" t="s">
        <v>31</v>
      </c>
      <c r="K27" s="46" t="s">
        <v>32</v>
      </c>
      <c r="L27" s="46" t="s">
        <v>51</v>
      </c>
      <c r="M27" s="46" t="s">
        <v>52</v>
      </c>
      <c r="N27" s="46" t="s">
        <v>53</v>
      </c>
      <c r="O27" s="47" t="s">
        <v>54</v>
      </c>
    </row>
    <row r="28" spans="1:16" x14ac:dyDescent="0.3">
      <c r="B28" s="48">
        <v>1</v>
      </c>
      <c r="C28" s="49" t="s">
        <v>40</v>
      </c>
      <c r="D28" s="49" t="s">
        <v>35</v>
      </c>
      <c r="E28" s="49">
        <v>0.5</v>
      </c>
      <c r="F28" s="50">
        <f>B28*E28</f>
        <v>0.5</v>
      </c>
      <c r="J28" s="66" t="s">
        <v>42</v>
      </c>
      <c r="K28" s="58" t="s">
        <v>43</v>
      </c>
      <c r="L28" s="49">
        <f>F6</f>
        <v>1</v>
      </c>
      <c r="M28" s="49">
        <f>L28*0.1*N23</f>
        <v>-8.7011463522899566E-4</v>
      </c>
      <c r="N28" s="49">
        <v>0.5</v>
      </c>
      <c r="O28" s="50">
        <f>M28+N28</f>
        <v>0.49912988536477099</v>
      </c>
    </row>
    <row r="29" spans="1:16" x14ac:dyDescent="0.3">
      <c r="B29" s="48">
        <v>0.4</v>
      </c>
      <c r="C29" s="49" t="s">
        <v>36</v>
      </c>
      <c r="D29" s="49" t="s">
        <v>35</v>
      </c>
      <c r="E29" s="49">
        <v>0.6</v>
      </c>
      <c r="F29" s="50">
        <f>B29*E29</f>
        <v>0.24</v>
      </c>
      <c r="J29" s="66" t="s">
        <v>35</v>
      </c>
      <c r="K29" s="58" t="s">
        <v>43</v>
      </c>
      <c r="L29" s="49">
        <f>H10</f>
        <v>0.85320966019861766</v>
      </c>
      <c r="M29" s="49">
        <f>L29*0.1*N23</f>
        <v>-7.4239021225757556E-4</v>
      </c>
      <c r="N29" s="49">
        <v>0.9</v>
      </c>
      <c r="O29" s="50">
        <f t="shared" ref="O29:O30" si="0">M29+N29</f>
        <v>0.8992576097877425</v>
      </c>
    </row>
    <row r="30" spans="1:16" ht="15" thickBot="1" x14ac:dyDescent="0.35">
      <c r="B30" s="48">
        <v>0.7</v>
      </c>
      <c r="C30" s="49" t="s">
        <v>37</v>
      </c>
      <c r="D30" s="49" t="s">
        <v>35</v>
      </c>
      <c r="E30" s="49">
        <v>0.8</v>
      </c>
      <c r="F30" s="50">
        <f>B30*E30</f>
        <v>0.55999999999999994</v>
      </c>
      <c r="J30" s="67" t="s">
        <v>41</v>
      </c>
      <c r="K30" s="59" t="s">
        <v>43</v>
      </c>
      <c r="L30" s="52">
        <f>H16</f>
        <v>0.8743521434846544</v>
      </c>
      <c r="M30" s="52">
        <f>L30*0.1*N23</f>
        <v>-7.6078659638984057E-4</v>
      </c>
      <c r="N30" s="52">
        <v>0.9</v>
      </c>
      <c r="O30" s="53">
        <f t="shared" si="0"/>
        <v>0.89923921340361013</v>
      </c>
    </row>
    <row r="31" spans="1:16" x14ac:dyDescent="0.3">
      <c r="B31" s="48">
        <v>0.7</v>
      </c>
      <c r="C31" s="49" t="s">
        <v>38</v>
      </c>
      <c r="D31" s="49" t="s">
        <v>35</v>
      </c>
      <c r="E31" s="49">
        <v>0.6</v>
      </c>
      <c r="F31" s="50">
        <f>B31*E31</f>
        <v>0.42</v>
      </c>
    </row>
    <row r="32" spans="1:16" ht="15" thickBot="1" x14ac:dyDescent="0.35">
      <c r="B32" s="51">
        <v>0.2</v>
      </c>
      <c r="C32" s="52" t="s">
        <v>39</v>
      </c>
      <c r="D32" s="52" t="s">
        <v>35</v>
      </c>
      <c r="E32" s="52">
        <v>0.2</v>
      </c>
      <c r="F32" s="53">
        <f t="shared" ref="F32" si="1">B32*E32</f>
        <v>4.0000000000000008E-2</v>
      </c>
    </row>
    <row r="33" spans="2:15" ht="18.600000000000001" thickBot="1" x14ac:dyDescent="0.4">
      <c r="F33" s="54">
        <f>SUM(F28:F32)</f>
        <v>1.7599999999999998</v>
      </c>
      <c r="J33" s="9" t="s">
        <v>28</v>
      </c>
      <c r="L33" s="42"/>
    </row>
    <row r="34" spans="2:15" x14ac:dyDescent="0.3">
      <c r="J34" s="89" t="s">
        <v>55</v>
      </c>
      <c r="K34" s="89"/>
      <c r="L34" s="89"/>
      <c r="M34" s="89"/>
      <c r="N34" s="44">
        <f>E35*(1-E35)*E40*N23</f>
        <v>-9.8078140370258873E-4</v>
      </c>
    </row>
    <row r="35" spans="2:15" x14ac:dyDescent="0.3">
      <c r="B35" s="55" t="s">
        <v>47</v>
      </c>
      <c r="C35" t="s">
        <v>48</v>
      </c>
      <c r="E35" s="56">
        <f>1/(1+EXP(-F33))</f>
        <v>0.85320966019861766</v>
      </c>
      <c r="J35" s="91"/>
      <c r="K35" s="91"/>
      <c r="L35" s="91"/>
      <c r="M35" s="91"/>
    </row>
    <row r="37" spans="2:15" ht="15" thickBot="1" x14ac:dyDescent="0.35"/>
    <row r="38" spans="2:15" ht="17.399999999999999" x14ac:dyDescent="0.3">
      <c r="B38" s="45" t="s">
        <v>45</v>
      </c>
      <c r="C38" s="46" t="s">
        <v>31</v>
      </c>
      <c r="D38" s="46" t="s">
        <v>32</v>
      </c>
      <c r="E38" s="46" t="s">
        <v>33</v>
      </c>
      <c r="F38" s="47" t="s">
        <v>46</v>
      </c>
      <c r="J38" s="45" t="s">
        <v>31</v>
      </c>
      <c r="K38" s="46" t="s">
        <v>32</v>
      </c>
      <c r="L38" s="46" t="s">
        <v>51</v>
      </c>
      <c r="M38" s="46" t="s">
        <v>52</v>
      </c>
      <c r="N38" s="46" t="s">
        <v>53</v>
      </c>
      <c r="O38" s="47" t="s">
        <v>54</v>
      </c>
    </row>
    <row r="39" spans="2:15" x14ac:dyDescent="0.3">
      <c r="B39" s="48">
        <v>1</v>
      </c>
      <c r="C39" s="49" t="s">
        <v>40</v>
      </c>
      <c r="D39" s="49" t="s">
        <v>41</v>
      </c>
      <c r="E39" s="49">
        <v>0.7</v>
      </c>
      <c r="F39" s="50">
        <f>B39*E39</f>
        <v>0.7</v>
      </c>
      <c r="J39" s="66" t="s">
        <v>34</v>
      </c>
      <c r="K39" s="49" t="s">
        <v>35</v>
      </c>
      <c r="L39" s="49">
        <v>1</v>
      </c>
      <c r="M39" s="68">
        <f>N34*L39*S7</f>
        <v>-9.8078140370258879E-5</v>
      </c>
      <c r="N39" s="49">
        <v>0.5</v>
      </c>
      <c r="O39" s="69">
        <f>N39+M39</f>
        <v>0.49990192185962973</v>
      </c>
    </row>
    <row r="40" spans="2:15" x14ac:dyDescent="0.3">
      <c r="B40" s="48">
        <v>0.4</v>
      </c>
      <c r="C40" s="49" t="s">
        <v>36</v>
      </c>
      <c r="D40" s="49" t="s">
        <v>41</v>
      </c>
      <c r="E40" s="49">
        <v>0.9</v>
      </c>
      <c r="F40" s="50">
        <f>B40*E40</f>
        <v>0.36000000000000004</v>
      </c>
      <c r="J40" s="48" t="s">
        <v>36</v>
      </c>
      <c r="K40" s="49" t="s">
        <v>35</v>
      </c>
      <c r="L40" s="49">
        <v>0.4</v>
      </c>
      <c r="M40" s="68">
        <f>N34*L40*S7</f>
        <v>-3.9231256148103553E-5</v>
      </c>
      <c r="N40" s="49">
        <v>0.6</v>
      </c>
      <c r="O40" s="50">
        <f>N40+M40</f>
        <v>0.59996076874385185</v>
      </c>
    </row>
    <row r="41" spans="2:15" x14ac:dyDescent="0.3">
      <c r="B41" s="48">
        <v>0.7</v>
      </c>
      <c r="C41" s="49" t="s">
        <v>37</v>
      </c>
      <c r="D41" s="49" t="s">
        <v>41</v>
      </c>
      <c r="E41" s="49">
        <v>0.8</v>
      </c>
      <c r="F41" s="50">
        <f>B41*E41</f>
        <v>0.55999999999999994</v>
      </c>
      <c r="J41" s="48" t="s">
        <v>37</v>
      </c>
      <c r="K41" s="49" t="s">
        <v>35</v>
      </c>
      <c r="L41" s="49">
        <v>0.7</v>
      </c>
      <c r="M41" s="68">
        <f>L41*N34*S7</f>
        <v>-6.8654698259181212E-5</v>
      </c>
      <c r="N41" s="49">
        <v>0.8</v>
      </c>
      <c r="O41" s="50">
        <f>N41+M41</f>
        <v>0.79993134530174081</v>
      </c>
    </row>
    <row r="42" spans="2:15" x14ac:dyDescent="0.3">
      <c r="B42" s="48">
        <v>0.7</v>
      </c>
      <c r="C42" s="49" t="s">
        <v>38</v>
      </c>
      <c r="D42" s="49" t="s">
        <v>41</v>
      </c>
      <c r="E42" s="49">
        <v>0.4</v>
      </c>
      <c r="F42" s="50">
        <f>B42*E42</f>
        <v>0.27999999999999997</v>
      </c>
      <c r="J42" s="48" t="s">
        <v>38</v>
      </c>
      <c r="K42" s="49" t="s">
        <v>35</v>
      </c>
      <c r="L42" s="49">
        <v>0.7</v>
      </c>
      <c r="M42" s="68">
        <f>L42*N34*S7</f>
        <v>-6.8654698259181212E-5</v>
      </c>
      <c r="N42" s="49">
        <v>0.6</v>
      </c>
      <c r="O42" s="50">
        <f>N42+M42</f>
        <v>0.59993134530174075</v>
      </c>
    </row>
    <row r="43" spans="2:15" ht="15" thickBot="1" x14ac:dyDescent="0.35">
      <c r="B43" s="51">
        <v>0.2</v>
      </c>
      <c r="C43" s="52" t="s">
        <v>39</v>
      </c>
      <c r="D43" s="52" t="s">
        <v>41</v>
      </c>
      <c r="E43" s="52">
        <v>0.2</v>
      </c>
      <c r="F43" s="53">
        <f>B43*E43</f>
        <v>4.0000000000000008E-2</v>
      </c>
      <c r="J43" s="70" t="s">
        <v>39</v>
      </c>
      <c r="K43" s="71" t="s">
        <v>35</v>
      </c>
      <c r="L43" s="37">
        <v>0.2</v>
      </c>
      <c r="M43" s="72">
        <f>L43*N34*S7</f>
        <v>-1.9615628074051776E-5</v>
      </c>
      <c r="N43" s="71">
        <v>0.2</v>
      </c>
      <c r="O43" s="73">
        <f>N43+M43</f>
        <v>0.19998038437192595</v>
      </c>
    </row>
    <row r="44" spans="2:15" ht="15" thickBot="1" x14ac:dyDescent="0.35">
      <c r="F44" s="54">
        <f>SUM(F39:F43)</f>
        <v>1.9400000000000002</v>
      </c>
    </row>
    <row r="45" spans="2:15" ht="18" x14ac:dyDescent="0.35">
      <c r="J45" s="9" t="s">
        <v>28</v>
      </c>
      <c r="L45" s="42"/>
    </row>
    <row r="46" spans="2:15" x14ac:dyDescent="0.3">
      <c r="B46" s="55" t="s">
        <v>47</v>
      </c>
      <c r="C46" t="s">
        <v>48</v>
      </c>
      <c r="E46" s="57">
        <f>1/(1+EXP(-F44))</f>
        <v>0.8743521434846544</v>
      </c>
      <c r="J46" s="89" t="s">
        <v>56</v>
      </c>
      <c r="K46" s="89"/>
      <c r="L46" s="89"/>
      <c r="M46" s="89"/>
      <c r="N46" s="44">
        <f>E46*(1-E46)*E52*(N23)</f>
        <v>-8.6032084591789945E-4</v>
      </c>
    </row>
    <row r="48" spans="2:15" ht="15" thickBot="1" x14ac:dyDescent="0.35"/>
    <row r="49" spans="1:15" ht="17.399999999999999" x14ac:dyDescent="0.3">
      <c r="B49" s="45" t="s">
        <v>45</v>
      </c>
      <c r="C49" s="46" t="s">
        <v>31</v>
      </c>
      <c r="D49" s="46" t="s">
        <v>32</v>
      </c>
      <c r="E49" s="46" t="s">
        <v>33</v>
      </c>
      <c r="F49" s="47" t="s">
        <v>46</v>
      </c>
      <c r="J49" s="45" t="s">
        <v>31</v>
      </c>
      <c r="K49" s="46" t="s">
        <v>32</v>
      </c>
      <c r="L49" s="46" t="s">
        <v>51</v>
      </c>
      <c r="M49" s="46" t="s">
        <v>52</v>
      </c>
      <c r="N49" s="46" t="s">
        <v>53</v>
      </c>
      <c r="O49" s="47" t="s">
        <v>54</v>
      </c>
    </row>
    <row r="50" spans="1:15" x14ac:dyDescent="0.3">
      <c r="B50" s="48">
        <v>1</v>
      </c>
      <c r="C50" s="58" t="s">
        <v>42</v>
      </c>
      <c r="D50" s="58" t="s">
        <v>43</v>
      </c>
      <c r="E50" s="49">
        <v>0.5</v>
      </c>
      <c r="F50" s="50">
        <f>B50*E50</f>
        <v>0.5</v>
      </c>
      <c r="J50" s="66" t="s">
        <v>34</v>
      </c>
      <c r="K50" s="49" t="s">
        <v>41</v>
      </c>
      <c r="L50" s="49">
        <v>1</v>
      </c>
      <c r="M50" s="68">
        <f>L50*N46*S7</f>
        <v>-8.6032084591789945E-5</v>
      </c>
      <c r="N50" s="49">
        <v>0.7</v>
      </c>
      <c r="O50" s="69">
        <f>N50+M50</f>
        <v>0.69991396791540816</v>
      </c>
    </row>
    <row r="51" spans="1:15" x14ac:dyDescent="0.3">
      <c r="B51" s="60">
        <f>E35</f>
        <v>0.85320966019861766</v>
      </c>
      <c r="C51" s="58" t="s">
        <v>35</v>
      </c>
      <c r="D51" s="58" t="s">
        <v>43</v>
      </c>
      <c r="E51" s="49">
        <v>0.9</v>
      </c>
      <c r="F51" s="50">
        <f>B51*E51</f>
        <v>0.76788869417875594</v>
      </c>
      <c r="J51" s="48" t="s">
        <v>36</v>
      </c>
      <c r="K51" s="49" t="s">
        <v>41</v>
      </c>
      <c r="L51" s="49">
        <v>0.4</v>
      </c>
      <c r="M51" s="68">
        <f>L51*N46*S7</f>
        <v>-3.4412833836715978E-5</v>
      </c>
      <c r="N51" s="49">
        <v>0.9</v>
      </c>
      <c r="O51" s="50">
        <f>N51+M51</f>
        <v>0.89996558716616326</v>
      </c>
    </row>
    <row r="52" spans="1:15" ht="15" thickBot="1" x14ac:dyDescent="0.35">
      <c r="B52" s="61">
        <f>E46</f>
        <v>0.8743521434846544</v>
      </c>
      <c r="C52" s="59" t="s">
        <v>41</v>
      </c>
      <c r="D52" s="59" t="s">
        <v>43</v>
      </c>
      <c r="E52" s="52">
        <v>0.9</v>
      </c>
      <c r="F52" s="53">
        <f>B52*E52</f>
        <v>0.78691692913618894</v>
      </c>
      <c r="J52" s="48" t="s">
        <v>37</v>
      </c>
      <c r="K52" s="49" t="s">
        <v>41</v>
      </c>
      <c r="L52" s="49">
        <v>0.7</v>
      </c>
      <c r="M52" s="68">
        <f>L52*N46*S7</f>
        <v>-6.0222459214252962E-5</v>
      </c>
      <c r="N52" s="49">
        <v>0.8</v>
      </c>
      <c r="O52" s="50">
        <f>N52+M52</f>
        <v>0.79993977754078582</v>
      </c>
    </row>
    <row r="53" spans="1:15" ht="15" thickBot="1" x14ac:dyDescent="0.35">
      <c r="F53" s="54">
        <f>SUM(F49:F52)</f>
        <v>2.054805623314945</v>
      </c>
      <c r="J53" s="48" t="s">
        <v>38</v>
      </c>
      <c r="K53" s="49" t="s">
        <v>41</v>
      </c>
      <c r="L53" s="49">
        <v>0.7</v>
      </c>
      <c r="M53" s="68">
        <f>L53*N46*S7</f>
        <v>-6.0222459214252962E-5</v>
      </c>
      <c r="N53" s="49">
        <v>0.4</v>
      </c>
      <c r="O53" s="50">
        <f>N53+M53</f>
        <v>0.39993977754078575</v>
      </c>
    </row>
    <row r="54" spans="1:15" ht="15" thickBot="1" x14ac:dyDescent="0.35">
      <c r="J54" s="70" t="s">
        <v>39</v>
      </c>
      <c r="K54" s="52" t="s">
        <v>41</v>
      </c>
      <c r="L54" s="37">
        <v>0.2</v>
      </c>
      <c r="M54" s="72">
        <f>L54*N46*S7</f>
        <v>-1.7206416918357989E-5</v>
      </c>
      <c r="N54" s="52">
        <v>0.2</v>
      </c>
      <c r="O54" s="73">
        <f>N54+M54</f>
        <v>0.19998279358308166</v>
      </c>
    </row>
    <row r="55" spans="1:15" x14ac:dyDescent="0.3">
      <c r="B55" s="55" t="s">
        <v>47</v>
      </c>
      <c r="C55" t="s">
        <v>48</v>
      </c>
      <c r="E55" s="57">
        <f>1/(1+EXP(-F53))</f>
        <v>0.88643230033488507</v>
      </c>
    </row>
    <row r="59" spans="1:15" x14ac:dyDescent="0.3">
      <c r="A59" s="62" t="s">
        <v>26</v>
      </c>
      <c r="B59" s="43">
        <v>0.88620896999999998</v>
      </c>
      <c r="F59" s="90" t="s">
        <v>57</v>
      </c>
      <c r="G59" s="90"/>
      <c r="H59" s="90"/>
      <c r="I59" s="90"/>
      <c r="J59" s="90"/>
    </row>
    <row r="60" spans="1:15" x14ac:dyDescent="0.3">
      <c r="A60" s="62" t="s">
        <v>27</v>
      </c>
      <c r="B60" s="64">
        <v>0.8</v>
      </c>
      <c r="F60" s="90"/>
      <c r="G60" s="90"/>
      <c r="H60" s="90"/>
      <c r="I60" s="90"/>
      <c r="J60" s="90"/>
    </row>
    <row r="61" spans="1:15" x14ac:dyDescent="0.3">
      <c r="A61" s="63" t="s">
        <v>49</v>
      </c>
      <c r="B61" s="65">
        <f>10/100</f>
        <v>0.1</v>
      </c>
    </row>
    <row r="62" spans="1:15" ht="18" x14ac:dyDescent="0.35">
      <c r="A62" s="62" t="s">
        <v>50</v>
      </c>
      <c r="B62" s="64">
        <f>B60-B59</f>
        <v>-8.620896999999994E-2</v>
      </c>
      <c r="J62" s="9" t="s">
        <v>28</v>
      </c>
      <c r="L62" s="42"/>
    </row>
    <row r="63" spans="1:15" x14ac:dyDescent="0.3">
      <c r="J63" s="79" t="s">
        <v>58</v>
      </c>
      <c r="K63" s="79"/>
      <c r="L63" s="79"/>
      <c r="M63" s="79"/>
      <c r="N63" s="44">
        <f>B59*(1-B59)*(B62)</f>
        <v>-8.6935393929751456E-3</v>
      </c>
    </row>
    <row r="64" spans="1:15" ht="15" thickBot="1" x14ac:dyDescent="0.35"/>
    <row r="65" spans="2:15" ht="17.399999999999999" x14ac:dyDescent="0.3">
      <c r="B65" s="45" t="s">
        <v>45</v>
      </c>
      <c r="C65" s="46" t="s">
        <v>31</v>
      </c>
      <c r="D65" s="46" t="s">
        <v>32</v>
      </c>
      <c r="E65" s="46" t="s">
        <v>33</v>
      </c>
      <c r="F65" s="47" t="s">
        <v>46</v>
      </c>
    </row>
    <row r="66" spans="2:15" ht="15" thickBot="1" x14ac:dyDescent="0.35">
      <c r="B66" s="48">
        <v>1</v>
      </c>
      <c r="C66" s="49" t="s">
        <v>40</v>
      </c>
      <c r="D66" s="49" t="s">
        <v>35</v>
      </c>
      <c r="E66" s="76">
        <v>0.49990192</v>
      </c>
      <c r="F66" s="50">
        <f>B66*E66</f>
        <v>0.49990192</v>
      </c>
    </row>
    <row r="67" spans="2:15" ht="18" thickBot="1" x14ac:dyDescent="0.35">
      <c r="B67" s="48">
        <v>0.4</v>
      </c>
      <c r="C67" s="49" t="s">
        <v>36</v>
      </c>
      <c r="D67" s="49" t="s">
        <v>35</v>
      </c>
      <c r="E67" s="49">
        <v>0.59996076899999995</v>
      </c>
      <c r="F67" s="50">
        <f>B67*E67</f>
        <v>0.2399843076</v>
      </c>
      <c r="J67" s="45" t="s">
        <v>31</v>
      </c>
      <c r="K67" s="46" t="s">
        <v>32</v>
      </c>
      <c r="L67" s="46" t="s">
        <v>51</v>
      </c>
      <c r="M67" s="46" t="s">
        <v>52</v>
      </c>
      <c r="N67" s="47" t="s">
        <v>53</v>
      </c>
      <c r="O67" s="47" t="s">
        <v>54</v>
      </c>
    </row>
    <row r="68" spans="2:15" x14ac:dyDescent="0.3">
      <c r="B68" s="48">
        <v>0.7</v>
      </c>
      <c r="C68" s="49" t="s">
        <v>37</v>
      </c>
      <c r="D68" s="49" t="s">
        <v>35</v>
      </c>
      <c r="E68" s="49">
        <v>0.79993134499999996</v>
      </c>
      <c r="F68" s="50">
        <f>B68*E68</f>
        <v>0.55995194149999994</v>
      </c>
      <c r="J68" s="74" t="s">
        <v>42</v>
      </c>
      <c r="K68" s="82" t="s">
        <v>43</v>
      </c>
      <c r="L68" s="75">
        <v>1</v>
      </c>
      <c r="M68" s="75">
        <f>L68*0.1*N63</f>
        <v>-8.6935393929751456E-4</v>
      </c>
      <c r="N68" s="75">
        <v>0.5</v>
      </c>
      <c r="O68" s="83">
        <f>M68+N68</f>
        <v>0.49913064606070251</v>
      </c>
    </row>
    <row r="69" spans="2:15" x14ac:dyDescent="0.3">
      <c r="B69" s="48">
        <v>0.7</v>
      </c>
      <c r="C69" s="49" t="s">
        <v>38</v>
      </c>
      <c r="D69" s="49" t="s">
        <v>35</v>
      </c>
      <c r="E69" s="49">
        <v>0.599931345</v>
      </c>
      <c r="F69" s="50">
        <f>B69*E69</f>
        <v>0.41995194149999998</v>
      </c>
      <c r="J69" s="66" t="s">
        <v>35</v>
      </c>
      <c r="K69" s="58" t="s">
        <v>43</v>
      </c>
      <c r="L69" s="76">
        <f>E35</f>
        <v>0.85320966019861766</v>
      </c>
      <c r="M69" s="49">
        <f>L69*0.1*N63</f>
        <v>-7.4174117914036213E-4</v>
      </c>
      <c r="N69" s="49">
        <v>0.9</v>
      </c>
      <c r="O69" s="50">
        <f t="shared" ref="O69:O70" si="2">M69+N69</f>
        <v>0.89925825882085964</v>
      </c>
    </row>
    <row r="70" spans="2:15" ht="15" thickBot="1" x14ac:dyDescent="0.35">
      <c r="B70" s="51">
        <v>0.2</v>
      </c>
      <c r="C70" s="52" t="s">
        <v>39</v>
      </c>
      <c r="D70" s="52" t="s">
        <v>35</v>
      </c>
      <c r="E70" s="71">
        <v>0.19998038400000001</v>
      </c>
      <c r="F70" s="53">
        <v>3.9993807999999999E-2</v>
      </c>
      <c r="J70" s="67" t="s">
        <v>41</v>
      </c>
      <c r="K70" s="59" t="s">
        <v>43</v>
      </c>
      <c r="L70" s="81">
        <f>E46</f>
        <v>0.8743521434846544</v>
      </c>
      <c r="M70" s="52">
        <f>L70*0.1*N63</f>
        <v>-7.6012148027161002E-4</v>
      </c>
      <c r="N70" s="52">
        <v>0.9</v>
      </c>
      <c r="O70" s="53">
        <f t="shared" si="2"/>
        <v>0.89923987851972842</v>
      </c>
    </row>
    <row r="71" spans="2:15" ht="15" thickBot="1" x14ac:dyDescent="0.35">
      <c r="B71" s="77"/>
      <c r="C71" s="77"/>
      <c r="D71" s="77"/>
      <c r="E71" s="77"/>
      <c r="F71" s="78">
        <v>1.7597739144071174</v>
      </c>
    </row>
    <row r="73" spans="2:15" ht="18" x14ac:dyDescent="0.35">
      <c r="B73" s="55" t="s">
        <v>47</v>
      </c>
      <c r="C73" t="s">
        <v>48</v>
      </c>
      <c r="E73" s="57">
        <f>1/(1+EXP(-F71))</f>
        <v>0.85318134231396925</v>
      </c>
      <c r="J73" s="9" t="s">
        <v>28</v>
      </c>
      <c r="L73" s="42"/>
    </row>
    <row r="74" spans="2:15" x14ac:dyDescent="0.3">
      <c r="J74" s="79" t="s">
        <v>59</v>
      </c>
      <c r="K74" s="79"/>
      <c r="L74" s="79"/>
      <c r="M74" s="79"/>
      <c r="N74" s="44">
        <f>E73*(1-E73)*E89*(N63)</f>
        <v>-9.792720220625111E-4</v>
      </c>
    </row>
    <row r="75" spans="2:15" ht="15" thickBot="1" x14ac:dyDescent="0.35">
      <c r="J75" s="80"/>
      <c r="K75" s="80"/>
      <c r="L75" s="80"/>
      <c r="M75" s="80"/>
    </row>
    <row r="76" spans="2:15" ht="17.399999999999999" x14ac:dyDescent="0.3">
      <c r="B76" s="45" t="s">
        <v>45</v>
      </c>
      <c r="C76" s="46" t="s">
        <v>31</v>
      </c>
      <c r="D76" s="46" t="s">
        <v>32</v>
      </c>
      <c r="E76" s="46" t="s">
        <v>33</v>
      </c>
      <c r="F76" s="47" t="s">
        <v>46</v>
      </c>
    </row>
    <row r="77" spans="2:15" ht="15" thickBot="1" x14ac:dyDescent="0.35">
      <c r="B77" s="48">
        <v>1</v>
      </c>
      <c r="C77" s="49" t="s">
        <v>40</v>
      </c>
      <c r="D77" s="49" t="s">
        <v>41</v>
      </c>
      <c r="E77" s="49">
        <v>0.69991397</v>
      </c>
      <c r="F77" s="50">
        <f>B77*E77</f>
        <v>0.69991397</v>
      </c>
    </row>
    <row r="78" spans="2:15" ht="17.399999999999999" x14ac:dyDescent="0.3">
      <c r="B78" s="48">
        <v>0.4</v>
      </c>
      <c r="C78" s="49" t="s">
        <v>36</v>
      </c>
      <c r="D78" s="49" t="s">
        <v>41</v>
      </c>
      <c r="E78" s="49">
        <v>0.89996558699999996</v>
      </c>
      <c r="F78" s="50">
        <f>B78*E78</f>
        <v>0.35998623480000003</v>
      </c>
      <c r="J78" s="45" t="s">
        <v>31</v>
      </c>
      <c r="K78" s="46" t="s">
        <v>32</v>
      </c>
      <c r="L78" s="46" t="s">
        <v>51</v>
      </c>
      <c r="M78" s="46" t="s">
        <v>52</v>
      </c>
      <c r="N78" s="46" t="s">
        <v>53</v>
      </c>
      <c r="O78" s="47" t="s">
        <v>54</v>
      </c>
    </row>
    <row r="79" spans="2:15" x14ac:dyDescent="0.3">
      <c r="B79" s="48">
        <v>0.7</v>
      </c>
      <c r="C79" s="49" t="s">
        <v>37</v>
      </c>
      <c r="D79" s="49" t="s">
        <v>41</v>
      </c>
      <c r="E79" s="49">
        <v>0.79993977800000005</v>
      </c>
      <c r="F79" s="50">
        <f>B79*E79</f>
        <v>0.55995784459999998</v>
      </c>
      <c r="J79" s="66" t="s">
        <v>34</v>
      </c>
      <c r="K79" s="49" t="s">
        <v>35</v>
      </c>
      <c r="L79" s="49">
        <v>1</v>
      </c>
      <c r="M79" s="68">
        <f>N74*L79*B61</f>
        <v>-9.7927202206251119E-5</v>
      </c>
      <c r="N79" s="76">
        <v>0.49990192</v>
      </c>
      <c r="O79" s="69">
        <f>N79+M79</f>
        <v>0.49980399279779375</v>
      </c>
    </row>
    <row r="80" spans="2:15" x14ac:dyDescent="0.3">
      <c r="B80" s="48">
        <v>0.7</v>
      </c>
      <c r="C80" s="49" t="s">
        <v>38</v>
      </c>
      <c r="D80" s="49" t="s">
        <v>41</v>
      </c>
      <c r="E80" s="49">
        <v>0.39993977800000002</v>
      </c>
      <c r="F80" s="50">
        <f>B80*E80</f>
        <v>0.27995784460000001</v>
      </c>
      <c r="J80" s="48" t="s">
        <v>36</v>
      </c>
      <c r="K80" s="49" t="s">
        <v>35</v>
      </c>
      <c r="L80" s="49">
        <v>0.4</v>
      </c>
      <c r="M80" s="68">
        <f>L80*N74*B61</f>
        <v>-3.9170880882500453E-5</v>
      </c>
      <c r="N80" s="49">
        <v>0.59996076899999995</v>
      </c>
      <c r="O80" s="50">
        <f>N80+M80</f>
        <v>0.59992159811911749</v>
      </c>
    </row>
    <row r="81" spans="2:15" ht="15" thickBot="1" x14ac:dyDescent="0.35">
      <c r="B81" s="51">
        <v>0.2</v>
      </c>
      <c r="C81" s="52" t="s">
        <v>39</v>
      </c>
      <c r="D81" s="52" t="s">
        <v>41</v>
      </c>
      <c r="E81" s="52">
        <v>0.19998279399999999</v>
      </c>
      <c r="F81" s="53">
        <v>3.9993807999999999E-2</v>
      </c>
      <c r="J81" s="48" t="s">
        <v>37</v>
      </c>
      <c r="K81" s="49" t="s">
        <v>35</v>
      </c>
      <c r="L81" s="49">
        <v>0.7</v>
      </c>
      <c r="M81" s="68">
        <f>L81*N74*B61</f>
        <v>-6.8549041544375779E-5</v>
      </c>
      <c r="N81" s="49">
        <v>0.79993134499999996</v>
      </c>
      <c r="O81" s="50">
        <f>N81+M81</f>
        <v>0.79986279595845555</v>
      </c>
    </row>
    <row r="82" spans="2:15" ht="15" thickBot="1" x14ac:dyDescent="0.35">
      <c r="F82" s="54">
        <v>1.9397738928428956</v>
      </c>
      <c r="J82" s="48" t="s">
        <v>38</v>
      </c>
      <c r="K82" s="49" t="s">
        <v>35</v>
      </c>
      <c r="L82" s="49">
        <v>0.7</v>
      </c>
      <c r="M82" s="68">
        <f>L82*N74*B61</f>
        <v>-6.8549041544375779E-5</v>
      </c>
      <c r="N82" s="49">
        <v>0.599931345</v>
      </c>
      <c r="O82" s="50">
        <f>N82+M82</f>
        <v>0.5998627959584556</v>
      </c>
    </row>
    <row r="83" spans="2:15" ht="15" thickBot="1" x14ac:dyDescent="0.35">
      <c r="J83" s="70" t="s">
        <v>39</v>
      </c>
      <c r="K83" s="71" t="s">
        <v>35</v>
      </c>
      <c r="L83" s="37">
        <v>0.2</v>
      </c>
      <c r="M83" s="72">
        <f>L83*N74*B61</f>
        <v>-1.9585440441250226E-5</v>
      </c>
      <c r="N83" s="71">
        <v>0.19998038400000001</v>
      </c>
      <c r="O83" s="73">
        <f>N83+M83</f>
        <v>0.19996079855955876</v>
      </c>
    </row>
    <row r="84" spans="2:15" x14ac:dyDescent="0.3">
      <c r="B84" s="55" t="s">
        <v>47</v>
      </c>
      <c r="C84" t="s">
        <v>48</v>
      </c>
      <c r="E84">
        <f>1/(1+EXP(-F82))</f>
        <v>0.87432730114285928</v>
      </c>
    </row>
    <row r="85" spans="2:15" ht="18" x14ac:dyDescent="0.35">
      <c r="J85" s="9" t="s">
        <v>28</v>
      </c>
      <c r="L85" s="42"/>
    </row>
    <row r="86" spans="2:15" ht="15" thickBot="1" x14ac:dyDescent="0.35">
      <c r="J86" s="79" t="s">
        <v>60</v>
      </c>
      <c r="K86" s="79"/>
      <c r="L86" s="79"/>
      <c r="M86" s="79"/>
      <c r="N86" s="44">
        <f>E84*(1-E84)*E90*(N63)</f>
        <v>-8.5898750114488977E-4</v>
      </c>
    </row>
    <row r="87" spans="2:15" ht="17.399999999999999" x14ac:dyDescent="0.3">
      <c r="B87" s="45" t="s">
        <v>45</v>
      </c>
      <c r="C87" s="46" t="s">
        <v>31</v>
      </c>
      <c r="D87" s="46" t="s">
        <v>32</v>
      </c>
      <c r="E87" s="46" t="s">
        <v>33</v>
      </c>
      <c r="F87" s="47" t="s">
        <v>46</v>
      </c>
    </row>
    <row r="88" spans="2:15" ht="15" thickBot="1" x14ac:dyDescent="0.35">
      <c r="B88" s="48">
        <v>1</v>
      </c>
      <c r="C88" s="58" t="s">
        <v>42</v>
      </c>
      <c r="D88" s="58" t="s">
        <v>43</v>
      </c>
      <c r="E88" s="49">
        <v>0.499129885</v>
      </c>
      <c r="F88" s="50">
        <f>B88*E88</f>
        <v>0.499129885</v>
      </c>
    </row>
    <row r="89" spans="2:15" ht="17.399999999999999" x14ac:dyDescent="0.3">
      <c r="B89" s="48">
        <f>E73</f>
        <v>0.85318134231396925</v>
      </c>
      <c r="C89" s="58" t="s">
        <v>35</v>
      </c>
      <c r="D89" s="58" t="s">
        <v>43</v>
      </c>
      <c r="E89" s="49">
        <v>0.89925761000000004</v>
      </c>
      <c r="F89" s="50">
        <f>B89*E89</f>
        <v>0.76722981478585184</v>
      </c>
      <c r="J89" s="45" t="s">
        <v>31</v>
      </c>
      <c r="K89" s="46" t="s">
        <v>32</v>
      </c>
      <c r="L89" s="46" t="s">
        <v>51</v>
      </c>
      <c r="M89" s="46" t="s">
        <v>52</v>
      </c>
      <c r="N89" s="46" t="s">
        <v>53</v>
      </c>
      <c r="O89" s="47" t="s">
        <v>54</v>
      </c>
    </row>
    <row r="90" spans="2:15" ht="15" thickBot="1" x14ac:dyDescent="0.35">
      <c r="B90" s="51">
        <f>E84</f>
        <v>0.87432730114285928</v>
      </c>
      <c r="C90" s="59" t="s">
        <v>41</v>
      </c>
      <c r="D90" s="59" t="s">
        <v>43</v>
      </c>
      <c r="E90" s="52">
        <v>0.89923921299999998</v>
      </c>
      <c r="F90" s="53">
        <f>B90*E90</f>
        <v>0.78622939418411875</v>
      </c>
      <c r="J90" s="66" t="s">
        <v>34</v>
      </c>
      <c r="K90" s="49" t="s">
        <v>41</v>
      </c>
      <c r="L90" s="49">
        <v>1</v>
      </c>
      <c r="M90" s="68">
        <f>L90*N86*B61</f>
        <v>-8.5898750114488979E-5</v>
      </c>
      <c r="N90" s="49">
        <v>0.69991397</v>
      </c>
      <c r="O90" s="69">
        <f>N90+M90</f>
        <v>0.69982807124988555</v>
      </c>
    </row>
    <row r="91" spans="2:15" ht="15" thickBot="1" x14ac:dyDescent="0.35">
      <c r="F91" s="54">
        <f>SUM(F87:F90)</f>
        <v>2.0525890939699707</v>
      </c>
      <c r="J91" s="48" t="s">
        <v>36</v>
      </c>
      <c r="K91" s="49" t="s">
        <v>41</v>
      </c>
      <c r="L91" s="49">
        <v>0.4</v>
      </c>
      <c r="M91" s="68">
        <f>L91*N86*B61</f>
        <v>-3.435950004579559E-5</v>
      </c>
      <c r="N91" s="49">
        <v>0.89996558699999996</v>
      </c>
      <c r="O91" s="50">
        <f>N91+M91</f>
        <v>0.89993122749995413</v>
      </c>
    </row>
    <row r="92" spans="2:15" x14ac:dyDescent="0.3">
      <c r="J92" s="48" t="s">
        <v>37</v>
      </c>
      <c r="K92" s="49" t="s">
        <v>41</v>
      </c>
      <c r="L92" s="49">
        <v>0.7</v>
      </c>
      <c r="M92" s="68">
        <f>L92*N86*B61</f>
        <v>-6.0129125080142282E-5</v>
      </c>
      <c r="N92" s="49">
        <v>0.79993977800000005</v>
      </c>
      <c r="O92" s="50">
        <f>N92+M92</f>
        <v>0.79987964887491991</v>
      </c>
    </row>
    <row r="93" spans="2:15" x14ac:dyDescent="0.3">
      <c r="B93" s="55" t="s">
        <v>47</v>
      </c>
      <c r="C93" t="s">
        <v>48</v>
      </c>
      <c r="E93" s="84">
        <f>1/(1+EXP(-F91))</f>
        <v>0.88620897095569806</v>
      </c>
      <c r="J93" s="48" t="s">
        <v>38</v>
      </c>
      <c r="K93" s="49" t="s">
        <v>41</v>
      </c>
      <c r="L93" s="49">
        <v>0.7</v>
      </c>
      <c r="M93" s="68">
        <f>L93*N86*B61</f>
        <v>-6.0129125080142282E-5</v>
      </c>
      <c r="N93" s="49">
        <v>0.39993977800000002</v>
      </c>
      <c r="O93" s="50">
        <f>N93+M93</f>
        <v>0.39987964887491989</v>
      </c>
    </row>
    <row r="94" spans="2:15" ht="15" thickBot="1" x14ac:dyDescent="0.35">
      <c r="J94" s="70" t="s">
        <v>39</v>
      </c>
      <c r="K94" s="52" t="s">
        <v>41</v>
      </c>
      <c r="L94" s="37">
        <v>0.2</v>
      </c>
      <c r="M94" s="72">
        <f>L94*N86*B61</f>
        <v>-1.7179750022897795E-5</v>
      </c>
      <c r="N94" s="52">
        <v>0.19998279399999999</v>
      </c>
      <c r="O94" s="73">
        <f>N94+M94</f>
        <v>0.19996561424997708</v>
      </c>
    </row>
  </sheetData>
  <mergeCells count="5">
    <mergeCell ref="J46:M46"/>
    <mergeCell ref="F59:J60"/>
    <mergeCell ref="J23:M23"/>
    <mergeCell ref="J35:M35"/>
    <mergeCell ref="J34:M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</dc:creator>
  <cp:lastModifiedBy>Kajal</cp:lastModifiedBy>
  <dcterms:created xsi:type="dcterms:W3CDTF">2018-05-08T18:51:02Z</dcterms:created>
  <dcterms:modified xsi:type="dcterms:W3CDTF">2018-05-10T00:25:56Z</dcterms:modified>
</cp:coreProperties>
</file>