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ajin\Downloads\"/>
    </mc:Choice>
  </mc:AlternateContent>
  <xr:revisionPtr revIDLastSave="0" documentId="13_ncr:1_{A27A98CD-5CEE-46F5-BC40-75B26D63CDDE}" xr6:coauthVersionLast="47" xr6:coauthVersionMax="47" xr10:uidLastSave="{00000000-0000-0000-0000-000000000000}"/>
  <bookViews>
    <workbookView xWindow="28680" yWindow="-120" windowWidth="29040" windowHeight="15840" tabRatio="907" xr2:uid="{00000000-000D-0000-FFFF-FFFF00000000}"/>
  </bookViews>
  <sheets>
    <sheet name="Model Design" sheetId="33" r:id="rId1"/>
    <sheet name="1. Instructions" sheetId="30" r:id="rId2"/>
    <sheet name="2. Projected Income Statement" sheetId="9" r:id="rId3"/>
    <sheet name="3. Projected Cash Flows" sheetId="11" r:id="rId4"/>
    <sheet name="4. Projected Balance Sheet" sheetId="12" r:id="rId5"/>
    <sheet name="10. 2015 Balance Sheet" sheetId="16" r:id="rId6"/>
    <sheet name="5. Projected Sales" sheetId="3" r:id="rId7"/>
    <sheet name="6. Projected Payroll" sheetId="6" r:id="rId8"/>
    <sheet name="7. Projected Oper. Expenses" sheetId="7" r:id="rId9"/>
    <sheet name="8. Business Loan" sheetId="8" r:id="rId10"/>
    <sheet name="9. 2015 Income Statement" sheetId="31" r:id="rId11"/>
    <sheet name="11. 2015 Sales Data" sheetId="32" r:id="rId12"/>
  </sheets>
  <definedNames>
    <definedName name="Amortization">'8. Business Loan'!$H$2:$L$62</definedName>
    <definedName name="_xlnm.Print_Area" localSheetId="1">'1. Instructions'!$A$1:$M$30</definedName>
    <definedName name="_xlnm.Print_Area" localSheetId="2">'2. Projected Income Statement'!$A$1:$Q$41</definedName>
    <definedName name="_xlnm.Print_Area" localSheetId="4">'4. Projected Balance Sheet'!$A$1:$H$35</definedName>
    <definedName name="_xlnm.Print_Area" localSheetId="9">'8. Business Loan'!$A$1:$L$70</definedName>
    <definedName name="_xlnm.Print_Area" localSheetId="0">'Model Design'!$A$1:$M$26</definedName>
    <definedName name="_xlnm.Print_Titles" localSheetId="5">'10. 2015 Balance Sheet'!$2:$4</definedName>
    <definedName name="_xlnm.Print_Titles" localSheetId="2">'2. Projected Income Statement'!$2:$6</definedName>
    <definedName name="_xlnm.Print_Titles" localSheetId="3">'3. Projected Cash Flows'!$2:$6</definedName>
    <definedName name="_xlnm.Print_Titles" localSheetId="4">'4. Projected Balance Sheet'!$2:$6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2" l="1"/>
  <c r="H31" i="12"/>
  <c r="F29" i="11"/>
  <c r="G8" i="11" s="1"/>
  <c r="G29" i="11" s="1"/>
  <c r="H8" i="11" s="1"/>
  <c r="H29" i="11" s="1"/>
  <c r="I8" i="11" s="1"/>
  <c r="I29" i="11" s="1"/>
  <c r="J8" i="11" s="1"/>
  <c r="J29" i="11" s="1"/>
  <c r="K8" i="11" s="1"/>
  <c r="K29" i="11" s="1"/>
  <c r="L8" i="11" s="1"/>
  <c r="L29" i="11" s="1"/>
  <c r="M8" i="11" s="1"/>
  <c r="M29" i="11" s="1"/>
  <c r="N8" i="11" s="1"/>
  <c r="N29" i="11" s="1"/>
  <c r="O8" i="11" s="1"/>
  <c r="O29" i="11" s="1"/>
  <c r="P8" i="11" s="1"/>
  <c r="P29" i="11" s="1"/>
  <c r="F8" i="11"/>
  <c r="E29" i="11"/>
  <c r="P19" i="11"/>
  <c r="O19" i="11"/>
  <c r="O25" i="11" s="1"/>
  <c r="N19" i="11"/>
  <c r="M19" i="11"/>
  <c r="L19" i="11"/>
  <c r="K19" i="11"/>
  <c r="K25" i="11" s="1"/>
  <c r="J19" i="11"/>
  <c r="I19" i="11"/>
  <c r="H19" i="11"/>
  <c r="G19" i="11"/>
  <c r="G25" i="11" s="1"/>
  <c r="F19" i="11"/>
  <c r="E19" i="11"/>
  <c r="E25" i="11"/>
  <c r="P27" i="11"/>
  <c r="L27" i="11"/>
  <c r="H27" i="11"/>
  <c r="H28" i="12"/>
  <c r="H27" i="12"/>
  <c r="H26" i="12"/>
  <c r="H22" i="12"/>
  <c r="H23" i="12"/>
  <c r="H16" i="12"/>
  <c r="H14" i="12"/>
  <c r="H13" i="12"/>
  <c r="Q12" i="11"/>
  <c r="F23" i="12"/>
  <c r="F14" i="12"/>
  <c r="F18" i="12" s="1"/>
  <c r="F10" i="12"/>
  <c r="F29" i="12"/>
  <c r="F28" i="12"/>
  <c r="F27" i="12"/>
  <c r="F26" i="12"/>
  <c r="F22" i="12"/>
  <c r="F16" i="12"/>
  <c r="F13" i="12"/>
  <c r="F9" i="12"/>
  <c r="F8" i="12"/>
  <c r="F4" i="12"/>
  <c r="Q24" i="11"/>
  <c r="P23" i="11"/>
  <c r="P25" i="11" s="1"/>
  <c r="O23" i="11"/>
  <c r="N23" i="11"/>
  <c r="M23" i="11"/>
  <c r="M25" i="11" s="1"/>
  <c r="M27" i="11" s="1"/>
  <c r="L23" i="11"/>
  <c r="L25" i="11" s="1"/>
  <c r="K23" i="11"/>
  <c r="J23" i="11"/>
  <c r="I23" i="11"/>
  <c r="I25" i="11" s="1"/>
  <c r="I27" i="11" s="1"/>
  <c r="H23" i="11"/>
  <c r="H25" i="11" s="1"/>
  <c r="G23" i="11"/>
  <c r="F23" i="11"/>
  <c r="E23" i="11"/>
  <c r="N25" i="11"/>
  <c r="J25" i="11"/>
  <c r="F25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Q20" i="11"/>
  <c r="Q17" i="11"/>
  <c r="Q16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Q11" i="11"/>
  <c r="F11" i="11"/>
  <c r="G11" i="11"/>
  <c r="H11" i="11"/>
  <c r="I11" i="11"/>
  <c r="J11" i="11"/>
  <c r="K11" i="11"/>
  <c r="L11" i="11"/>
  <c r="M11" i="11"/>
  <c r="N11" i="11"/>
  <c r="O11" i="11"/>
  <c r="P11" i="11"/>
  <c r="E11" i="11"/>
  <c r="E8" i="11"/>
  <c r="F41" i="9"/>
  <c r="G41" i="9"/>
  <c r="H41" i="9"/>
  <c r="I41" i="9"/>
  <c r="J41" i="9"/>
  <c r="K41" i="9"/>
  <c r="L41" i="9"/>
  <c r="M41" i="9"/>
  <c r="N41" i="9"/>
  <c r="O41" i="9"/>
  <c r="P41" i="9"/>
  <c r="Q41" i="9"/>
  <c r="E41" i="9"/>
  <c r="P32" i="9"/>
  <c r="O32" i="9"/>
  <c r="N32" i="9"/>
  <c r="M32" i="9"/>
  <c r="L32" i="9"/>
  <c r="K32" i="9"/>
  <c r="J32" i="9"/>
  <c r="I32" i="9"/>
  <c r="H32" i="9"/>
  <c r="G32" i="9"/>
  <c r="F32" i="9"/>
  <c r="E32" i="9"/>
  <c r="E39" i="9" s="1"/>
  <c r="P39" i="9"/>
  <c r="O39" i="9"/>
  <c r="N39" i="9"/>
  <c r="M39" i="9"/>
  <c r="L39" i="9"/>
  <c r="K39" i="9"/>
  <c r="J39" i="9"/>
  <c r="I39" i="9"/>
  <c r="H39" i="9"/>
  <c r="G39" i="9"/>
  <c r="F39" i="9"/>
  <c r="P37" i="9"/>
  <c r="O37" i="9"/>
  <c r="N37" i="9"/>
  <c r="M37" i="9"/>
  <c r="L37" i="9"/>
  <c r="K37" i="9"/>
  <c r="J37" i="9"/>
  <c r="I37" i="9"/>
  <c r="H37" i="9"/>
  <c r="G37" i="9"/>
  <c r="F37" i="9"/>
  <c r="E37" i="9"/>
  <c r="Q36" i="9"/>
  <c r="Q35" i="9"/>
  <c r="P36" i="9"/>
  <c r="O36" i="9"/>
  <c r="N36" i="9"/>
  <c r="M36" i="9"/>
  <c r="L36" i="9"/>
  <c r="K36" i="9"/>
  <c r="J36" i="9"/>
  <c r="I36" i="9"/>
  <c r="H36" i="9"/>
  <c r="G36" i="9"/>
  <c r="F36" i="9"/>
  <c r="P35" i="9"/>
  <c r="O35" i="9"/>
  <c r="N35" i="9"/>
  <c r="M35" i="9"/>
  <c r="L35" i="9"/>
  <c r="K35" i="9"/>
  <c r="J35" i="9"/>
  <c r="I35" i="9"/>
  <c r="H35" i="9"/>
  <c r="G35" i="9"/>
  <c r="F35" i="9"/>
  <c r="E36" i="9"/>
  <c r="E35" i="9"/>
  <c r="Q32" i="9"/>
  <c r="Q26" i="9"/>
  <c r="P31" i="9"/>
  <c r="O31" i="9"/>
  <c r="N31" i="9"/>
  <c r="M31" i="9"/>
  <c r="L31" i="9"/>
  <c r="K31" i="9"/>
  <c r="J31" i="9"/>
  <c r="I31" i="9"/>
  <c r="H31" i="9"/>
  <c r="G31" i="9"/>
  <c r="F31" i="9"/>
  <c r="E31" i="9"/>
  <c r="Q31" i="9" s="1"/>
  <c r="P30" i="9"/>
  <c r="O30" i="9"/>
  <c r="N30" i="9"/>
  <c r="M30" i="9"/>
  <c r="L30" i="9"/>
  <c r="K30" i="9"/>
  <c r="J30" i="9"/>
  <c r="I30" i="9"/>
  <c r="H30" i="9"/>
  <c r="G30" i="9"/>
  <c r="F30" i="9"/>
  <c r="E30" i="9"/>
  <c r="Q30" i="9" s="1"/>
  <c r="P29" i="9"/>
  <c r="O29" i="9"/>
  <c r="N29" i="9"/>
  <c r="M29" i="9"/>
  <c r="L29" i="9"/>
  <c r="K29" i="9"/>
  <c r="J29" i="9"/>
  <c r="I29" i="9"/>
  <c r="H29" i="9"/>
  <c r="G29" i="9"/>
  <c r="F29" i="9"/>
  <c r="E29" i="9"/>
  <c r="Q29" i="9" s="1"/>
  <c r="P28" i="9"/>
  <c r="O28" i="9"/>
  <c r="N28" i="9"/>
  <c r="M28" i="9"/>
  <c r="L28" i="9"/>
  <c r="K28" i="9"/>
  <c r="J28" i="9"/>
  <c r="I28" i="9"/>
  <c r="H28" i="9"/>
  <c r="G28" i="9"/>
  <c r="F28" i="9"/>
  <c r="E28" i="9"/>
  <c r="P27" i="9"/>
  <c r="O27" i="9"/>
  <c r="N27" i="9"/>
  <c r="M27" i="9"/>
  <c r="L27" i="9"/>
  <c r="K27" i="9"/>
  <c r="J27" i="9"/>
  <c r="I27" i="9"/>
  <c r="H27" i="9"/>
  <c r="G27" i="9"/>
  <c r="F27" i="9"/>
  <c r="E27" i="9"/>
  <c r="P26" i="9"/>
  <c r="O26" i="9"/>
  <c r="N26" i="9"/>
  <c r="M26" i="9"/>
  <c r="L26" i="9"/>
  <c r="K26" i="9"/>
  <c r="J26" i="9"/>
  <c r="I26" i="9"/>
  <c r="H26" i="9"/>
  <c r="G26" i="9"/>
  <c r="F26" i="9"/>
  <c r="E26" i="9"/>
  <c r="Q28" i="9"/>
  <c r="M23" i="7"/>
  <c r="K23" i="7"/>
  <c r="I23" i="7"/>
  <c r="M21" i="7"/>
  <c r="M20" i="7"/>
  <c r="M19" i="7"/>
  <c r="I21" i="7"/>
  <c r="G20" i="7"/>
  <c r="G19" i="7"/>
  <c r="I20" i="7"/>
  <c r="I19" i="7"/>
  <c r="L5" i="8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" i="8"/>
  <c r="I9" i="8"/>
  <c r="K9" i="8" s="1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8" i="8"/>
  <c r="K7" i="8"/>
  <c r="K6" i="8"/>
  <c r="K5" i="8"/>
  <c r="K4" i="8"/>
  <c r="J39" i="8"/>
  <c r="I39" i="8"/>
  <c r="J38" i="8"/>
  <c r="I38" i="8"/>
  <c r="J37" i="8"/>
  <c r="I37" i="8"/>
  <c r="J36" i="8"/>
  <c r="I36" i="8"/>
  <c r="J35" i="8"/>
  <c r="I35" i="8"/>
  <c r="J34" i="8"/>
  <c r="I34" i="8"/>
  <c r="J33" i="8"/>
  <c r="I33" i="8"/>
  <c r="J32" i="8"/>
  <c r="I32" i="8"/>
  <c r="J31" i="8"/>
  <c r="I31" i="8"/>
  <c r="J30" i="8"/>
  <c r="I30" i="8"/>
  <c r="J29" i="8"/>
  <c r="I29" i="8"/>
  <c r="J28" i="8"/>
  <c r="I28" i="8"/>
  <c r="J27" i="8"/>
  <c r="I27" i="8"/>
  <c r="J26" i="8"/>
  <c r="I26" i="8"/>
  <c r="J25" i="8"/>
  <c r="I25" i="8"/>
  <c r="J24" i="8"/>
  <c r="I24" i="8"/>
  <c r="J23" i="8"/>
  <c r="I23" i="8"/>
  <c r="J22" i="8"/>
  <c r="I22" i="8"/>
  <c r="J21" i="8"/>
  <c r="I21" i="8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J8" i="8"/>
  <c r="I8" i="8"/>
  <c r="J7" i="8"/>
  <c r="I7" i="8"/>
  <c r="J6" i="8"/>
  <c r="I6" i="8"/>
  <c r="J5" i="8"/>
  <c r="I5" i="8"/>
  <c r="I4" i="8"/>
  <c r="J4" i="8"/>
  <c r="E8" i="8"/>
  <c r="H39" i="8"/>
  <c r="H5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4" i="8"/>
  <c r="G15" i="7"/>
  <c r="G14" i="7"/>
  <c r="G13" i="7"/>
  <c r="G12" i="7"/>
  <c r="G11" i="7"/>
  <c r="G16" i="7" s="1"/>
  <c r="G10" i="7"/>
  <c r="I16" i="7"/>
  <c r="I15" i="7"/>
  <c r="I14" i="7"/>
  <c r="I13" i="7"/>
  <c r="I12" i="7"/>
  <c r="I11" i="7"/>
  <c r="I10" i="7"/>
  <c r="K21" i="7"/>
  <c r="K20" i="7"/>
  <c r="K19" i="7"/>
  <c r="K16" i="7"/>
  <c r="K15" i="7"/>
  <c r="K14" i="7"/>
  <c r="K13" i="7"/>
  <c r="K12" i="7"/>
  <c r="K11" i="7"/>
  <c r="K10" i="7"/>
  <c r="P23" i="9"/>
  <c r="O23" i="9"/>
  <c r="N23" i="9"/>
  <c r="M23" i="9"/>
  <c r="L23" i="9"/>
  <c r="K23" i="9"/>
  <c r="J23" i="9"/>
  <c r="I23" i="9"/>
  <c r="H23" i="9"/>
  <c r="G23" i="9"/>
  <c r="F23" i="9"/>
  <c r="P22" i="9"/>
  <c r="O22" i="9"/>
  <c r="N22" i="9"/>
  <c r="M22" i="9"/>
  <c r="L22" i="9"/>
  <c r="K22" i="9"/>
  <c r="J22" i="9"/>
  <c r="I22" i="9"/>
  <c r="H22" i="9"/>
  <c r="G22" i="9"/>
  <c r="F22" i="9"/>
  <c r="E23" i="9"/>
  <c r="E22" i="9"/>
  <c r="E21" i="9"/>
  <c r="Q21" i="9" s="1"/>
  <c r="P21" i="9"/>
  <c r="O21" i="9"/>
  <c r="N21" i="9"/>
  <c r="M21" i="9"/>
  <c r="L21" i="9"/>
  <c r="K21" i="9"/>
  <c r="J21" i="9"/>
  <c r="I21" i="9"/>
  <c r="H21" i="9"/>
  <c r="G21" i="9"/>
  <c r="F21" i="9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V10" i="6"/>
  <c r="U10" i="6"/>
  <c r="T10" i="6"/>
  <c r="S10" i="6"/>
  <c r="R10" i="6"/>
  <c r="Q10" i="6"/>
  <c r="P10" i="6"/>
  <c r="O10" i="6"/>
  <c r="W10" i="6" s="1"/>
  <c r="N10" i="6"/>
  <c r="M10" i="6"/>
  <c r="L10" i="6"/>
  <c r="K10" i="6"/>
  <c r="P13" i="6"/>
  <c r="L13" i="6"/>
  <c r="Q11" i="6"/>
  <c r="Q13" i="6" s="1"/>
  <c r="M11" i="6"/>
  <c r="M13" i="6" s="1"/>
  <c r="L11" i="6"/>
  <c r="V11" i="6"/>
  <c r="V13" i="6" s="1"/>
  <c r="U11" i="6"/>
  <c r="U13" i="6" s="1"/>
  <c r="T11" i="6"/>
  <c r="T13" i="6" s="1"/>
  <c r="R11" i="6"/>
  <c r="R13" i="6" s="1"/>
  <c r="P11" i="6"/>
  <c r="N11" i="6"/>
  <c r="N13" i="6" s="1"/>
  <c r="W17" i="6"/>
  <c r="W16" i="6"/>
  <c r="V17" i="6"/>
  <c r="U17" i="6"/>
  <c r="T17" i="6"/>
  <c r="S17" i="6"/>
  <c r="R17" i="6"/>
  <c r="Q17" i="6"/>
  <c r="P17" i="6"/>
  <c r="O17" i="6"/>
  <c r="N17" i="6"/>
  <c r="M17" i="6"/>
  <c r="L17" i="6"/>
  <c r="V16" i="6"/>
  <c r="U16" i="6"/>
  <c r="T16" i="6"/>
  <c r="S16" i="6"/>
  <c r="R16" i="6"/>
  <c r="Q16" i="6"/>
  <c r="P16" i="6"/>
  <c r="O16" i="6"/>
  <c r="N16" i="6"/>
  <c r="M16" i="6"/>
  <c r="L16" i="6"/>
  <c r="V15" i="6"/>
  <c r="U15" i="6"/>
  <c r="T15" i="6"/>
  <c r="S15" i="6"/>
  <c r="R15" i="6"/>
  <c r="Q15" i="6"/>
  <c r="P15" i="6"/>
  <c r="O15" i="6"/>
  <c r="N15" i="6"/>
  <c r="M15" i="6"/>
  <c r="W15" i="6" s="1"/>
  <c r="L15" i="6"/>
  <c r="K15" i="6"/>
  <c r="K16" i="6"/>
  <c r="K17" i="6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P16" i="9"/>
  <c r="O16" i="9"/>
  <c r="N16" i="9"/>
  <c r="M16" i="9"/>
  <c r="L16" i="9"/>
  <c r="K16" i="9"/>
  <c r="J16" i="9"/>
  <c r="I16" i="9"/>
  <c r="H16" i="9"/>
  <c r="G16" i="9"/>
  <c r="F16" i="9"/>
  <c r="E16" i="9"/>
  <c r="P15" i="9"/>
  <c r="O15" i="9"/>
  <c r="N15" i="9"/>
  <c r="M15" i="9"/>
  <c r="L15" i="9"/>
  <c r="K15" i="9"/>
  <c r="J15" i="9"/>
  <c r="I15" i="9"/>
  <c r="Q15" i="9" s="1"/>
  <c r="H15" i="9"/>
  <c r="G15" i="9"/>
  <c r="F15" i="9"/>
  <c r="E15" i="9"/>
  <c r="P14" i="9"/>
  <c r="O14" i="9"/>
  <c r="N14" i="9"/>
  <c r="M14" i="9"/>
  <c r="L14" i="9"/>
  <c r="K14" i="9"/>
  <c r="J14" i="9"/>
  <c r="I14" i="9"/>
  <c r="H14" i="9"/>
  <c r="G14" i="9"/>
  <c r="F14" i="9"/>
  <c r="Q14" i="9"/>
  <c r="E14" i="9"/>
  <c r="Q10" i="9"/>
  <c r="Q9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P10" i="9"/>
  <c r="O10" i="9"/>
  <c r="N10" i="9"/>
  <c r="M10" i="9"/>
  <c r="L10" i="9"/>
  <c r="K10" i="9"/>
  <c r="J10" i="9"/>
  <c r="I10" i="9"/>
  <c r="H10" i="9"/>
  <c r="G10" i="9"/>
  <c r="F10" i="9"/>
  <c r="E10" i="9"/>
  <c r="P9" i="9"/>
  <c r="O9" i="9"/>
  <c r="N9" i="9"/>
  <c r="M9" i="9"/>
  <c r="L9" i="9"/>
  <c r="K9" i="9"/>
  <c r="J9" i="9"/>
  <c r="I9" i="9"/>
  <c r="H9" i="9"/>
  <c r="G9" i="9"/>
  <c r="F9" i="9"/>
  <c r="E9" i="9"/>
  <c r="T13" i="3"/>
  <c r="S29" i="3"/>
  <c r="R29" i="3"/>
  <c r="Q29" i="3"/>
  <c r="P29" i="3"/>
  <c r="O29" i="3"/>
  <c r="N29" i="3"/>
  <c r="M29" i="3"/>
  <c r="L29" i="3"/>
  <c r="K29" i="3"/>
  <c r="J29" i="3"/>
  <c r="I29" i="3"/>
  <c r="H29" i="3"/>
  <c r="S13" i="3"/>
  <c r="R13" i="3"/>
  <c r="Q13" i="3"/>
  <c r="P13" i="3"/>
  <c r="O13" i="3"/>
  <c r="N13" i="3"/>
  <c r="M13" i="3"/>
  <c r="L13" i="3"/>
  <c r="K13" i="3"/>
  <c r="J13" i="3"/>
  <c r="I13" i="3"/>
  <c r="H13" i="3"/>
  <c r="F36" i="3"/>
  <c r="E36" i="3"/>
  <c r="E35" i="3"/>
  <c r="K16" i="3"/>
  <c r="K14" i="3" s="1"/>
  <c r="J16" i="3"/>
  <c r="T27" i="3"/>
  <c r="T26" i="3"/>
  <c r="T25" i="3"/>
  <c r="S27" i="3"/>
  <c r="R27" i="3"/>
  <c r="Q27" i="3"/>
  <c r="P27" i="3"/>
  <c r="O27" i="3"/>
  <c r="N27" i="3"/>
  <c r="M27" i="3"/>
  <c r="L27" i="3"/>
  <c r="K27" i="3"/>
  <c r="J27" i="3"/>
  <c r="I27" i="3"/>
  <c r="S26" i="3"/>
  <c r="R26" i="3"/>
  <c r="Q26" i="3"/>
  <c r="P26" i="3"/>
  <c r="O26" i="3"/>
  <c r="N26" i="3"/>
  <c r="M26" i="3"/>
  <c r="L26" i="3"/>
  <c r="K26" i="3"/>
  <c r="J26" i="3"/>
  <c r="I26" i="3"/>
  <c r="S25" i="3"/>
  <c r="R25" i="3"/>
  <c r="Q25" i="3"/>
  <c r="P25" i="3"/>
  <c r="O25" i="3"/>
  <c r="N25" i="3"/>
  <c r="M25" i="3"/>
  <c r="L25" i="3"/>
  <c r="K25" i="3"/>
  <c r="J25" i="3"/>
  <c r="I25" i="3"/>
  <c r="H27" i="3"/>
  <c r="H26" i="3"/>
  <c r="H25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S11" i="3"/>
  <c r="R11" i="3"/>
  <c r="Q11" i="3"/>
  <c r="P11" i="3"/>
  <c r="O11" i="3"/>
  <c r="N11" i="3"/>
  <c r="M11" i="3"/>
  <c r="L11" i="3"/>
  <c r="I11" i="3"/>
  <c r="H11" i="3"/>
  <c r="S10" i="3"/>
  <c r="R10" i="3"/>
  <c r="Q10" i="3"/>
  <c r="P10" i="3"/>
  <c r="O10" i="3"/>
  <c r="N10" i="3"/>
  <c r="M10" i="3"/>
  <c r="L10" i="3"/>
  <c r="I10" i="3"/>
  <c r="H10" i="3"/>
  <c r="S9" i="3"/>
  <c r="R9" i="3"/>
  <c r="Q9" i="3"/>
  <c r="P9" i="3"/>
  <c r="O9" i="3"/>
  <c r="N9" i="3"/>
  <c r="M9" i="3"/>
  <c r="L9" i="3"/>
  <c r="I9" i="3"/>
  <c r="H9" i="3"/>
  <c r="S14" i="3"/>
  <c r="R14" i="3"/>
  <c r="Q14" i="3"/>
  <c r="P14" i="3"/>
  <c r="O14" i="3"/>
  <c r="N14" i="3"/>
  <c r="M14" i="3"/>
  <c r="L14" i="3"/>
  <c r="J14" i="3"/>
  <c r="I14" i="3"/>
  <c r="H14" i="3"/>
  <c r="S16" i="3"/>
  <c r="R16" i="3"/>
  <c r="Q16" i="3"/>
  <c r="P16" i="3"/>
  <c r="O16" i="3"/>
  <c r="N16" i="3"/>
  <c r="M16" i="3"/>
  <c r="L16" i="3"/>
  <c r="I16" i="3"/>
  <c r="H16" i="3"/>
  <c r="F27" i="3"/>
  <c r="F26" i="3"/>
  <c r="F11" i="3"/>
  <c r="F10" i="3"/>
  <c r="E27" i="3"/>
  <c r="E11" i="3"/>
  <c r="F7" i="9"/>
  <c r="H8" i="12" l="1"/>
  <c r="H10" i="12" s="1"/>
  <c r="G27" i="11"/>
  <c r="K27" i="11"/>
  <c r="O27" i="11"/>
  <c r="F27" i="11"/>
  <c r="J27" i="11"/>
  <c r="N27" i="11"/>
  <c r="E27" i="11"/>
  <c r="Q27" i="11" s="1"/>
  <c r="Q19" i="11"/>
  <c r="H29" i="12"/>
  <c r="H37" i="12" s="1"/>
  <c r="F31" i="12"/>
  <c r="F37" i="12" s="1"/>
  <c r="Q25" i="11"/>
  <c r="Q23" i="11"/>
  <c r="Q39" i="9"/>
  <c r="Q37" i="9"/>
  <c r="Q27" i="9"/>
  <c r="G21" i="7"/>
  <c r="G23" i="7" s="1"/>
  <c r="Q22" i="9"/>
  <c r="Q23" i="9"/>
  <c r="O11" i="6"/>
  <c r="S11" i="6"/>
  <c r="S13" i="6" s="1"/>
  <c r="O13" i="6"/>
  <c r="K11" i="6"/>
  <c r="W11" i="6" s="1"/>
  <c r="Q16" i="9"/>
  <c r="K9" i="3"/>
  <c r="K10" i="3"/>
  <c r="K11" i="3"/>
  <c r="T11" i="3" s="1"/>
  <c r="E22" i="3" s="1"/>
  <c r="F22" i="3" s="1"/>
  <c r="T16" i="3"/>
  <c r="T14" i="3"/>
  <c r="J9" i="3"/>
  <c r="J10" i="3"/>
  <c r="T10" i="3" s="1"/>
  <c r="E21" i="3" s="1"/>
  <c r="F21" i="3" s="1"/>
  <c r="J11" i="3"/>
  <c r="T9" i="3"/>
  <c r="E20" i="3" s="1"/>
  <c r="K13" i="6" l="1"/>
  <c r="W13" i="6" s="1"/>
  <c r="F31" i="16"/>
  <c r="G7" i="32"/>
  <c r="G8" i="32"/>
  <c r="G9" i="32"/>
  <c r="G10" i="32"/>
  <c r="G11" i="32"/>
  <c r="G12" i="32"/>
  <c r="G13" i="32"/>
  <c r="G14" i="32"/>
  <c r="G15" i="32"/>
  <c r="G16" i="32"/>
  <c r="G17" i="32"/>
  <c r="G6" i="32"/>
  <c r="Q9" i="31"/>
  <c r="D17" i="32"/>
  <c r="D16" i="32"/>
  <c r="D15" i="32"/>
  <c r="D14" i="32"/>
  <c r="D13" i="32"/>
  <c r="D12" i="32"/>
  <c r="D11" i="32"/>
  <c r="D10" i="32"/>
  <c r="D9" i="32"/>
  <c r="D8" i="32"/>
  <c r="D7" i="32"/>
  <c r="D6" i="32"/>
  <c r="Q37" i="31"/>
  <c r="Q38" i="31" s="1"/>
  <c r="Q36" i="31"/>
  <c r="Q30" i="31"/>
  <c r="Q28" i="31"/>
  <c r="Q27" i="31"/>
  <c r="Q26" i="31"/>
  <c r="Q25" i="31"/>
  <c r="Q14" i="31"/>
  <c r="G15" i="31"/>
  <c r="G29" i="31" s="1"/>
  <c r="G31" i="31" s="1"/>
  <c r="P15" i="31"/>
  <c r="P29" i="31"/>
  <c r="P31" i="31" s="1"/>
  <c r="N15" i="31"/>
  <c r="N29" i="31"/>
  <c r="N31" i="31" s="1"/>
  <c r="L15" i="31"/>
  <c r="L29" i="31" s="1"/>
  <c r="L31" i="31" s="1"/>
  <c r="K15" i="31"/>
  <c r="K29" i="31" s="1"/>
  <c r="K31" i="31" s="1"/>
  <c r="J15" i="31"/>
  <c r="J29" i="31" s="1"/>
  <c r="J31" i="31" s="1"/>
  <c r="O15" i="31"/>
  <c r="O29" i="31" s="1"/>
  <c r="O31" i="31" s="1"/>
  <c r="H15" i="31"/>
  <c r="H29" i="31" s="1"/>
  <c r="H31" i="31" s="1"/>
  <c r="F15" i="31"/>
  <c r="M15" i="31"/>
  <c r="M29" i="31"/>
  <c r="M31" i="31" s="1"/>
  <c r="B21" i="31"/>
  <c r="I15" i="31"/>
  <c r="I29" i="31" s="1"/>
  <c r="I31" i="31" s="1"/>
  <c r="P5" i="31"/>
  <c r="O5" i="31"/>
  <c r="N5" i="31"/>
  <c r="M5" i="31"/>
  <c r="L5" i="31"/>
  <c r="K5" i="31"/>
  <c r="J5" i="31"/>
  <c r="I5" i="31"/>
  <c r="H5" i="31"/>
  <c r="G5" i="31"/>
  <c r="F5" i="31"/>
  <c r="E5" i="31"/>
  <c r="F25" i="16"/>
  <c r="F10" i="16"/>
  <c r="F18" i="16" s="1"/>
  <c r="F14" i="16"/>
  <c r="B10" i="9"/>
  <c r="B15" i="9"/>
  <c r="B9" i="9"/>
  <c r="B14" i="9" s="1"/>
  <c r="B22" i="9"/>
  <c r="E6" i="9"/>
  <c r="F6" i="9"/>
  <c r="G6" i="9"/>
  <c r="H6" i="9"/>
  <c r="I6" i="9"/>
  <c r="J6" i="9"/>
  <c r="K6" i="9"/>
  <c r="L6" i="9"/>
  <c r="M6" i="9"/>
  <c r="N6" i="9"/>
  <c r="O6" i="9"/>
  <c r="P6" i="9"/>
  <c r="G7" i="9"/>
  <c r="H7" i="9" s="1"/>
  <c r="I7" i="9" s="1"/>
  <c r="J7" i="9" s="1"/>
  <c r="Q8" i="31"/>
  <c r="Q10" i="31" s="1"/>
  <c r="Q17" i="31" s="1"/>
  <c r="Q13" i="31"/>
  <c r="Q15" i="31" s="1"/>
  <c r="E15" i="31"/>
  <c r="E29" i="31" s="1"/>
  <c r="E10" i="31"/>
  <c r="I10" i="31"/>
  <c r="I17" i="31" s="1"/>
  <c r="M10" i="31"/>
  <c r="M17" i="31" s="1"/>
  <c r="M20" i="31" s="1"/>
  <c r="M21" i="31" s="1"/>
  <c r="N10" i="31"/>
  <c r="K10" i="31"/>
  <c r="O10" i="31"/>
  <c r="H10" i="31"/>
  <c r="H17" i="31" s="1"/>
  <c r="L10" i="31"/>
  <c r="L17" i="31" s="1"/>
  <c r="F10" i="31"/>
  <c r="G10" i="31"/>
  <c r="G17" i="31" s="1"/>
  <c r="J10" i="31"/>
  <c r="J17" i="31" s="1"/>
  <c r="J20" i="31" s="1"/>
  <c r="P10" i="31"/>
  <c r="P17" i="31" s="1"/>
  <c r="P20" i="31" s="1"/>
  <c r="O17" i="31"/>
  <c r="I20" i="31"/>
  <c r="I21" i="31" s="1"/>
  <c r="K17" i="31"/>
  <c r="K20" i="31" s="1"/>
  <c r="K21" i="31" s="1"/>
  <c r="N17" i="31"/>
  <c r="N20" i="31" s="1"/>
  <c r="N21" i="31" s="1"/>
  <c r="H38" i="31"/>
  <c r="G38" i="31"/>
  <c r="I38" i="31"/>
  <c r="F38" i="31"/>
  <c r="J38" i="31"/>
  <c r="K38" i="31"/>
  <c r="E38" i="31"/>
  <c r="L38" i="31"/>
  <c r="M38" i="31"/>
  <c r="N38" i="31"/>
  <c r="O38" i="31"/>
  <c r="P38" i="31"/>
  <c r="P21" i="31" l="1"/>
  <c r="P22" i="31" s="1"/>
  <c r="G20" i="31"/>
  <c r="J21" i="31"/>
  <c r="J22" i="31"/>
  <c r="E17" i="31"/>
  <c r="E20" i="31" s="1"/>
  <c r="E21" i="31" s="1"/>
  <c r="K22" i="31"/>
  <c r="K40" i="31" s="1"/>
  <c r="K42" i="31" s="1"/>
  <c r="F33" i="16"/>
  <c r="F36" i="16"/>
  <c r="O20" i="31"/>
  <c r="O21" i="31" s="1"/>
  <c r="F29" i="31"/>
  <c r="F31" i="31" s="1"/>
  <c r="F17" i="31"/>
  <c r="K7" i="9"/>
  <c r="Q29" i="31"/>
  <c r="E31" i="31"/>
  <c r="N22" i="31"/>
  <c r="L20" i="31"/>
  <c r="L21" i="31" s="1"/>
  <c r="E22" i="31"/>
  <c r="E40" i="31" s="1"/>
  <c r="E42" i="31" s="1"/>
  <c r="J40" i="31"/>
  <c r="J42" i="31" s="1"/>
  <c r="J33" i="31"/>
  <c r="H20" i="31"/>
  <c r="H21" i="31" s="1"/>
  <c r="M22" i="31"/>
  <c r="I22" i="31"/>
  <c r="P33" i="31" l="1"/>
  <c r="P40" i="31"/>
  <c r="P42" i="31" s="1"/>
  <c r="G21" i="31"/>
  <c r="G22" i="31"/>
  <c r="K33" i="31"/>
  <c r="N40" i="31"/>
  <c r="N42" i="31" s="1"/>
  <c r="N33" i="31"/>
  <c r="I33" i="31"/>
  <c r="I40" i="31"/>
  <c r="I42" i="31" s="1"/>
  <c r="Q31" i="31"/>
  <c r="H22" i="31"/>
  <c r="E33" i="31"/>
  <c r="M33" i="31"/>
  <c r="M40" i="31"/>
  <c r="M42" i="31" s="1"/>
  <c r="L7" i="9"/>
  <c r="O22" i="31"/>
  <c r="L22" i="31"/>
  <c r="F20" i="31"/>
  <c r="F21" i="31" s="1"/>
  <c r="G40" i="31" l="1"/>
  <c r="G42" i="31" s="1"/>
  <c r="G33" i="31"/>
  <c r="O40" i="31"/>
  <c r="O42" i="31" s="1"/>
  <c r="O33" i="31"/>
  <c r="Q21" i="31"/>
  <c r="Q20" i="31"/>
  <c r="L33" i="31"/>
  <c r="L40" i="31"/>
  <c r="L42" i="31" s="1"/>
  <c r="E37" i="3"/>
  <c r="F37" i="3" s="1"/>
  <c r="M7" i="9"/>
  <c r="H40" i="31"/>
  <c r="H42" i="31" s="1"/>
  <c r="H33" i="31"/>
  <c r="Q22" i="31" l="1"/>
  <c r="N7" i="9"/>
  <c r="F22" i="31"/>
  <c r="O7" i="9" l="1"/>
  <c r="F40" i="31"/>
  <c r="F42" i="31" s="1"/>
  <c r="F33" i="31"/>
  <c r="Q40" i="31"/>
  <c r="Q42" i="31" s="1"/>
  <c r="Q33" i="31"/>
  <c r="P7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Brandon</author>
  </authors>
  <commentList>
    <comment ref="E9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Brandon:</t>
        </r>
        <r>
          <rPr>
            <sz val="9"/>
            <color indexed="81"/>
            <rFont val="Tahoma"/>
            <family val="2"/>
          </rPr>
          <t xml:space="preserve">
Only used for the % Increase method</t>
        </r>
      </text>
    </comment>
    <comment ref="E13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Brandon:</t>
        </r>
        <r>
          <rPr>
            <sz val="9"/>
            <color indexed="81"/>
            <rFont val="Tahoma"/>
            <family val="2"/>
          </rPr>
          <t xml:space="preserve">
Only used for the manual forecast method.</t>
        </r>
      </text>
    </comment>
  </commentList>
</comments>
</file>

<file path=xl/sharedStrings.xml><?xml version="1.0" encoding="utf-8"?>
<sst xmlns="http://schemas.openxmlformats.org/spreadsheetml/2006/main" count="285" uniqueCount="153">
  <si>
    <t>Totals</t>
  </si>
  <si>
    <t>Depreciation</t>
  </si>
  <si>
    <t>Fixed Assets</t>
  </si>
  <si>
    <t>Total Fixed Assets</t>
  </si>
  <si>
    <t>Commercial Loan</t>
  </si>
  <si>
    <t>Price Per Unit</t>
  </si>
  <si>
    <t>Variable Cost Per Unit</t>
  </si>
  <si>
    <t>Variable Costs</t>
  </si>
  <si>
    <t>Gross Margin</t>
  </si>
  <si>
    <t>Projected Unit Sales</t>
  </si>
  <si>
    <t>Assumptions</t>
  </si>
  <si>
    <t>Projected Revenue</t>
  </si>
  <si>
    <t>Seasonality Factor</t>
  </si>
  <si>
    <t>Gross Margin Per Unit</t>
  </si>
  <si>
    <t>Products and Services</t>
  </si>
  <si>
    <t xml:space="preserve">          %</t>
  </si>
  <si>
    <t>Salaries and Wages</t>
  </si>
  <si>
    <t>Estimated Rate Per Hour</t>
  </si>
  <si>
    <t>Social Security</t>
  </si>
  <si>
    <t>Medicare</t>
  </si>
  <si>
    <t>Fixed Operating Expenses</t>
  </si>
  <si>
    <t>Expenses</t>
  </si>
  <si>
    <t>Advertising</t>
  </si>
  <si>
    <t>Insurance (Liability and Property)</t>
  </si>
  <si>
    <t>Total Expenses</t>
  </si>
  <si>
    <t>Other Expenses</t>
  </si>
  <si>
    <t>Total Other Expenses</t>
  </si>
  <si>
    <t>Total Fixed Operating Expenses</t>
  </si>
  <si>
    <t>Principal Amount</t>
  </si>
  <si>
    <t>Interest Rate</t>
  </si>
  <si>
    <t>Loan Term in Months</t>
  </si>
  <si>
    <t>Monthly Payment Amount</t>
  </si>
  <si>
    <t>Loan Balance</t>
  </si>
  <si>
    <t>Income</t>
  </si>
  <si>
    <t>Total Income</t>
  </si>
  <si>
    <t>Cost of Sales</t>
  </si>
  <si>
    <t>Total Cost of Sales</t>
  </si>
  <si>
    <t>Total Fixed Business Expenses</t>
  </si>
  <si>
    <t>Fixed Business Expenses</t>
  </si>
  <si>
    <t>Total Salary and Wages</t>
  </si>
  <si>
    <t>Net Income</t>
  </si>
  <si>
    <t>Beginning Cash Balance</t>
  </si>
  <si>
    <t>Cash Inflows</t>
  </si>
  <si>
    <t>Total Cash Inflows</t>
  </si>
  <si>
    <t>Cash Outflows</t>
  </si>
  <si>
    <t>Operating Activities</t>
  </si>
  <si>
    <t>Financing Activities</t>
  </si>
  <si>
    <t>Dividends Paid</t>
  </si>
  <si>
    <t>Total Cash Outflows</t>
  </si>
  <si>
    <t>Operating Cash Balance</t>
  </si>
  <si>
    <t>Cash Flow</t>
  </si>
  <si>
    <t>Assets</t>
  </si>
  <si>
    <t>Current Assets</t>
  </si>
  <si>
    <t>Cash</t>
  </si>
  <si>
    <t>Investing Activities</t>
  </si>
  <si>
    <t>Inventory</t>
  </si>
  <si>
    <t>Total Current Assets</t>
  </si>
  <si>
    <t>Less:  Accumulated Depreciation</t>
  </si>
  <si>
    <t>Total Assets</t>
  </si>
  <si>
    <t>Liabilities and Owner's Equity</t>
  </si>
  <si>
    <t>Liabilities</t>
  </si>
  <si>
    <t>Total Liabilities</t>
  </si>
  <si>
    <t>Owner's Equity</t>
  </si>
  <si>
    <t>Common Stock</t>
  </si>
  <si>
    <t>Retained Earnings</t>
  </si>
  <si>
    <t>Dividends Dispersed</t>
  </si>
  <si>
    <t>Total Owner's Equity</t>
  </si>
  <si>
    <t>Total Liabilities and Owner's Equity</t>
  </si>
  <si>
    <t>Taxes-Other</t>
  </si>
  <si>
    <t>Miscellaneous</t>
  </si>
  <si>
    <t>May</t>
  </si>
  <si>
    <t>New Fixed Assets Purchases</t>
  </si>
  <si>
    <t>Regular Lemonade</t>
  </si>
  <si>
    <t>Pink Lemonade</t>
  </si>
  <si>
    <t>Monthly Projection</t>
  </si>
  <si>
    <t>Projected Statement of Cash Flows</t>
  </si>
  <si>
    <t>Cash From Sales</t>
  </si>
  <si>
    <t>Qty Sold - Lemonade</t>
  </si>
  <si>
    <t>Qty Sold - Pink Lemonade</t>
  </si>
  <si>
    <t>Lemonade Stand</t>
  </si>
  <si>
    <t xml:space="preserve">Payroll  </t>
  </si>
  <si>
    <t>2015 Actuals</t>
  </si>
  <si>
    <t>2015 Income Statement</t>
  </si>
  <si>
    <t>Admin Expenses &amp; Supplies</t>
  </si>
  <si>
    <t>Commercial Loan Interest</t>
  </si>
  <si>
    <t>Operating Income</t>
  </si>
  <si>
    <t>Net Cash Flow</t>
  </si>
  <si>
    <t>Rent</t>
  </si>
  <si>
    <t>Lucy's Lemonade Stand</t>
  </si>
  <si>
    <t>Loan Month</t>
  </si>
  <si>
    <t>Principle PMT</t>
  </si>
  <si>
    <t>Interest PMT</t>
  </si>
  <si>
    <t>Total Payment</t>
  </si>
  <si>
    <t>Projected Income Statement 2016</t>
  </si>
  <si>
    <t>Month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</si>
  <si>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</si>
  <si>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</si>
  <si>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</si>
  <si>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</si>
  <si>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</si>
  <si>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</si>
  <si>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</si>
  <si>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</si>
  <si>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</si>
  <si>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</si>
  <si>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</si>
  <si>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Annualized Projection</t>
  </si>
  <si>
    <t>Total Qty Sold</t>
  </si>
  <si>
    <t>Sales Price - Lemonade</t>
  </si>
  <si>
    <t>Sales Price - Pink Lemonade</t>
  </si>
  <si>
    <t>Total Sales</t>
  </si>
  <si>
    <t>% Change</t>
  </si>
  <si>
    <t xml:space="preserve">2015 Year End Balance Sheet </t>
  </si>
  <si>
    <t xml:space="preserve">Payroll Taxes </t>
  </si>
  <si>
    <t>Payroll Taxes</t>
  </si>
  <si>
    <t>Hours Worked</t>
  </si>
  <si>
    <t>Total Projected Payroll</t>
  </si>
  <si>
    <t>Forecast Method:</t>
  </si>
  <si>
    <t>% Increase Over Last Year</t>
  </si>
  <si>
    <t>2015 Actual Units Sold</t>
  </si>
  <si>
    <t xml:space="preserve">% Change </t>
  </si>
  <si>
    <t>Payroll</t>
  </si>
  <si>
    <t>Salaries and Wages Assumptions</t>
  </si>
  <si>
    <t>Operating Expenses</t>
  </si>
  <si>
    <t>Total Operating Expenses</t>
  </si>
  <si>
    <t>Commercial Loan Payments</t>
  </si>
  <si>
    <t>Inventory Addition to Balance Sheet</t>
  </si>
  <si>
    <t>Projected Sales 2016</t>
  </si>
  <si>
    <t>Projected Payroll 2016</t>
  </si>
  <si>
    <t>Projected Operating Expenses 2016</t>
  </si>
  <si>
    <t>Projected End of Year Balance Sheet 2016</t>
  </si>
  <si>
    <t>Business Financing</t>
  </si>
  <si>
    <t>Purpose of Financial Model</t>
  </si>
  <si>
    <t>Instructions</t>
  </si>
  <si>
    <t>Cell Identification</t>
  </si>
  <si>
    <t xml:space="preserve">This financial model is used to forecast the sales and expenses associated with Lucy's Lemonade Stand for a 12 month period. </t>
  </si>
  <si>
    <t>The model utilizes the sales and expense inputs received by the user to automatically consruct a projected Income Statement,</t>
  </si>
  <si>
    <t>Statement of Cash Flows, and Balance Sheet.</t>
  </si>
  <si>
    <t>Worksheets with blue tabs contain historical financial information that can be used to make financial projections.</t>
  </si>
  <si>
    <t xml:space="preserve">Example </t>
  </si>
  <si>
    <t>Worksheets with yellow tabs contain input cells for the user. These worksheets must be completed for the model to work properly.</t>
  </si>
  <si>
    <t>Example</t>
  </si>
  <si>
    <t>Cells containing numbers in a black font are formula cells.</t>
  </si>
  <si>
    <t>Cells that are highlighted yellow and contain numbers in blue font are input cells.</t>
  </si>
  <si>
    <t>Cells that contain numbers in green font contain references to other worksheets.</t>
  </si>
  <si>
    <t>2015 Sales Data</t>
  </si>
  <si>
    <t>Worksheets with purple tabs contain the projected financial statements that automatically update.</t>
  </si>
  <si>
    <t>2015 Total Payroll</t>
  </si>
  <si>
    <t>2015 Payroll Taxes</t>
  </si>
  <si>
    <t>2015 Payroll</t>
  </si>
  <si>
    <t>% Increase</t>
  </si>
  <si>
    <t>12/31/2015</t>
  </si>
  <si>
    <t>EOY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</si>
</sst>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%"/>
    <numFmt numFmtId="169" formatCode="_(&quot;$&quot;* #,##0_);_(&quot;$&quot;* \(#,##0\);_(&quot;$&quot;* &quot;-&quot;??_);_(@_)"/>
    <numFmt numFmtId="170" formatCode="_(* #,##0_);_(* \(#,##0\);_(* &quot;-&quot;??_);_(@_)"/>
    <numFmt numFmtId="171" formatCode="#,##0_);&quot;(&quot;#,##0&quot;)&quot;;&quot;-&quot;_)"/>
  </numFmts>
  <fonts count="22" x14ac:knownFonts="1">
    <font>
      <sz val="9"/>
      <name val="Arial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i/>
      <sz val="9"/>
      <name val="Arial"/>
      <family val="2"/>
    </font>
    <font>
      <sz val="9"/>
      <color rgb="FFFF0000"/>
      <name val="Arial"/>
      <family val="2"/>
    </font>
    <font>
      <sz val="9"/>
      <color rgb="FF0000FF"/>
      <name val="Arial"/>
      <family val="2"/>
    </font>
    <font>
      <sz val="9"/>
      <color rgb="FF00B050"/>
      <name val="Arial"/>
      <family val="2"/>
    </font>
    <font>
      <sz val="9"/>
      <color theme="0"/>
      <name val="Arial"/>
      <family val="2"/>
    </font>
    <font>
      <b/>
      <sz val="9"/>
      <color rgb="FF0000FF"/>
      <name val="Arial"/>
      <family val="2"/>
    </font>
    <font>
      <b/>
      <sz val="9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219">
    <xf numFmtId="0" fontId="0" fillId="0" borderId="0" xfId="0"/>
    <xf numFmtId="0" fontId="4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5" fillId="0" borderId="0" xfId="0" applyFont="1" applyAlignment="1">
      <alignment horizontal="right"/>
    </xf>
    <xf numFmtId="170" fontId="5" fillId="0" borderId="0" xfId="1" applyNumberFormat="1" applyFont="1" applyAlignment="1">
      <alignment horizontal="right"/>
    </xf>
    <xf numFmtId="169" fontId="5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right"/>
    </xf>
    <xf numFmtId="170" fontId="5" fillId="0" borderId="0" xfId="1" applyNumberFormat="1" applyFont="1" applyBorder="1"/>
    <xf numFmtId="170" fontId="5" fillId="0" borderId="0" xfId="0" applyNumberFormat="1" applyFont="1"/>
    <xf numFmtId="170" fontId="0" fillId="0" borderId="0" xfId="0" applyNumberFormat="1"/>
    <xf numFmtId="0" fontId="2" fillId="0" borderId="0" xfId="0" applyFont="1"/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0" fontId="10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169" fontId="10" fillId="0" borderId="0" xfId="2" applyNumberFormat="1" applyFont="1" applyFill="1" applyBorder="1"/>
    <xf numFmtId="170" fontId="10" fillId="0" borderId="0" xfId="1" applyNumberFormat="1" applyFont="1"/>
    <xf numFmtId="170" fontId="10" fillId="0" borderId="0" xfId="1" applyNumberFormat="1" applyFont="1" applyFill="1" applyBorder="1"/>
    <xf numFmtId="167" fontId="10" fillId="0" borderId="0" xfId="1" applyFont="1"/>
    <xf numFmtId="166" fontId="10" fillId="0" borderId="0" xfId="2" applyFont="1"/>
    <xf numFmtId="169" fontId="10" fillId="0" borderId="0" xfId="0" applyNumberFormat="1" applyFont="1"/>
    <xf numFmtId="10" fontId="10" fillId="0" borderId="0" xfId="3" applyNumberFormat="1" applyFont="1"/>
    <xf numFmtId="170" fontId="10" fillId="0" borderId="0" xfId="0" applyNumberFormat="1" applyFont="1"/>
    <xf numFmtId="166" fontId="10" fillId="0" borderId="0" xfId="2" applyFont="1" applyFill="1" applyBorder="1"/>
    <xf numFmtId="169" fontId="10" fillId="0" borderId="2" xfId="0" applyNumberFormat="1" applyFont="1" applyBorder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10" fontId="9" fillId="0" borderId="0" xfId="3" applyNumberFormat="1" applyFont="1" applyAlignment="1">
      <alignment horizontal="right"/>
    </xf>
    <xf numFmtId="10" fontId="9" fillId="0" borderId="0" xfId="3" applyNumberFormat="1" applyFont="1" applyBorder="1" applyAlignment="1">
      <alignment horizontal="right"/>
    </xf>
    <xf numFmtId="166" fontId="9" fillId="0" borderId="0" xfId="2" applyFont="1" applyAlignment="1">
      <alignment horizontal="right"/>
    </xf>
    <xf numFmtId="169" fontId="9" fillId="0" borderId="0" xfId="2" applyNumberFormat="1" applyFont="1" applyAlignment="1">
      <alignment horizontal="right"/>
    </xf>
    <xf numFmtId="170" fontId="9" fillId="0" borderId="3" xfId="1" applyNumberFormat="1" applyFont="1" applyBorder="1" applyAlignment="1">
      <alignment horizontal="right"/>
    </xf>
    <xf numFmtId="170" fontId="9" fillId="0" borderId="0" xfId="1" applyNumberFormat="1" applyFont="1" applyAlignment="1">
      <alignment horizontal="right"/>
    </xf>
    <xf numFmtId="170" fontId="10" fillId="0" borderId="4" xfId="1" applyNumberFormat="1" applyFont="1" applyFill="1" applyBorder="1"/>
    <xf numFmtId="0" fontId="4" fillId="0" borderId="0" xfId="0" applyFont="1" applyAlignment="1">
      <alignment horizontal="center"/>
    </xf>
    <xf numFmtId="170" fontId="10" fillId="0" borderId="0" xfId="1" applyNumberFormat="1" applyFont="1" applyBorder="1"/>
    <xf numFmtId="0" fontId="10" fillId="0" borderId="0" xfId="0" applyFont="1" applyAlignment="1">
      <alignment horizontal="right"/>
    </xf>
    <xf numFmtId="170" fontId="10" fillId="0" borderId="5" xfId="1" applyNumberFormat="1" applyFont="1" applyBorder="1"/>
    <xf numFmtId="0" fontId="4" fillId="0" borderId="1" xfId="0" applyFont="1" applyBorder="1" applyAlignment="1">
      <alignment horizontal="center"/>
    </xf>
    <xf numFmtId="0" fontId="16" fillId="0" borderId="0" xfId="0" applyFont="1"/>
    <xf numFmtId="0" fontId="8" fillId="0" borderId="1" xfId="0" applyFont="1" applyBorder="1" applyAlignment="1">
      <alignment horizontal="center"/>
    </xf>
    <xf numFmtId="170" fontId="0" fillId="0" borderId="0" xfId="1" applyNumberFormat="1" applyFont="1"/>
    <xf numFmtId="0" fontId="4" fillId="0" borderId="0" xfId="0" applyFont="1" applyProtection="1">
      <protection locked="0"/>
    </xf>
    <xf numFmtId="37" fontId="9" fillId="0" borderId="0" xfId="0" applyNumberFormat="1" applyFont="1" applyAlignment="1">
      <alignment horizontal="center"/>
    </xf>
    <xf numFmtId="0" fontId="9" fillId="0" borderId="3" xfId="0" applyFont="1" applyBorder="1"/>
    <xf numFmtId="3" fontId="0" fillId="0" borderId="0" xfId="0" applyNumberFormat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3" fontId="0" fillId="0" borderId="8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9" fillId="0" borderId="10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0" xfId="0" applyFont="1" applyAlignment="1">
      <alignment horizontal="center"/>
    </xf>
    <xf numFmtId="1" fontId="10" fillId="0" borderId="0" xfId="0" applyNumberFormat="1" applyFont="1"/>
    <xf numFmtId="0" fontId="0" fillId="0" borderId="8" xfId="0" applyBorder="1"/>
    <xf numFmtId="4" fontId="0" fillId="0" borderId="0" xfId="0" applyNumberFormat="1"/>
    <xf numFmtId="170" fontId="10" fillId="0" borderId="0" xfId="1" applyNumberFormat="1" applyFont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37" fontId="10" fillId="0" borderId="2" xfId="1" applyNumberFormat="1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10" fillId="0" borderId="14" xfId="0" applyFont="1" applyBorder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right"/>
    </xf>
    <xf numFmtId="0" fontId="4" fillId="0" borderId="16" xfId="0" applyFont="1" applyBorder="1"/>
    <xf numFmtId="0" fontId="10" fillId="0" borderId="8" xfId="0" applyFont="1" applyBorder="1"/>
    <xf numFmtId="0" fontId="4" fillId="0" borderId="17" xfId="0" applyFont="1" applyBorder="1"/>
    <xf numFmtId="0" fontId="4" fillId="0" borderId="3" xfId="0" applyFont="1" applyBorder="1"/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0" fontId="10" fillId="0" borderId="9" xfId="0" applyFont="1" applyBorder="1"/>
    <xf numFmtId="0" fontId="0" fillId="3" borderId="0" xfId="0" applyFill="1"/>
    <xf numFmtId="0" fontId="4" fillId="0" borderId="1" xfId="0" applyFont="1" applyBorder="1" applyAlignment="1" applyProtection="1">
      <alignment horizontal="center"/>
      <protection locked="0"/>
    </xf>
    <xf numFmtId="10" fontId="17" fillId="3" borderId="8" xfId="3" applyNumberFormat="1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10" fontId="17" fillId="3" borderId="8" xfId="3" applyNumberFormat="1" applyFont="1" applyFill="1" applyBorder="1" applyAlignment="1" applyProtection="1">
      <alignment horizontal="center"/>
      <protection locked="0"/>
    </xf>
    <xf numFmtId="170" fontId="10" fillId="0" borderId="2" xfId="1" applyNumberFormat="1" applyFont="1" applyFill="1" applyBorder="1"/>
    <xf numFmtId="169" fontId="10" fillId="0" borderId="0" xfId="2" applyNumberFormat="1" applyFont="1" applyFill="1" applyBorder="1" applyProtection="1"/>
    <xf numFmtId="170" fontId="10" fillId="0" borderId="0" xfId="1" applyNumberFormat="1" applyFont="1" applyFill="1" applyBorder="1" applyProtection="1"/>
    <xf numFmtId="170" fontId="10" fillId="0" borderId="2" xfId="1" applyNumberFormat="1" applyFont="1" applyFill="1" applyBorder="1" applyProtection="1"/>
    <xf numFmtId="9" fontId="0" fillId="0" borderId="0" xfId="3" applyFont="1"/>
    <xf numFmtId="166" fontId="17" fillId="2" borderId="8" xfId="2" applyFont="1" applyFill="1" applyBorder="1" applyAlignment="1" applyProtection="1">
      <alignment horizontal="center"/>
      <protection locked="0"/>
    </xf>
    <xf numFmtId="166" fontId="10" fillId="0" borderId="4" xfId="1" applyNumberFormat="1" applyFont="1" applyFill="1" applyBorder="1" applyAlignment="1">
      <alignment horizontal="center"/>
    </xf>
    <xf numFmtId="167" fontId="10" fillId="0" borderId="0" xfId="1" applyFont="1" applyBorder="1" applyAlignment="1">
      <alignment horizontal="center"/>
    </xf>
    <xf numFmtId="167" fontId="10" fillId="0" borderId="0" xfId="1" applyFont="1" applyFill="1" applyBorder="1" applyAlignment="1">
      <alignment horizontal="center"/>
    </xf>
    <xf numFmtId="167" fontId="10" fillId="0" borderId="2" xfId="1" applyFont="1" applyFill="1" applyBorder="1" applyAlignment="1">
      <alignment horizontal="center"/>
    </xf>
    <xf numFmtId="167" fontId="10" fillId="0" borderId="4" xfId="1" applyFont="1" applyFill="1" applyBorder="1" applyAlignment="1">
      <alignment horizontal="center"/>
    </xf>
    <xf numFmtId="167" fontId="10" fillId="0" borderId="0" xfId="1" applyFont="1" applyFill="1" applyAlignment="1">
      <alignment horizontal="center"/>
    </xf>
    <xf numFmtId="165" fontId="10" fillId="0" borderId="0" xfId="1" applyNumberFormat="1" applyFont="1"/>
    <xf numFmtId="165" fontId="10" fillId="0" borderId="0" xfId="0" applyNumberFormat="1" applyFont="1"/>
    <xf numFmtId="165" fontId="10" fillId="0" borderId="0" xfId="1" applyNumberFormat="1" applyFont="1" applyBorder="1" applyAlignment="1">
      <alignment horizontal="center"/>
    </xf>
    <xf numFmtId="165" fontId="10" fillId="0" borderId="2" xfId="1" applyNumberFormat="1" applyFont="1" applyFill="1" applyBorder="1" applyAlignment="1">
      <alignment horizontal="center"/>
    </xf>
    <xf numFmtId="0" fontId="8" fillId="0" borderId="0" xfId="0" applyFont="1" applyProtection="1">
      <protection locked="0"/>
    </xf>
    <xf numFmtId="0" fontId="4" fillId="0" borderId="13" xfId="0" applyFont="1" applyBorder="1" applyAlignment="1">
      <alignment horizontal="right"/>
    </xf>
    <xf numFmtId="0" fontId="0" fillId="0" borderId="16" xfId="0" applyBorder="1"/>
    <xf numFmtId="0" fontId="0" fillId="0" borderId="8" xfId="0" applyBorder="1" applyAlignment="1">
      <alignment horizontal="center"/>
    </xf>
    <xf numFmtId="0" fontId="4" fillId="0" borderId="17" xfId="0" applyFont="1" applyBorder="1" applyAlignment="1">
      <alignment horizontal="right"/>
    </xf>
    <xf numFmtId="168" fontId="0" fillId="0" borderId="3" xfId="3" applyNumberFormat="1" applyFont="1" applyBorder="1" applyAlignment="1">
      <alignment horizontal="center"/>
    </xf>
    <xf numFmtId="168" fontId="0" fillId="0" borderId="9" xfId="3" applyNumberFormat="1" applyFont="1" applyBorder="1" applyAlignment="1">
      <alignment horizontal="center"/>
    </xf>
    <xf numFmtId="0" fontId="18" fillId="0" borderId="0" xfId="0" applyFont="1"/>
    <xf numFmtId="10" fontId="9" fillId="0" borderId="2" xfId="3" applyNumberFormat="1" applyFont="1" applyFill="1" applyBorder="1" applyAlignment="1">
      <alignment horizontal="center"/>
    </xf>
    <xf numFmtId="10" fontId="9" fillId="0" borderId="2" xfId="0" applyNumberFormat="1" applyFont="1" applyBorder="1" applyAlignment="1">
      <alignment horizontal="center"/>
    </xf>
    <xf numFmtId="3" fontId="9" fillId="0" borderId="0" xfId="1" applyNumberFormat="1" applyFont="1" applyAlignment="1">
      <alignment horizontal="center"/>
    </xf>
    <xf numFmtId="0" fontId="9" fillId="0" borderId="14" xfId="0" applyFont="1" applyBorder="1"/>
    <xf numFmtId="0" fontId="9" fillId="0" borderId="14" xfId="0" applyFont="1" applyBorder="1" applyAlignment="1">
      <alignment horizontal="right"/>
    </xf>
    <xf numFmtId="0" fontId="18" fillId="0" borderId="14" xfId="0" applyFont="1" applyBorder="1" applyAlignment="1">
      <alignment horizontal="center"/>
    </xf>
    <xf numFmtId="3" fontId="9" fillId="0" borderId="15" xfId="1" applyNumberFormat="1" applyFont="1" applyBorder="1" applyAlignment="1">
      <alignment horizontal="center"/>
    </xf>
    <xf numFmtId="0" fontId="9" fillId="0" borderId="3" xfId="0" applyFont="1" applyBorder="1" applyAlignment="1">
      <alignment horizontal="right"/>
    </xf>
    <xf numFmtId="168" fontId="9" fillId="0" borderId="3" xfId="3" applyNumberFormat="1" applyFont="1" applyBorder="1" applyAlignment="1">
      <alignment horizontal="center"/>
    </xf>
    <xf numFmtId="168" fontId="9" fillId="0" borderId="9" xfId="3" applyNumberFormat="1" applyFont="1" applyBorder="1" applyAlignment="1">
      <alignment horizontal="center"/>
    </xf>
    <xf numFmtId="166" fontId="17" fillId="2" borderId="0" xfId="2" applyFont="1" applyFill="1" applyAlignment="1" applyProtection="1">
      <alignment horizontal="right"/>
      <protection locked="0"/>
    </xf>
    <xf numFmtId="166" fontId="17" fillId="2" borderId="3" xfId="2" applyFont="1" applyFill="1" applyBorder="1" applyAlignment="1" applyProtection="1">
      <alignment horizontal="right"/>
      <protection locked="0"/>
    </xf>
    <xf numFmtId="1" fontId="17" fillId="2" borderId="0" xfId="1" applyNumberFormat="1" applyFont="1" applyFill="1" applyAlignment="1" applyProtection="1">
      <alignment horizontal="center"/>
    </xf>
    <xf numFmtId="169" fontId="17" fillId="2" borderId="0" xfId="2" applyNumberFormat="1" applyFont="1" applyFill="1" applyBorder="1" applyProtection="1">
      <protection locked="0"/>
    </xf>
    <xf numFmtId="170" fontId="17" fillId="2" borderId="2" xfId="1" applyNumberFormat="1" applyFont="1" applyFill="1" applyBorder="1" applyProtection="1"/>
    <xf numFmtId="0" fontId="19" fillId="0" borderId="0" xfId="0" applyFont="1"/>
    <xf numFmtId="166" fontId="16" fillId="0" borderId="0" xfId="0" applyNumberFormat="1" applyFont="1"/>
    <xf numFmtId="169" fontId="18" fillId="0" borderId="0" xfId="1" applyNumberFormat="1" applyFont="1" applyAlignment="1"/>
    <xf numFmtId="169" fontId="9" fillId="0" borderId="0" xfId="0" applyNumberFormat="1" applyFont="1"/>
    <xf numFmtId="165" fontId="18" fillId="0" borderId="2" xfId="1" applyNumberFormat="1" applyFont="1" applyBorder="1" applyAlignment="1"/>
    <xf numFmtId="165" fontId="9" fillId="0" borderId="2" xfId="0" applyNumberFormat="1" applyFont="1" applyBorder="1"/>
    <xf numFmtId="165" fontId="9" fillId="0" borderId="0" xfId="0" applyNumberFormat="1" applyFont="1"/>
    <xf numFmtId="165" fontId="9" fillId="0" borderId="0" xfId="1" applyNumberFormat="1" applyFont="1"/>
    <xf numFmtId="165" fontId="18" fillId="0" borderId="0" xfId="1" applyNumberFormat="1" applyFont="1"/>
    <xf numFmtId="165" fontId="18" fillId="0" borderId="2" xfId="0" applyNumberFormat="1" applyFont="1" applyBorder="1"/>
    <xf numFmtId="165" fontId="9" fillId="0" borderId="2" xfId="1" applyNumberFormat="1" applyFont="1" applyBorder="1"/>
    <xf numFmtId="165" fontId="10" fillId="0" borderId="2" xfId="0" applyNumberFormat="1" applyFont="1" applyBorder="1"/>
    <xf numFmtId="165" fontId="18" fillId="0" borderId="2" xfId="1" applyNumberFormat="1" applyFont="1" applyBorder="1"/>
    <xf numFmtId="165" fontId="18" fillId="0" borderId="0" xfId="1" applyNumberFormat="1" applyFont="1" applyBorder="1"/>
    <xf numFmtId="165" fontId="10" fillId="0" borderId="2" xfId="1" applyNumberFormat="1" applyFont="1" applyBorder="1"/>
    <xf numFmtId="169" fontId="10" fillId="0" borderId="0" xfId="1" applyNumberFormat="1" applyFont="1" applyAlignment="1">
      <alignment horizontal="right"/>
    </xf>
    <xf numFmtId="169" fontId="10" fillId="0" borderId="0" xfId="0" applyNumberFormat="1" applyFont="1" applyAlignment="1">
      <alignment horizontal="right"/>
    </xf>
    <xf numFmtId="165" fontId="10" fillId="0" borderId="2" xfId="1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5" fontId="10" fillId="0" borderId="0" xfId="3" applyNumberFormat="1" applyFont="1" applyAlignment="1">
      <alignment horizontal="right"/>
    </xf>
    <xf numFmtId="165" fontId="10" fillId="0" borderId="0" xfId="1" applyNumberFormat="1" applyFont="1" applyAlignment="1">
      <alignment horizontal="right"/>
    </xf>
    <xf numFmtId="165" fontId="9" fillId="0" borderId="0" xfId="1" applyNumberFormat="1" applyFont="1" applyBorder="1" applyAlignment="1">
      <alignment horizontal="right"/>
    </xf>
    <xf numFmtId="165" fontId="10" fillId="0" borderId="0" xfId="1" applyNumberFormat="1" applyFont="1" applyBorder="1" applyAlignment="1">
      <alignment horizontal="right"/>
    </xf>
    <xf numFmtId="165" fontId="10" fillId="0" borderId="2" xfId="1" applyNumberFormat="1" applyFont="1" applyFill="1" applyBorder="1" applyAlignment="1">
      <alignment horizontal="right"/>
    </xf>
    <xf numFmtId="169" fontId="10" fillId="0" borderId="0" xfId="1" applyNumberFormat="1" applyFont="1" applyBorder="1" applyAlignment="1">
      <alignment horizontal="right"/>
    </xf>
    <xf numFmtId="165" fontId="10" fillId="0" borderId="5" xfId="1" applyNumberFormat="1" applyFont="1" applyBorder="1" applyAlignment="1">
      <alignment horizontal="right"/>
    </xf>
    <xf numFmtId="166" fontId="10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169" fontId="18" fillId="0" borderId="0" xfId="1" applyNumberFormat="1" applyFont="1" applyFill="1" applyBorder="1" applyAlignment="1" applyProtection="1">
      <alignment horizontal="center"/>
    </xf>
    <xf numFmtId="170" fontId="18" fillId="0" borderId="2" xfId="1" applyNumberFormat="1" applyFont="1" applyFill="1" applyBorder="1" applyAlignment="1" applyProtection="1">
      <alignment horizontal="center"/>
    </xf>
    <xf numFmtId="169" fontId="10" fillId="0" borderId="4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10" fillId="0" borderId="4" xfId="1" applyNumberFormat="1" applyFont="1" applyFill="1" applyBorder="1" applyAlignment="1">
      <alignment horizontal="center"/>
    </xf>
    <xf numFmtId="165" fontId="10" fillId="0" borderId="0" xfId="1" applyNumberFormat="1" applyFont="1" applyFill="1" applyAlignment="1">
      <alignment horizontal="center"/>
    </xf>
    <xf numFmtId="170" fontId="10" fillId="0" borderId="0" xfId="1" applyNumberFormat="1" applyFont="1" applyFill="1" applyBorder="1" applyAlignment="1">
      <alignment horizontal="center"/>
    </xf>
    <xf numFmtId="170" fontId="10" fillId="0" borderId="2" xfId="1" applyNumberFormat="1" applyFont="1" applyFill="1" applyBorder="1" applyAlignment="1">
      <alignment horizontal="center"/>
    </xf>
    <xf numFmtId="170" fontId="10" fillId="0" borderId="0" xfId="1" applyNumberFormat="1" applyFont="1" applyFill="1" applyAlignment="1">
      <alignment horizontal="center"/>
    </xf>
    <xf numFmtId="170" fontId="10" fillId="0" borderId="0" xfId="1" applyNumberFormat="1" applyFont="1" applyFill="1" applyAlignment="1" applyProtection="1">
      <alignment horizontal="center"/>
    </xf>
    <xf numFmtId="170" fontId="9" fillId="0" borderId="5" xfId="1" applyNumberFormat="1" applyFont="1" applyBorder="1"/>
    <xf numFmtId="170" fontId="18" fillId="0" borderId="0" xfId="1" applyNumberFormat="1" applyFont="1" applyFill="1" applyBorder="1" applyAlignment="1" applyProtection="1">
      <alignment horizontal="center"/>
    </xf>
    <xf numFmtId="170" fontId="18" fillId="0" borderId="0" xfId="1" applyNumberFormat="1" applyFont="1" applyFill="1" applyAlignment="1" applyProtection="1">
      <alignment horizontal="center"/>
    </xf>
    <xf numFmtId="169" fontId="17" fillId="3" borderId="0" xfId="2" applyNumberFormat="1" applyFont="1" applyFill="1"/>
    <xf numFmtId="167" fontId="17" fillId="3" borderId="0" xfId="0" applyNumberFormat="1" applyFont="1" applyFill="1"/>
    <xf numFmtId="167" fontId="17" fillId="3" borderId="0" xfId="1" applyFont="1" applyFill="1" applyBorder="1" applyAlignment="1" applyProtection="1">
      <alignment horizontal="center"/>
    </xf>
    <xf numFmtId="3" fontId="18" fillId="0" borderId="14" xfId="0" applyNumberFormat="1" applyFont="1" applyBorder="1" applyAlignment="1">
      <alignment horizontal="center"/>
    </xf>
    <xf numFmtId="3" fontId="18" fillId="0" borderId="15" xfId="0" applyNumberFormat="1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0" fillId="4" borderId="0" xfId="0" applyFill="1"/>
    <xf numFmtId="0" fontId="0" fillId="5" borderId="0" xfId="0" applyFill="1"/>
    <xf numFmtId="0" fontId="17" fillId="3" borderId="0" xfId="0" applyFont="1" applyFill="1"/>
    <xf numFmtId="166" fontId="17" fillId="3" borderId="0" xfId="2" applyFont="1" applyFill="1" applyBorder="1" applyAlignment="1" applyProtection="1">
      <alignment horizontal="center"/>
    </xf>
    <xf numFmtId="167" fontId="17" fillId="3" borderId="2" xfId="1" applyFont="1" applyFill="1" applyBorder="1" applyAlignment="1" applyProtection="1">
      <alignment horizontal="center"/>
    </xf>
    <xf numFmtId="170" fontId="2" fillId="0" borderId="0" xfId="1" applyNumberFormat="1" applyFont="1" applyFill="1" applyBorder="1"/>
    <xf numFmtId="170" fontId="2" fillId="0" borderId="2" xfId="1" applyNumberFormat="1" applyFont="1" applyFill="1" applyBorder="1"/>
    <xf numFmtId="170" fontId="2" fillId="0" borderId="0" xfId="1" applyNumberFormat="1" applyFont="1" applyFill="1"/>
    <xf numFmtId="3" fontId="2" fillId="0" borderId="0" xfId="0" applyNumberFormat="1" applyFont="1" applyAlignment="1">
      <alignment horizontal="center"/>
    </xf>
    <xf numFmtId="0" fontId="4" fillId="0" borderId="16" xfId="0" applyFont="1" applyBorder="1" applyAlignment="1">
      <alignment horizontal="right"/>
    </xf>
    <xf numFmtId="3" fontId="2" fillId="0" borderId="8" xfId="0" applyNumberFormat="1" applyFont="1" applyBorder="1" applyAlignment="1">
      <alignment horizontal="center"/>
    </xf>
    <xf numFmtId="3" fontId="18" fillId="0" borderId="3" xfId="0" applyNumberFormat="1" applyFont="1" applyBorder="1" applyAlignment="1">
      <alignment horizontal="center"/>
    </xf>
    <xf numFmtId="3" fontId="18" fillId="0" borderId="9" xfId="0" applyNumberFormat="1" applyFont="1" applyBorder="1" applyAlignment="1">
      <alignment horizontal="center"/>
    </xf>
    <xf numFmtId="171" fontId="17" fillId="3" borderId="0" xfId="1" applyNumberFormat="1" applyFont="1" applyFill="1" applyBorder="1" applyAlignment="1" applyProtection="1">
      <alignment horizontal="center"/>
      <protection locked="0"/>
    </xf>
    <xf numFmtId="165" fontId="17" fillId="3" borderId="0" xfId="1" applyNumberFormat="1" applyFont="1" applyFill="1" applyBorder="1" applyAlignment="1" applyProtection="1">
      <protection locked="0"/>
    </xf>
    <xf numFmtId="170" fontId="19" fillId="0" borderId="0" xfId="0" applyNumberFormat="1" applyFont="1"/>
    <xf numFmtId="170" fontId="18" fillId="0" borderId="2" xfId="1" applyNumberFormat="1" applyFont="1" applyFill="1" applyBorder="1"/>
    <xf numFmtId="170" fontId="18" fillId="0" borderId="0" xfId="1" applyNumberFormat="1" applyFont="1" applyFill="1" applyBorder="1"/>
    <xf numFmtId="165" fontId="17" fillId="3" borderId="2" xfId="1" applyNumberFormat="1" applyFont="1" applyFill="1" applyBorder="1" applyAlignment="1" applyProtection="1">
      <protection locked="0"/>
    </xf>
    <xf numFmtId="166" fontId="17" fillId="3" borderId="0" xfId="1" applyNumberFormat="1" applyFont="1" applyFill="1" applyBorder="1" applyAlignment="1" applyProtection="1">
      <alignment horizontal="center"/>
      <protection locked="0"/>
    </xf>
    <xf numFmtId="167" fontId="17" fillId="3" borderId="2" xfId="1" applyFont="1" applyFill="1" applyBorder="1" applyAlignment="1" applyProtection="1">
      <alignment horizontal="center"/>
      <protection locked="0"/>
    </xf>
    <xf numFmtId="167" fontId="17" fillId="3" borderId="0" xfId="1" applyFont="1" applyFill="1" applyBorder="1" applyAlignment="1" applyProtection="1">
      <alignment horizontal="center"/>
      <protection locked="0"/>
    </xf>
    <xf numFmtId="14" fontId="20" fillId="3" borderId="1" xfId="0" applyNumberFormat="1" applyFont="1" applyFill="1" applyBorder="1" applyAlignment="1" applyProtection="1">
      <alignment horizontal="center"/>
      <protection locked="0"/>
    </xf>
    <xf numFmtId="167" fontId="17" fillId="3" borderId="0" xfId="1" applyFont="1" applyFill="1" applyAlignment="1" applyProtection="1">
      <alignment horizontal="center"/>
      <protection locked="0"/>
    </xf>
    <xf numFmtId="3" fontId="17" fillId="3" borderId="0" xfId="0" applyNumberFormat="1" applyFont="1" applyFill="1" applyAlignment="1">
      <alignment horizontal="center"/>
    </xf>
    <xf numFmtId="4" fontId="17" fillId="3" borderId="0" xfId="0" applyNumberFormat="1" applyFont="1" applyFill="1" applyAlignment="1">
      <alignment horizontal="center"/>
    </xf>
    <xf numFmtId="3" fontId="0" fillId="0" borderId="11" xfId="0" applyNumberFormat="1" applyBorder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19" xfId="0" applyNumberFormat="1" applyBorder="1" applyAlignment="1">
      <alignment horizontal="center"/>
    </xf>
    <xf numFmtId="0" fontId="9" fillId="0" borderId="20" xfId="0" applyFont="1" applyBorder="1" applyAlignment="1">
      <alignment horizontal="center"/>
    </xf>
    <xf numFmtId="3" fontId="17" fillId="3" borderId="2" xfId="0" applyNumberFormat="1" applyFont="1" applyFill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4" fontId="17" fillId="3" borderId="2" xfId="0" applyNumberFormat="1" applyFont="1" applyFill="1" applyBorder="1" applyAlignment="1">
      <alignment horizontal="center"/>
    </xf>
    <xf numFmtId="4" fontId="0" fillId="0" borderId="22" xfId="0" applyNumberForma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4" fontId="11" fillId="0" borderId="26" xfId="0" applyNumberFormat="1" applyFont="1" applyBorder="1" applyAlignment="1">
      <alignment horizontal="center"/>
    </xf>
    <xf numFmtId="165" fontId="18" fillId="0" borderId="2" xfId="1" applyNumberFormat="1" applyFont="1" applyFill="1" applyBorder="1" applyAlignment="1" applyProtection="1">
      <alignment horizontal="center"/>
    </xf>
    <xf numFmtId="165" fontId="18" fillId="0" borderId="0" xfId="1" applyNumberFormat="1" applyFont="1" applyFill="1" applyBorder="1" applyAlignment="1" applyProtection="1">
      <alignment horizontal="center"/>
    </xf>
    <xf numFmtId="165" fontId="18" fillId="0" borderId="0" xfId="1" applyNumberFormat="1" applyFont="1" applyFill="1" applyAlignment="1" applyProtection="1">
      <alignment horizontal="center"/>
    </xf>
    <xf numFmtId="14" fontId="21" fillId="0" borderId="1" xfId="0" applyNumberFormat="1" applyFont="1" applyBorder="1" applyAlignment="1">
      <alignment horizontal="center"/>
    </xf>
    <xf numFmtId="0" fontId="1" fillId="0" borderId="0" xfId="4"/>
    <xf numFmtId="43" fontId="9" fillId="0" borderId="0" xfId="0" applyNumberFormat="1" applyFont="1"/>
    <xf numFmtId="9" fontId="17" fillId="3" borderId="0" xfId="0" applyNumberFormat="1" applyFont="1" applyFill="1"/>
  </cellXfs>
  <cellStyles count="5">
    <cellStyle name="Moeda" xfId="2" builtinId="4"/>
    <cellStyle name="Normal" xfId="0" builtinId="0"/>
    <cellStyle name="Normal 2" xfId="4" xr:uid="{00000000-0005-0000-0000-000003000000}"/>
    <cellStyle name="Porcentagem" xfId="3" builtinId="5"/>
    <cellStyle name="Vírgula" xfId="1" builtinId="3"/>
  </cellStyles>
  <dxfs count="3">
    <dxf>
      <fill>
        <patternFill>
          <bgColor rgb="FFFF0000"/>
        </patternFill>
      </fill>
    </dxf>
    <dxf>
      <font>
        <color rgb="FF9C0006"/>
      </font>
    </dxf>
    <dxf>
      <font>
        <color rgb="FF00B050"/>
      </font>
    </dxf>
  </dxfs>
  <tableStyles count="0" defaultTableStyle="TableStyleMedium9" defaultPivotStyle="PivotStyleLight16"/>
  <colors>
    <mruColors>
      <color rgb="FF0000FF"/>
      <color rgb="FFFFFF99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Operating Cash Balance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1"/>
          <c:cat>
            <c:strRef>
              <c:f>'3. Projected Cash Flows'!$E$6:$P$6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'3. Projected Cash Flows'!$E$29:$P$29</c:f>
              <c:numCache>
                <c:formatCode>_(* #,##0_);_(* \(#,##0\);_(* "-"??_);_(@_)</c:formatCode>
                <c:ptCount val="12"/>
                <c:pt idx="0">
                  <c:v>266.40364318726375</c:v>
                </c:pt>
                <c:pt idx="1">
                  <c:v>219.63149037202749</c:v>
                </c:pt>
                <c:pt idx="2">
                  <c:v>190.26037380560376</c:v>
                </c:pt>
                <c:pt idx="3">
                  <c:v>195.88053473680503</c:v>
                </c:pt>
                <c:pt idx="4">
                  <c:v>514.80780739663123</c:v>
                </c:pt>
                <c:pt idx="5">
                  <c:v>1077.5346970398325</c:v>
                </c:pt>
                <c:pt idx="6">
                  <c:v>1779.7516364235335</c:v>
                </c:pt>
                <c:pt idx="7">
                  <c:v>2181.9685758072346</c:v>
                </c:pt>
                <c:pt idx="8">
                  <c:v>2710.1792482028113</c:v>
                </c:pt>
                <c:pt idx="9">
                  <c:v>2785.3069038792628</c:v>
                </c:pt>
                <c:pt idx="10">
                  <c:v>2769.1553338178392</c:v>
                </c:pt>
                <c:pt idx="11">
                  <c:v>2737.5966527564156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CA70-46F1-AFFD-14BFF9802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429711"/>
        <c:axId val="969427215"/>
      </c:barChart>
      <c:catAx>
        <c:axId val="96942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9427215"/>
        <c:crosses val="autoZero"/>
        <c:auto val="1"/>
        <c:lblAlgn val="ctr"/>
        <c:lblOffset val="100"/>
        <c:noMultiLvlLbl val="0"/>
      </c:catAx>
      <c:valAx>
        <c:axId val="96942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942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</xdr:row>
      <xdr:rowOff>80963</xdr:rowOff>
    </xdr:from>
    <xdr:to>
      <xdr:col>3</xdr:col>
      <xdr:colOff>147637</xdr:colOff>
      <xdr:row>4</xdr:row>
      <xdr:rowOff>71438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23887" y="271463"/>
          <a:ext cx="1352550" cy="5619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1. Instructions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539750</xdr:colOff>
      <xdr:row>1</xdr:row>
      <xdr:rowOff>80963</xdr:rowOff>
    </xdr:from>
    <xdr:to>
      <xdr:col>6</xdr:col>
      <xdr:colOff>63500</xdr:colOff>
      <xdr:row>4</xdr:row>
      <xdr:rowOff>71438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368550" y="271463"/>
          <a:ext cx="1352550" cy="5619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2. Projected Income Statement</a:t>
          </a:r>
        </a:p>
      </xdr:txBody>
    </xdr:sp>
    <xdr:clientData/>
  </xdr:twoCellAnchor>
  <xdr:twoCellAnchor>
    <xdr:from>
      <xdr:col>6</xdr:col>
      <xdr:colOff>441325</xdr:colOff>
      <xdr:row>1</xdr:row>
      <xdr:rowOff>80963</xdr:rowOff>
    </xdr:from>
    <xdr:to>
      <xdr:col>8</xdr:col>
      <xdr:colOff>574675</xdr:colOff>
      <xdr:row>4</xdr:row>
      <xdr:rowOff>71438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098925" y="271463"/>
          <a:ext cx="1352550" cy="561975"/>
        </a:xfrm>
        <a:prstGeom prst="rect">
          <a:avLst/>
        </a:prstGeom>
        <a:solidFill>
          <a:srgbClr val="FFFF99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3. Projected Cash Flows</a:t>
          </a: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342900</xdr:colOff>
      <xdr:row>1</xdr:row>
      <xdr:rowOff>80963</xdr:rowOff>
    </xdr:from>
    <xdr:to>
      <xdr:col>11</xdr:col>
      <xdr:colOff>476250</xdr:colOff>
      <xdr:row>4</xdr:row>
      <xdr:rowOff>71438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29300" y="271463"/>
          <a:ext cx="1352550" cy="5619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4. Projected Balance Sheet</a:t>
          </a: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14287</xdr:colOff>
      <xdr:row>6</xdr:row>
      <xdr:rowOff>85725</xdr:rowOff>
    </xdr:from>
    <xdr:to>
      <xdr:col>3</xdr:col>
      <xdr:colOff>147637</xdr:colOff>
      <xdr:row>9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23887" y="1228725"/>
          <a:ext cx="1352550" cy="561975"/>
        </a:xfrm>
        <a:prstGeom prst="rect">
          <a:avLst/>
        </a:prstGeom>
        <a:solidFill>
          <a:srgbClr val="FFFF99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5. Projected</a:t>
          </a:r>
          <a:r>
            <a:rPr lang="en-US" sz="1100" baseline="0">
              <a:solidFill>
                <a:sysClr val="windowText" lastClr="000000"/>
              </a:solidFill>
            </a:rPr>
            <a:t> Sales</a:t>
          </a:r>
          <a:endParaRPr lang="en-US" sz="1100">
            <a:solidFill>
              <a:sysClr val="windowText" lastClr="000000"/>
            </a:solidFill>
          </a:endParaRP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457200</xdr:colOff>
      <xdr:row>11</xdr:row>
      <xdr:rowOff>142875</xdr:rowOff>
    </xdr:from>
    <xdr:to>
      <xdr:col>8</xdr:col>
      <xdr:colOff>590550</xdr:colOff>
      <xdr:row>14</xdr:row>
      <xdr:rowOff>133350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114800" y="2238375"/>
          <a:ext cx="1352550" cy="561975"/>
        </a:xfrm>
        <a:prstGeom prst="rect">
          <a:avLst/>
        </a:prstGeom>
        <a:solidFill>
          <a:srgbClr val="99CC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11. 2015 Sales Data</a:t>
          </a: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561975</xdr:colOff>
      <xdr:row>11</xdr:row>
      <xdr:rowOff>133350</xdr:rowOff>
    </xdr:from>
    <xdr:to>
      <xdr:col>6</xdr:col>
      <xdr:colOff>85725</xdr:colOff>
      <xdr:row>14</xdr:row>
      <xdr:rowOff>123825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390775" y="2228850"/>
          <a:ext cx="1352550" cy="561975"/>
        </a:xfrm>
        <a:prstGeom prst="rect">
          <a:avLst/>
        </a:prstGeom>
        <a:solidFill>
          <a:srgbClr val="99CC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10. 2015 Balance Sheet</a:t>
          </a: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536575</xdr:colOff>
      <xdr:row>6</xdr:row>
      <xdr:rowOff>85725</xdr:rowOff>
    </xdr:from>
    <xdr:to>
      <xdr:col>6</xdr:col>
      <xdr:colOff>60325</xdr:colOff>
      <xdr:row>9</xdr:row>
      <xdr:rowOff>76200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365375" y="1228725"/>
          <a:ext cx="1352550" cy="561975"/>
        </a:xfrm>
        <a:prstGeom prst="rect">
          <a:avLst/>
        </a:prstGeom>
        <a:solidFill>
          <a:srgbClr val="FFFF99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6. Projected Payroll</a:t>
          </a: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434975</xdr:colOff>
      <xdr:row>6</xdr:row>
      <xdr:rowOff>85725</xdr:rowOff>
    </xdr:from>
    <xdr:to>
      <xdr:col>8</xdr:col>
      <xdr:colOff>568325</xdr:colOff>
      <xdr:row>9</xdr:row>
      <xdr:rowOff>76200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092575" y="1228725"/>
          <a:ext cx="1352550" cy="561975"/>
        </a:xfrm>
        <a:prstGeom prst="rect">
          <a:avLst/>
        </a:prstGeom>
        <a:solidFill>
          <a:srgbClr val="FFFF99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7. Projected Operating Expenses</a:t>
          </a: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333375</xdr:colOff>
      <xdr:row>6</xdr:row>
      <xdr:rowOff>85725</xdr:rowOff>
    </xdr:from>
    <xdr:to>
      <xdr:col>11</xdr:col>
      <xdr:colOff>466725</xdr:colOff>
      <xdr:row>9</xdr:row>
      <xdr:rowOff>76200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819775" y="1228725"/>
          <a:ext cx="1352550" cy="561975"/>
        </a:xfrm>
        <a:prstGeom prst="rect">
          <a:avLst/>
        </a:prstGeom>
        <a:solidFill>
          <a:srgbClr val="FFFF99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8. Business Loan</a:t>
          </a: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14287</xdr:colOff>
      <xdr:row>11</xdr:row>
      <xdr:rowOff>114300</xdr:rowOff>
    </xdr:from>
    <xdr:to>
      <xdr:col>3</xdr:col>
      <xdr:colOff>147637</xdr:colOff>
      <xdr:row>14</xdr:row>
      <xdr:rowOff>104775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623887" y="2209800"/>
          <a:ext cx="1352550" cy="561975"/>
        </a:xfrm>
        <a:prstGeom prst="rect">
          <a:avLst/>
        </a:prstGeom>
        <a:solidFill>
          <a:srgbClr val="99CC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9. 2015 Income Statement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147637</xdr:colOff>
      <xdr:row>2</xdr:row>
      <xdr:rowOff>171451</xdr:rowOff>
    </xdr:from>
    <xdr:to>
      <xdr:col>3</xdr:col>
      <xdr:colOff>539750</xdr:colOff>
      <xdr:row>2</xdr:row>
      <xdr:rowOff>171451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stCxn id="2" idx="3"/>
          <a:endCxn id="3" idx="1"/>
        </xdr:cNvCxnSpPr>
      </xdr:nvCxnSpPr>
      <xdr:spPr>
        <a:xfrm>
          <a:off x="1976437" y="552451"/>
          <a:ext cx="3921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576262</xdr:colOff>
      <xdr:row>3</xdr:row>
      <xdr:rowOff>9526</xdr:rowOff>
    </xdr:from>
    <xdr:to>
      <xdr:col>9</xdr:col>
      <xdr:colOff>358775</xdr:colOff>
      <xdr:row>3</xdr:row>
      <xdr:rowOff>9526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453062" y="581026"/>
          <a:ext cx="3921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147637</xdr:colOff>
      <xdr:row>7</xdr:row>
      <xdr:rowOff>171451</xdr:rowOff>
    </xdr:from>
    <xdr:to>
      <xdr:col>3</xdr:col>
      <xdr:colOff>539750</xdr:colOff>
      <xdr:row>7</xdr:row>
      <xdr:rowOff>171451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1976437" y="1504951"/>
          <a:ext cx="3921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61912</xdr:colOff>
      <xdr:row>7</xdr:row>
      <xdr:rowOff>171451</xdr:rowOff>
    </xdr:from>
    <xdr:to>
      <xdr:col>6</xdr:col>
      <xdr:colOff>454025</xdr:colOff>
      <xdr:row>7</xdr:row>
      <xdr:rowOff>171451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3719512" y="1504951"/>
          <a:ext cx="3921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566737</xdr:colOff>
      <xdr:row>7</xdr:row>
      <xdr:rowOff>171451</xdr:rowOff>
    </xdr:from>
    <xdr:to>
      <xdr:col>9</xdr:col>
      <xdr:colOff>349250</xdr:colOff>
      <xdr:row>7</xdr:row>
      <xdr:rowOff>171451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5443537" y="1504951"/>
          <a:ext cx="3921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157162</xdr:colOff>
      <xdr:row>13</xdr:row>
      <xdr:rowOff>28576</xdr:rowOff>
    </xdr:from>
    <xdr:to>
      <xdr:col>3</xdr:col>
      <xdr:colOff>549275</xdr:colOff>
      <xdr:row>13</xdr:row>
      <xdr:rowOff>28576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985962" y="2505076"/>
          <a:ext cx="3921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71437</xdr:colOff>
      <xdr:row>13</xdr:row>
      <xdr:rowOff>38101</xdr:rowOff>
    </xdr:from>
    <xdr:to>
      <xdr:col>6</xdr:col>
      <xdr:colOff>463550</xdr:colOff>
      <xdr:row>13</xdr:row>
      <xdr:rowOff>38101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3729037" y="2514601"/>
          <a:ext cx="3921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61912</xdr:colOff>
      <xdr:row>2</xdr:row>
      <xdr:rowOff>180976</xdr:rowOff>
    </xdr:from>
    <xdr:to>
      <xdr:col>6</xdr:col>
      <xdr:colOff>454025</xdr:colOff>
      <xdr:row>2</xdr:row>
      <xdr:rowOff>180976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3719512" y="561976"/>
          <a:ext cx="39211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4</xdr:row>
      <xdr:rowOff>71439</xdr:rowOff>
    </xdr:from>
    <xdr:to>
      <xdr:col>10</xdr:col>
      <xdr:colOff>409575</xdr:colOff>
      <xdr:row>5</xdr:row>
      <xdr:rowOff>66679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stCxn id="5" idx="2"/>
        </xdr:cNvCxnSpPr>
      </xdr:nvCxnSpPr>
      <xdr:spPr>
        <a:xfrm rot="5400000">
          <a:off x="3807618" y="-1678779"/>
          <a:ext cx="185740" cy="5210175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80962</xdr:colOff>
      <xdr:row>5</xdr:row>
      <xdr:rowOff>76200</xdr:rowOff>
    </xdr:from>
    <xdr:to>
      <xdr:col>2</xdr:col>
      <xdr:colOff>85725</xdr:colOff>
      <xdr:row>6</xdr:row>
      <xdr:rowOff>85725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endCxn id="6" idx="0"/>
        </xdr:cNvCxnSpPr>
      </xdr:nvCxnSpPr>
      <xdr:spPr>
        <a:xfrm flipH="1">
          <a:off x="1300162" y="1028700"/>
          <a:ext cx="4763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9</xdr:row>
      <xdr:rowOff>71439</xdr:rowOff>
    </xdr:from>
    <xdr:to>
      <xdr:col>10</xdr:col>
      <xdr:colOff>390529</xdr:colOff>
      <xdr:row>10</xdr:row>
      <xdr:rowOff>85724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rot="10800000" flipV="1">
          <a:off x="1304925" y="1785939"/>
          <a:ext cx="5181604" cy="204785"/>
        </a:xfrm>
        <a:prstGeom prst="bentConnector3">
          <a:avLst>
            <a:gd name="adj1" fmla="val -551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10</xdr:row>
      <xdr:rowOff>95250</xdr:rowOff>
    </xdr:from>
    <xdr:to>
      <xdr:col>2</xdr:col>
      <xdr:colOff>80747</xdr:colOff>
      <xdr:row>11</xdr:row>
      <xdr:rowOff>114300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295400" y="2000250"/>
          <a:ext cx="4547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695324</xdr:colOff>
      <xdr:row>31</xdr:row>
      <xdr:rowOff>4761</xdr:rowOff>
    </xdr:from>
    <xdr:to>
      <xdr:col>14</xdr:col>
      <xdr:colOff>523875</xdr:colOff>
      <xdr:row>51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B1E038-A79F-24CF-0E23-0C91B8C2D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8:D25"/>
  <sheetViews>
    <sheetView showGridLines="0" tabSelected="1" zoomScaleNormal="100" workbookViewId="0">
      <selection activeCell="L13" sqref="L13"/>
    </sheetView>
  </sheetViews>
  <sheetFormatPr defaultRowHeight="15" x14ac:dyDescent="0.25"/>
  <cols>
    <col min="1" max="16384" width="9.140625" style="216"/>
  </cols>
  <sheetData>
    <row r="18" spans="2:4" x14ac:dyDescent="0.25">
      <c r="B18" s="17" t="s">
        <v>138</v>
      </c>
      <c r="C18"/>
      <c r="D18"/>
    </row>
    <row r="19" spans="2:4" x14ac:dyDescent="0.25">
      <c r="B19" s="173" t="s">
        <v>139</v>
      </c>
      <c r="C19" s="174"/>
      <c r="D19"/>
    </row>
    <row r="20" spans="2:4" x14ac:dyDescent="0.25">
      <c r="B20"/>
      <c r="C20"/>
      <c r="D20"/>
    </row>
    <row r="21" spans="2:4" x14ac:dyDescent="0.25">
      <c r="B21" s="17" t="s">
        <v>140</v>
      </c>
      <c r="C21"/>
      <c r="D21"/>
    </row>
    <row r="22" spans="2:4" x14ac:dyDescent="0.25">
      <c r="B22" s="173" t="s">
        <v>141</v>
      </c>
      <c r="C22" s="82"/>
      <c r="D22"/>
    </row>
    <row r="23" spans="2:4" x14ac:dyDescent="0.25">
      <c r="B23"/>
      <c r="C23"/>
      <c r="D23"/>
    </row>
    <row r="24" spans="2:4" x14ac:dyDescent="0.25">
      <c r="B24" s="17" t="s">
        <v>146</v>
      </c>
      <c r="C24"/>
      <c r="D24"/>
    </row>
    <row r="25" spans="2:4" x14ac:dyDescent="0.25">
      <c r="B25" s="173" t="s">
        <v>141</v>
      </c>
      <c r="C25" s="175"/>
      <c r="D25"/>
    </row>
  </sheetData>
  <pageMargins left="0.7" right="0.7" top="0.75" bottom="0.75" header="0.3" footer="0.3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1">
    <tabColor rgb="FFFFFF99"/>
    <pageSetUpPr fitToPage="1"/>
  </sheetPr>
  <dimension ref="A1:S288"/>
  <sheetViews>
    <sheetView showGridLines="0" zoomScaleNormal="100" workbookViewId="0">
      <selection activeCell="L27" sqref="L27"/>
    </sheetView>
  </sheetViews>
  <sheetFormatPr defaultRowHeight="12" x14ac:dyDescent="0.2"/>
  <cols>
    <col min="1" max="1" width="3" customWidth="1"/>
    <col min="2" max="3" width="3" style="1" customWidth="1"/>
    <col min="4" max="4" width="17" customWidth="1"/>
    <col min="5" max="5" width="13.7109375" customWidth="1"/>
    <col min="6" max="6" width="3" customWidth="1"/>
    <col min="7" max="7" width="10.7109375" customWidth="1"/>
    <col min="8" max="8" width="10.140625" bestFit="1" customWidth="1"/>
    <col min="9" max="9" width="11.7109375" bestFit="1" customWidth="1"/>
    <col min="10" max="10" width="10.7109375" customWidth="1"/>
    <col min="11" max="11" width="12.140625" bestFit="1" customWidth="1"/>
    <col min="12" max="12" width="11.85546875" bestFit="1" customWidth="1"/>
    <col min="13" max="19" width="10.7109375" customWidth="1"/>
  </cols>
  <sheetData>
    <row r="1" spans="1:19" ht="15.75" x14ac:dyDescent="0.25">
      <c r="A1" s="3" t="s">
        <v>88</v>
      </c>
    </row>
    <row r="2" spans="1:19" ht="15.75" x14ac:dyDescent="0.25">
      <c r="A2" s="3" t="s">
        <v>131</v>
      </c>
      <c r="H2" s="60" t="s">
        <v>89</v>
      </c>
      <c r="I2" s="55" t="s">
        <v>90</v>
      </c>
      <c r="J2" s="55" t="s">
        <v>91</v>
      </c>
      <c r="K2" s="55" t="s">
        <v>92</v>
      </c>
      <c r="L2" s="56" t="s">
        <v>32</v>
      </c>
    </row>
    <row r="3" spans="1:19" ht="12.75" customHeight="1" x14ac:dyDescent="0.2">
      <c r="A3" s="15"/>
      <c r="B3" s="16"/>
      <c r="C3" s="16"/>
      <c r="D3" s="17"/>
      <c r="E3" s="17"/>
      <c r="F3" s="17"/>
      <c r="G3" s="17"/>
      <c r="H3" s="61">
        <v>0</v>
      </c>
      <c r="I3" s="54">
        <v>0</v>
      </c>
      <c r="J3" s="54">
        <v>0</v>
      </c>
      <c r="K3" s="54">
        <v>0</v>
      </c>
      <c r="L3" s="57">
        <v>-500</v>
      </c>
      <c r="M3" s="17"/>
      <c r="N3" s="17"/>
      <c r="O3" s="17"/>
      <c r="P3" s="17"/>
      <c r="Q3" s="17"/>
      <c r="R3" s="17"/>
      <c r="S3" s="17"/>
    </row>
    <row r="4" spans="1:19" ht="12.75" customHeight="1" x14ac:dyDescent="0.2">
      <c r="A4" s="16" t="s">
        <v>4</v>
      </c>
      <c r="B4" s="16"/>
      <c r="C4" s="16"/>
      <c r="D4" s="17"/>
      <c r="E4" s="17"/>
      <c r="F4" s="17"/>
      <c r="G4" s="17"/>
      <c r="H4" s="61">
        <f>H3+1</f>
        <v>1</v>
      </c>
      <c r="I4" s="54">
        <f>-PPMT($E$6/12,$H4,$E$7,$E$5)</f>
        <v>12.334849397382094</v>
      </c>
      <c r="J4" s="54">
        <f>-IPMT($E$6/12,$H4,$E$7,$E$5)</f>
        <v>3.3333333333333339</v>
      </c>
      <c r="K4" s="54">
        <f>SUM(I4:J4)</f>
        <v>15.668182730715428</v>
      </c>
      <c r="L4" s="57">
        <f>L3+I4</f>
        <v>-487.66515060261793</v>
      </c>
      <c r="M4" s="17"/>
      <c r="N4" s="17"/>
      <c r="O4" s="18"/>
      <c r="P4" s="17"/>
      <c r="Q4" s="17"/>
      <c r="R4" s="17"/>
      <c r="S4" s="17"/>
    </row>
    <row r="5" spans="1:19" ht="12.75" customHeight="1" x14ac:dyDescent="0.2">
      <c r="A5" s="17"/>
      <c r="B5" s="16" t="s">
        <v>28</v>
      </c>
      <c r="C5" s="16"/>
      <c r="D5" s="17"/>
      <c r="E5" s="167">
        <v>500</v>
      </c>
      <c r="F5" s="17"/>
      <c r="G5" s="17"/>
      <c r="H5" s="61">
        <f t="shared" ref="H5:H39" si="0">H4+1</f>
        <v>2</v>
      </c>
      <c r="I5" s="54">
        <f t="shared" ref="I5:I39" si="1">-PPMT($E$6/12,$H5,$E$7,$E$5)</f>
        <v>12.417081726697974</v>
      </c>
      <c r="J5" s="54">
        <f t="shared" ref="J5:J39" si="2">-IPMT($E$6/12,$H5,$E$7,$E$5)</f>
        <v>3.2511010040174533</v>
      </c>
      <c r="K5" s="54">
        <f t="shared" ref="K5:K39" si="3">SUM(I5:J5)</f>
        <v>15.668182730715428</v>
      </c>
      <c r="L5" s="57">
        <f t="shared" ref="L5:L39" si="4">L4+I5</f>
        <v>-475.24806887591996</v>
      </c>
      <c r="M5" s="17"/>
      <c r="N5" s="17"/>
      <c r="O5" s="17"/>
      <c r="P5" s="17"/>
      <c r="Q5" s="17"/>
      <c r="R5" s="17"/>
      <c r="S5" s="17"/>
    </row>
    <row r="6" spans="1:19" ht="12.75" customHeight="1" x14ac:dyDescent="0.2">
      <c r="A6" s="17"/>
      <c r="B6" s="16" t="s">
        <v>29</v>
      </c>
      <c r="C6" s="16"/>
      <c r="D6" s="17"/>
      <c r="E6" s="218">
        <v>0.08</v>
      </c>
      <c r="F6" s="17"/>
      <c r="G6" s="17"/>
      <c r="H6" s="61">
        <f t="shared" si="0"/>
        <v>3</v>
      </c>
      <c r="I6" s="54">
        <f t="shared" si="1"/>
        <v>12.499862271542627</v>
      </c>
      <c r="J6" s="54">
        <f t="shared" si="2"/>
        <v>3.1683204591727998</v>
      </c>
      <c r="K6" s="54">
        <f t="shared" si="3"/>
        <v>15.668182730715426</v>
      </c>
      <c r="L6" s="57">
        <f t="shared" si="4"/>
        <v>-462.74820660437734</v>
      </c>
      <c r="M6" s="17"/>
      <c r="N6" s="17"/>
      <c r="O6" s="17"/>
      <c r="P6" s="17"/>
      <c r="Q6" s="17"/>
      <c r="R6" s="17"/>
      <c r="S6" s="17"/>
    </row>
    <row r="7" spans="1:19" ht="12.75" customHeight="1" x14ac:dyDescent="0.2">
      <c r="A7" s="17"/>
      <c r="B7" s="16" t="s">
        <v>30</v>
      </c>
      <c r="C7" s="16"/>
      <c r="D7" s="17"/>
      <c r="E7" s="168">
        <v>36</v>
      </c>
      <c r="F7" s="17"/>
      <c r="G7" s="17"/>
      <c r="H7" s="61">
        <f t="shared" si="0"/>
        <v>4</v>
      </c>
      <c r="I7" s="54">
        <f t="shared" si="1"/>
        <v>12.583194686686243</v>
      </c>
      <c r="J7" s="54">
        <f t="shared" si="2"/>
        <v>3.0849880440291826</v>
      </c>
      <c r="K7" s="54">
        <f t="shared" si="3"/>
        <v>15.668182730715426</v>
      </c>
      <c r="L7" s="57">
        <f t="shared" si="4"/>
        <v>-450.16501191769112</v>
      </c>
      <c r="M7" s="17"/>
      <c r="N7" s="17"/>
      <c r="O7" s="17"/>
      <c r="P7" s="17"/>
      <c r="Q7" s="17"/>
      <c r="R7" s="17"/>
      <c r="S7" s="17"/>
    </row>
    <row r="8" spans="1:19" ht="12.75" customHeight="1" x14ac:dyDescent="0.2">
      <c r="A8" s="17"/>
      <c r="B8" s="16" t="s">
        <v>31</v>
      </c>
      <c r="C8" s="16"/>
      <c r="D8" s="17"/>
      <c r="E8" s="18">
        <f>-PMT($E$6/12,$E$7,$E$5)</f>
        <v>15.668182730715426</v>
      </c>
      <c r="F8" s="17"/>
      <c r="G8" s="17"/>
      <c r="H8" s="61">
        <f t="shared" si="0"/>
        <v>5</v>
      </c>
      <c r="I8" s="54">
        <f t="shared" si="1"/>
        <v>12.667082651264153</v>
      </c>
      <c r="J8" s="54">
        <f t="shared" si="2"/>
        <v>3.0011000794512741</v>
      </c>
      <c r="K8" s="54">
        <f t="shared" si="3"/>
        <v>15.668182730715426</v>
      </c>
      <c r="L8" s="57">
        <f t="shared" si="4"/>
        <v>-437.49792926642698</v>
      </c>
      <c r="M8" s="17"/>
      <c r="N8" s="17"/>
      <c r="O8" s="17"/>
      <c r="P8" s="17"/>
      <c r="Q8" s="17"/>
      <c r="R8" s="17"/>
      <c r="S8" s="17"/>
    </row>
    <row r="9" spans="1:19" x14ac:dyDescent="0.2">
      <c r="H9" s="61">
        <f t="shared" si="0"/>
        <v>6</v>
      </c>
      <c r="I9" s="54">
        <f>-PPMT($E$6/12,$H9,$E$7,$E$5)</f>
        <v>12.751529868939246</v>
      </c>
      <c r="J9" s="54">
        <f t="shared" si="2"/>
        <v>2.9166528617761802</v>
      </c>
      <c r="K9" s="54">
        <f t="shared" si="3"/>
        <v>15.668182730715426</v>
      </c>
      <c r="L9" s="57">
        <f t="shared" si="4"/>
        <v>-424.74639939748772</v>
      </c>
    </row>
    <row r="10" spans="1:19" x14ac:dyDescent="0.2">
      <c r="H10" s="61">
        <f t="shared" si="0"/>
        <v>7</v>
      </c>
      <c r="I10" s="54">
        <f t="shared" si="1"/>
        <v>12.836540068065508</v>
      </c>
      <c r="J10" s="54">
        <f t="shared" si="2"/>
        <v>2.8316426626499185</v>
      </c>
      <c r="K10" s="54">
        <f t="shared" si="3"/>
        <v>15.668182730715426</v>
      </c>
      <c r="L10" s="57">
        <f t="shared" si="4"/>
        <v>-411.9098593294222</v>
      </c>
    </row>
    <row r="11" spans="1:19" x14ac:dyDescent="0.2">
      <c r="H11" s="61">
        <f t="shared" si="0"/>
        <v>8</v>
      </c>
      <c r="I11" s="54">
        <f t="shared" si="1"/>
        <v>12.922117001852612</v>
      </c>
      <c r="J11" s="54">
        <f t="shared" si="2"/>
        <v>2.7460657288628147</v>
      </c>
      <c r="K11" s="54">
        <f t="shared" si="3"/>
        <v>15.668182730715428</v>
      </c>
      <c r="L11" s="57">
        <f t="shared" si="4"/>
        <v>-398.98774232756961</v>
      </c>
    </row>
    <row r="12" spans="1:19" ht="12.75" customHeight="1" x14ac:dyDescent="0.2">
      <c r="A12" s="17"/>
      <c r="B12" s="16"/>
      <c r="C12" s="16"/>
      <c r="D12" s="17"/>
      <c r="E12" s="17"/>
      <c r="F12" s="17"/>
      <c r="G12" s="17"/>
      <c r="H12" s="61">
        <f t="shared" si="0"/>
        <v>9</v>
      </c>
      <c r="I12" s="54">
        <f t="shared" si="1"/>
        <v>13.008264448531628</v>
      </c>
      <c r="J12" s="54">
        <f t="shared" si="2"/>
        <v>2.6599182821837974</v>
      </c>
      <c r="K12" s="54">
        <f t="shared" si="3"/>
        <v>15.668182730715426</v>
      </c>
      <c r="L12" s="57">
        <f t="shared" si="4"/>
        <v>-385.97947787903797</v>
      </c>
      <c r="M12" s="17"/>
      <c r="N12" s="17"/>
      <c r="O12" s="17"/>
      <c r="P12" s="17"/>
      <c r="Q12" s="17"/>
      <c r="R12" s="17"/>
      <c r="S12" s="17"/>
    </row>
    <row r="13" spans="1:19" x14ac:dyDescent="0.2">
      <c r="H13" s="61">
        <f t="shared" si="0"/>
        <v>10</v>
      </c>
      <c r="I13" s="54">
        <f t="shared" si="1"/>
        <v>13.094986211521839</v>
      </c>
      <c r="J13" s="54">
        <f t="shared" si="2"/>
        <v>2.5731965191935866</v>
      </c>
      <c r="K13" s="54">
        <f t="shared" si="3"/>
        <v>15.668182730715426</v>
      </c>
      <c r="L13" s="57">
        <f t="shared" si="4"/>
        <v>-372.88449166751616</v>
      </c>
    </row>
    <row r="14" spans="1:19" x14ac:dyDescent="0.2">
      <c r="H14" s="61">
        <f t="shared" si="0"/>
        <v>11</v>
      </c>
      <c r="I14" s="54">
        <f t="shared" si="1"/>
        <v>13.182286119598654</v>
      </c>
      <c r="J14" s="54">
        <f t="shared" si="2"/>
        <v>2.485896611116774</v>
      </c>
      <c r="K14" s="54">
        <f t="shared" si="3"/>
        <v>15.668182730715428</v>
      </c>
      <c r="L14" s="57">
        <f t="shared" si="4"/>
        <v>-359.70220554791752</v>
      </c>
    </row>
    <row r="15" spans="1:19" x14ac:dyDescent="0.2">
      <c r="H15" s="61">
        <f t="shared" si="0"/>
        <v>12</v>
      </c>
      <c r="I15" s="54">
        <f t="shared" si="1"/>
        <v>13.270168027062644</v>
      </c>
      <c r="J15" s="54">
        <f t="shared" si="2"/>
        <v>2.398014703652783</v>
      </c>
      <c r="K15" s="54">
        <f t="shared" si="3"/>
        <v>15.668182730715426</v>
      </c>
      <c r="L15" s="57">
        <f t="shared" si="4"/>
        <v>-346.43203752085486</v>
      </c>
    </row>
    <row r="16" spans="1:19" x14ac:dyDescent="0.2">
      <c r="H16" s="61">
        <f t="shared" si="0"/>
        <v>13</v>
      </c>
      <c r="I16" s="54">
        <f t="shared" si="1"/>
        <v>13.358635813909729</v>
      </c>
      <c r="J16" s="54">
        <f t="shared" si="2"/>
        <v>2.309546916805699</v>
      </c>
      <c r="K16" s="54">
        <f t="shared" si="3"/>
        <v>15.668182730715428</v>
      </c>
      <c r="L16" s="57">
        <f t="shared" si="4"/>
        <v>-333.07340170694511</v>
      </c>
    </row>
    <row r="17" spans="8:12" x14ac:dyDescent="0.2">
      <c r="H17" s="61">
        <f t="shared" si="0"/>
        <v>14</v>
      </c>
      <c r="I17" s="54">
        <f t="shared" si="1"/>
        <v>13.447693386002459</v>
      </c>
      <c r="J17" s="54">
        <f t="shared" si="2"/>
        <v>2.2204893447129677</v>
      </c>
      <c r="K17" s="54">
        <f t="shared" si="3"/>
        <v>15.668182730715428</v>
      </c>
      <c r="L17" s="57">
        <f t="shared" si="4"/>
        <v>-319.62570832094264</v>
      </c>
    </row>
    <row r="18" spans="8:12" x14ac:dyDescent="0.2">
      <c r="H18" s="61">
        <f t="shared" si="0"/>
        <v>15</v>
      </c>
      <c r="I18" s="54">
        <f t="shared" si="1"/>
        <v>13.537344675242474</v>
      </c>
      <c r="J18" s="54">
        <f t="shared" si="2"/>
        <v>2.1308380554729514</v>
      </c>
      <c r="K18" s="54">
        <f t="shared" si="3"/>
        <v>15.668182730715426</v>
      </c>
      <c r="L18" s="57">
        <f t="shared" si="4"/>
        <v>-306.08836364570016</v>
      </c>
    </row>
    <row r="19" spans="8:12" x14ac:dyDescent="0.2">
      <c r="H19" s="61">
        <f t="shared" si="0"/>
        <v>16</v>
      </c>
      <c r="I19" s="54">
        <f t="shared" si="1"/>
        <v>13.627593639744093</v>
      </c>
      <c r="J19" s="54">
        <f t="shared" si="2"/>
        <v>2.0405890909713347</v>
      </c>
      <c r="K19" s="54">
        <f t="shared" si="3"/>
        <v>15.668182730715428</v>
      </c>
      <c r="L19" s="57">
        <f t="shared" si="4"/>
        <v>-292.46077000595608</v>
      </c>
    </row>
    <row r="20" spans="8:12" x14ac:dyDescent="0.2">
      <c r="H20" s="61">
        <f t="shared" si="0"/>
        <v>17</v>
      </c>
      <c r="I20" s="54">
        <f t="shared" si="1"/>
        <v>13.718444264009053</v>
      </c>
      <c r="J20" s="54">
        <f t="shared" si="2"/>
        <v>1.949738466706374</v>
      </c>
      <c r="K20" s="54">
        <f t="shared" si="3"/>
        <v>15.668182730715426</v>
      </c>
      <c r="L20" s="57">
        <f t="shared" si="4"/>
        <v>-278.74232574194701</v>
      </c>
    </row>
    <row r="21" spans="8:12" x14ac:dyDescent="0.2">
      <c r="H21" s="61">
        <f t="shared" si="0"/>
        <v>18</v>
      </c>
      <c r="I21" s="54">
        <f t="shared" si="1"/>
        <v>13.809900559102445</v>
      </c>
      <c r="J21" s="54">
        <f t="shared" si="2"/>
        <v>1.8582821716129805</v>
      </c>
      <c r="K21" s="54">
        <f t="shared" si="3"/>
        <v>15.668182730715426</v>
      </c>
      <c r="L21" s="57">
        <f t="shared" si="4"/>
        <v>-264.93242518284455</v>
      </c>
    </row>
    <row r="22" spans="8:12" x14ac:dyDescent="0.2">
      <c r="H22" s="61">
        <f t="shared" si="0"/>
        <v>19</v>
      </c>
      <c r="I22" s="54">
        <f t="shared" si="1"/>
        <v>13.901966562829797</v>
      </c>
      <c r="J22" s="54">
        <f t="shared" si="2"/>
        <v>1.766216167885631</v>
      </c>
      <c r="K22" s="54">
        <f t="shared" si="3"/>
        <v>15.668182730715428</v>
      </c>
      <c r="L22" s="57">
        <f t="shared" si="4"/>
        <v>-251.03045862001477</v>
      </c>
    </row>
    <row r="23" spans="8:12" x14ac:dyDescent="0.2">
      <c r="H23" s="61">
        <f t="shared" si="0"/>
        <v>20</v>
      </c>
      <c r="I23" s="54">
        <f t="shared" si="1"/>
        <v>13.994646339915329</v>
      </c>
      <c r="J23" s="54">
        <f t="shared" si="2"/>
        <v>1.6735363908000989</v>
      </c>
      <c r="K23" s="54">
        <f t="shared" si="3"/>
        <v>15.668182730715428</v>
      </c>
      <c r="L23" s="57">
        <f t="shared" si="4"/>
        <v>-237.03581228009944</v>
      </c>
    </row>
    <row r="24" spans="8:12" x14ac:dyDescent="0.2">
      <c r="H24" s="61">
        <f t="shared" si="0"/>
        <v>21</v>
      </c>
      <c r="I24" s="54">
        <f t="shared" si="1"/>
        <v>14.087943982181431</v>
      </c>
      <c r="J24" s="54">
        <f t="shared" si="2"/>
        <v>1.5802387485339966</v>
      </c>
      <c r="K24" s="54">
        <f t="shared" si="3"/>
        <v>15.668182730715428</v>
      </c>
      <c r="L24" s="57">
        <f t="shared" si="4"/>
        <v>-222.94786829791801</v>
      </c>
    </row>
    <row r="25" spans="8:12" x14ac:dyDescent="0.2">
      <c r="H25" s="61">
        <f t="shared" si="0"/>
        <v>22</v>
      </c>
      <c r="I25" s="54">
        <f t="shared" si="1"/>
        <v>14.181863608729307</v>
      </c>
      <c r="J25" s="54">
        <f t="shared" si="2"/>
        <v>1.4863191219861203</v>
      </c>
      <c r="K25" s="54">
        <f t="shared" si="3"/>
        <v>15.668182730715428</v>
      </c>
      <c r="L25" s="57">
        <f t="shared" si="4"/>
        <v>-208.76600468918869</v>
      </c>
    </row>
    <row r="26" spans="8:12" x14ac:dyDescent="0.2">
      <c r="H26" s="61">
        <f t="shared" si="0"/>
        <v>23</v>
      </c>
      <c r="I26" s="54">
        <f t="shared" si="1"/>
        <v>14.276409366120834</v>
      </c>
      <c r="J26" s="54">
        <f t="shared" si="2"/>
        <v>1.3917733645945916</v>
      </c>
      <c r="K26" s="54">
        <f t="shared" si="3"/>
        <v>15.668182730715426</v>
      </c>
      <c r="L26" s="57">
        <f t="shared" si="4"/>
        <v>-194.48959532306785</v>
      </c>
    </row>
    <row r="27" spans="8:12" x14ac:dyDescent="0.2">
      <c r="H27" s="61">
        <f t="shared" si="0"/>
        <v>24</v>
      </c>
      <c r="I27" s="54">
        <f t="shared" si="1"/>
        <v>14.371585428561639</v>
      </c>
      <c r="J27" s="54">
        <f t="shared" si="2"/>
        <v>1.296597302153786</v>
      </c>
      <c r="K27" s="54">
        <f t="shared" si="3"/>
        <v>15.668182730715426</v>
      </c>
      <c r="L27" s="57">
        <f t="shared" si="4"/>
        <v>-180.1180098945062</v>
      </c>
    </row>
    <row r="28" spans="8:12" x14ac:dyDescent="0.2">
      <c r="H28" s="61">
        <f t="shared" si="0"/>
        <v>25</v>
      </c>
      <c r="I28" s="54">
        <f t="shared" si="1"/>
        <v>14.467395998085387</v>
      </c>
      <c r="J28" s="54">
        <f t="shared" si="2"/>
        <v>1.2007867326300419</v>
      </c>
      <c r="K28" s="54">
        <f t="shared" si="3"/>
        <v>15.668182730715429</v>
      </c>
      <c r="L28" s="57">
        <f t="shared" si="4"/>
        <v>-165.65061389642082</v>
      </c>
    </row>
    <row r="29" spans="8:12" x14ac:dyDescent="0.2">
      <c r="H29" s="61">
        <f t="shared" si="0"/>
        <v>26</v>
      </c>
      <c r="I29" s="54">
        <f t="shared" si="1"/>
        <v>14.563845304739287</v>
      </c>
      <c r="J29" s="54">
        <f t="shared" si="2"/>
        <v>1.1043374259761392</v>
      </c>
      <c r="K29" s="54">
        <f t="shared" si="3"/>
        <v>15.668182730715426</v>
      </c>
      <c r="L29" s="57">
        <f t="shared" si="4"/>
        <v>-151.08676859168153</v>
      </c>
    </row>
    <row r="30" spans="8:12" x14ac:dyDescent="0.2">
      <c r="H30" s="61">
        <f t="shared" si="0"/>
        <v>27</v>
      </c>
      <c r="I30" s="54">
        <f t="shared" si="1"/>
        <v>14.660937606770883</v>
      </c>
      <c r="J30" s="54">
        <f t="shared" si="2"/>
        <v>1.0072451239445439</v>
      </c>
      <c r="K30" s="54">
        <f t="shared" si="3"/>
        <v>15.668182730715428</v>
      </c>
      <c r="L30" s="57">
        <f t="shared" si="4"/>
        <v>-136.42583098491065</v>
      </c>
    </row>
    <row r="31" spans="8:12" x14ac:dyDescent="0.2">
      <c r="H31" s="61">
        <f t="shared" si="0"/>
        <v>28</v>
      </c>
      <c r="I31" s="54">
        <f t="shared" si="1"/>
        <v>14.758677190816023</v>
      </c>
      <c r="J31" s="54">
        <f t="shared" si="2"/>
        <v>0.90950553989940452</v>
      </c>
      <c r="K31" s="54">
        <f t="shared" si="3"/>
        <v>15.668182730715428</v>
      </c>
      <c r="L31" s="57">
        <f t="shared" si="4"/>
        <v>-121.66715379409462</v>
      </c>
    </row>
    <row r="32" spans="8:12" x14ac:dyDescent="0.2">
      <c r="H32" s="61">
        <f t="shared" si="0"/>
        <v>29</v>
      </c>
      <c r="I32" s="54">
        <f t="shared" si="1"/>
        <v>14.857068372088129</v>
      </c>
      <c r="J32" s="54">
        <f t="shared" si="2"/>
        <v>0.81111435862729775</v>
      </c>
      <c r="K32" s="54">
        <f t="shared" si="3"/>
        <v>15.668182730715428</v>
      </c>
      <c r="L32" s="57">
        <f t="shared" si="4"/>
        <v>-106.81008542200649</v>
      </c>
    </row>
    <row r="33" spans="8:12" x14ac:dyDescent="0.2">
      <c r="H33" s="61">
        <f t="shared" si="0"/>
        <v>30</v>
      </c>
      <c r="I33" s="54">
        <f t="shared" si="1"/>
        <v>14.956115494568715</v>
      </c>
      <c r="J33" s="54">
        <f t="shared" si="2"/>
        <v>0.7120672361467103</v>
      </c>
      <c r="K33" s="54">
        <f t="shared" si="3"/>
        <v>15.668182730715426</v>
      </c>
      <c r="L33" s="57">
        <f t="shared" si="4"/>
        <v>-91.853969927437774</v>
      </c>
    </row>
    <row r="34" spans="8:12" x14ac:dyDescent="0.2">
      <c r="H34" s="61">
        <f t="shared" si="0"/>
        <v>31</v>
      </c>
      <c r="I34" s="54">
        <f t="shared" si="1"/>
        <v>15.055822931199174</v>
      </c>
      <c r="J34" s="54">
        <f t="shared" si="2"/>
        <v>0.61235979951625219</v>
      </c>
      <c r="K34" s="54">
        <f t="shared" si="3"/>
        <v>15.668182730715426</v>
      </c>
      <c r="L34" s="57">
        <f t="shared" si="4"/>
        <v>-76.7981469962386</v>
      </c>
    </row>
    <row r="35" spans="8:12" x14ac:dyDescent="0.2">
      <c r="H35" s="61">
        <f t="shared" si="0"/>
        <v>32</v>
      </c>
      <c r="I35" s="54">
        <f t="shared" si="1"/>
        <v>15.156195084073834</v>
      </c>
      <c r="J35" s="54">
        <f t="shared" si="2"/>
        <v>0.51198764664159113</v>
      </c>
      <c r="K35" s="54">
        <f t="shared" si="3"/>
        <v>15.668182730715426</v>
      </c>
      <c r="L35" s="57">
        <f t="shared" si="4"/>
        <v>-61.641951912164764</v>
      </c>
    </row>
    <row r="36" spans="8:12" x14ac:dyDescent="0.2">
      <c r="H36" s="61">
        <f t="shared" si="0"/>
        <v>33</v>
      </c>
      <c r="I36" s="54">
        <f t="shared" si="1"/>
        <v>15.257236384634329</v>
      </c>
      <c r="J36" s="54">
        <f t="shared" si="2"/>
        <v>0.41094634608109876</v>
      </c>
      <c r="K36" s="54">
        <f t="shared" si="3"/>
        <v>15.668182730715428</v>
      </c>
      <c r="L36" s="57">
        <f t="shared" si="4"/>
        <v>-46.384715527530432</v>
      </c>
    </row>
    <row r="37" spans="8:12" x14ac:dyDescent="0.2">
      <c r="H37" s="61">
        <f t="shared" si="0"/>
        <v>34</v>
      </c>
      <c r="I37" s="54">
        <f t="shared" si="1"/>
        <v>15.358951293865225</v>
      </c>
      <c r="J37" s="54">
        <f t="shared" si="2"/>
        <v>0.30923143685020321</v>
      </c>
      <c r="K37" s="54">
        <f t="shared" si="3"/>
        <v>15.668182730715428</v>
      </c>
      <c r="L37" s="57">
        <f t="shared" si="4"/>
        <v>-31.025764233665207</v>
      </c>
    </row>
    <row r="38" spans="8:12" x14ac:dyDescent="0.2">
      <c r="H38" s="61">
        <f t="shared" si="0"/>
        <v>35</v>
      </c>
      <c r="I38" s="54">
        <f t="shared" si="1"/>
        <v>15.461344302490989</v>
      </c>
      <c r="J38" s="54">
        <f t="shared" si="2"/>
        <v>0.20683842822443504</v>
      </c>
      <c r="K38" s="54">
        <f t="shared" si="3"/>
        <v>15.668182730715424</v>
      </c>
      <c r="L38" s="57">
        <f t="shared" si="4"/>
        <v>-15.564419931174218</v>
      </c>
    </row>
    <row r="39" spans="8:12" x14ac:dyDescent="0.2">
      <c r="H39" s="61">
        <f t="shared" si="0"/>
        <v>36</v>
      </c>
      <c r="I39" s="54">
        <f t="shared" si="1"/>
        <v>15.564419931174266</v>
      </c>
      <c r="J39" s="54">
        <f t="shared" si="2"/>
        <v>0.10376279954116177</v>
      </c>
      <c r="K39" s="54">
        <f t="shared" si="3"/>
        <v>15.668182730715428</v>
      </c>
      <c r="L39" s="57">
        <f t="shared" si="4"/>
        <v>4.7961634663806763E-14</v>
      </c>
    </row>
    <row r="40" spans="8:12" x14ac:dyDescent="0.2">
      <c r="H40" s="61"/>
      <c r="I40" s="54"/>
      <c r="J40" s="54"/>
      <c r="K40" s="54"/>
      <c r="L40" s="57"/>
    </row>
    <row r="41" spans="8:12" x14ac:dyDescent="0.2">
      <c r="H41" s="61"/>
      <c r="I41" s="54"/>
      <c r="J41" s="54"/>
      <c r="K41" s="54"/>
      <c r="L41" s="57"/>
    </row>
    <row r="42" spans="8:12" x14ac:dyDescent="0.2">
      <c r="H42" s="61"/>
      <c r="I42" s="54"/>
      <c r="J42" s="54"/>
      <c r="K42" s="54"/>
      <c r="L42" s="57"/>
    </row>
    <row r="43" spans="8:12" x14ac:dyDescent="0.2">
      <c r="H43" s="61"/>
      <c r="I43" s="54"/>
      <c r="J43" s="54"/>
      <c r="K43" s="54"/>
      <c r="L43" s="57"/>
    </row>
    <row r="44" spans="8:12" x14ac:dyDescent="0.2">
      <c r="H44" s="61"/>
      <c r="I44" s="54"/>
      <c r="J44" s="54"/>
      <c r="K44" s="54"/>
      <c r="L44" s="57"/>
    </row>
    <row r="45" spans="8:12" x14ac:dyDescent="0.2">
      <c r="H45" s="61"/>
      <c r="I45" s="54"/>
      <c r="J45" s="54"/>
      <c r="K45" s="54"/>
      <c r="L45" s="57"/>
    </row>
    <row r="46" spans="8:12" x14ac:dyDescent="0.2">
      <c r="H46" s="61"/>
      <c r="I46" s="54"/>
      <c r="J46" s="54"/>
      <c r="K46" s="54"/>
      <c r="L46" s="57"/>
    </row>
    <row r="47" spans="8:12" x14ac:dyDescent="0.2">
      <c r="H47" s="61"/>
      <c r="I47" s="54"/>
      <c r="J47" s="54"/>
      <c r="K47" s="54"/>
      <c r="L47" s="57"/>
    </row>
    <row r="48" spans="8:12" x14ac:dyDescent="0.2">
      <c r="H48" s="61"/>
      <c r="I48" s="54"/>
      <c r="J48" s="54"/>
      <c r="K48" s="54"/>
      <c r="L48" s="57"/>
    </row>
    <row r="49" spans="8:12" x14ac:dyDescent="0.2">
      <c r="H49" s="61"/>
      <c r="I49" s="54"/>
      <c r="J49" s="54"/>
      <c r="K49" s="54"/>
      <c r="L49" s="57"/>
    </row>
    <row r="50" spans="8:12" x14ac:dyDescent="0.2">
      <c r="H50" s="61"/>
      <c r="I50" s="54"/>
      <c r="J50" s="54"/>
      <c r="K50" s="54"/>
      <c r="L50" s="57"/>
    </row>
    <row r="51" spans="8:12" x14ac:dyDescent="0.2">
      <c r="H51" s="61"/>
      <c r="I51" s="54"/>
      <c r="J51" s="54"/>
      <c r="K51" s="54"/>
      <c r="L51" s="57"/>
    </row>
    <row r="52" spans="8:12" x14ac:dyDescent="0.2">
      <c r="H52" s="61"/>
      <c r="I52" s="54"/>
      <c r="J52" s="54"/>
      <c r="K52" s="54"/>
      <c r="L52" s="57"/>
    </row>
    <row r="53" spans="8:12" x14ac:dyDescent="0.2">
      <c r="H53" s="61"/>
      <c r="I53" s="54"/>
      <c r="J53" s="54"/>
      <c r="K53" s="54"/>
      <c r="L53" s="57"/>
    </row>
    <row r="54" spans="8:12" x14ac:dyDescent="0.2">
      <c r="H54" s="61"/>
      <c r="I54" s="54"/>
      <c r="J54" s="54"/>
      <c r="K54" s="54"/>
      <c r="L54" s="57"/>
    </row>
    <row r="55" spans="8:12" x14ac:dyDescent="0.2">
      <c r="H55" s="61"/>
      <c r="I55" s="54"/>
      <c r="J55" s="54"/>
      <c r="K55" s="54"/>
      <c r="L55" s="57"/>
    </row>
    <row r="56" spans="8:12" x14ac:dyDescent="0.2">
      <c r="H56" s="61"/>
      <c r="I56" s="54"/>
      <c r="J56" s="54"/>
      <c r="K56" s="54"/>
      <c r="L56" s="57"/>
    </row>
    <row r="57" spans="8:12" x14ac:dyDescent="0.2">
      <c r="H57" s="61"/>
      <c r="I57" s="54"/>
      <c r="J57" s="54"/>
      <c r="K57" s="54"/>
      <c r="L57" s="57"/>
    </row>
    <row r="58" spans="8:12" x14ac:dyDescent="0.2">
      <c r="H58" s="61"/>
      <c r="I58" s="54"/>
      <c r="J58" s="54"/>
      <c r="K58" s="54"/>
      <c r="L58" s="57"/>
    </row>
    <row r="59" spans="8:12" x14ac:dyDescent="0.2">
      <c r="H59" s="61"/>
      <c r="I59" s="54"/>
      <c r="J59" s="54"/>
      <c r="K59" s="54"/>
      <c r="L59" s="57"/>
    </row>
    <row r="60" spans="8:12" x14ac:dyDescent="0.2">
      <c r="H60" s="61"/>
      <c r="I60" s="54"/>
      <c r="J60" s="54"/>
      <c r="K60" s="54"/>
      <c r="L60" s="57"/>
    </row>
    <row r="61" spans="8:12" x14ac:dyDescent="0.2">
      <c r="H61" s="61"/>
      <c r="I61" s="54"/>
      <c r="J61" s="54"/>
      <c r="K61" s="54"/>
      <c r="L61" s="57"/>
    </row>
    <row r="62" spans="8:12" x14ac:dyDescent="0.2">
      <c r="H62" s="62"/>
      <c r="I62" s="58"/>
      <c r="J62" s="58"/>
      <c r="K62" s="58"/>
      <c r="L62" s="59"/>
    </row>
    <row r="70" spans="8:12" x14ac:dyDescent="0.2">
      <c r="H70" s="10"/>
      <c r="I70" s="54"/>
      <c r="J70" s="54"/>
      <c r="K70" s="54"/>
      <c r="L70" s="54"/>
    </row>
    <row r="71" spans="8:12" x14ac:dyDescent="0.2">
      <c r="H71" s="10"/>
      <c r="I71" s="54"/>
      <c r="J71" s="54"/>
      <c r="K71" s="54"/>
      <c r="L71" s="54"/>
    </row>
    <row r="72" spans="8:12" x14ac:dyDescent="0.2">
      <c r="H72" s="10"/>
      <c r="I72" s="54"/>
      <c r="J72" s="54"/>
      <c r="K72" s="54"/>
      <c r="L72" s="54"/>
    </row>
    <row r="73" spans="8:12" x14ac:dyDescent="0.2">
      <c r="H73" s="10"/>
      <c r="I73" s="54"/>
      <c r="J73" s="54"/>
      <c r="K73" s="54"/>
      <c r="L73" s="54"/>
    </row>
    <row r="74" spans="8:12" x14ac:dyDescent="0.2">
      <c r="H74" s="10"/>
      <c r="I74" s="54"/>
      <c r="J74" s="54"/>
      <c r="K74" s="54"/>
      <c r="L74" s="54"/>
    </row>
    <row r="75" spans="8:12" x14ac:dyDescent="0.2">
      <c r="H75" s="10"/>
      <c r="I75" s="54"/>
      <c r="J75" s="54"/>
      <c r="K75" s="54"/>
      <c r="L75" s="54"/>
    </row>
    <row r="76" spans="8:12" x14ac:dyDescent="0.2">
      <c r="H76" s="10"/>
      <c r="I76" s="54"/>
      <c r="J76" s="54"/>
      <c r="K76" s="54"/>
      <c r="L76" s="54"/>
    </row>
    <row r="77" spans="8:12" x14ac:dyDescent="0.2">
      <c r="H77" s="10"/>
      <c r="I77" s="54"/>
      <c r="J77" s="54"/>
      <c r="K77" s="54"/>
      <c r="L77" s="54"/>
    </row>
    <row r="78" spans="8:12" x14ac:dyDescent="0.2">
      <c r="H78" s="10"/>
      <c r="I78" s="54"/>
      <c r="J78" s="54"/>
      <c r="K78" s="54"/>
      <c r="L78" s="54"/>
    </row>
    <row r="79" spans="8:12" x14ac:dyDescent="0.2">
      <c r="H79" s="10"/>
      <c r="I79" s="54"/>
      <c r="J79" s="54"/>
      <c r="K79" s="54"/>
      <c r="L79" s="54"/>
    </row>
    <row r="80" spans="8:12" x14ac:dyDescent="0.2">
      <c r="H80" s="10"/>
      <c r="I80" s="54"/>
      <c r="J80" s="54"/>
      <c r="K80" s="54"/>
      <c r="L80" s="54"/>
    </row>
    <row r="81" spans="8:12" x14ac:dyDescent="0.2">
      <c r="H81" s="10"/>
      <c r="I81" s="54"/>
      <c r="J81" s="54"/>
      <c r="K81" s="54"/>
      <c r="L81" s="54"/>
    </row>
    <row r="82" spans="8:12" x14ac:dyDescent="0.2">
      <c r="H82" s="10"/>
      <c r="I82" s="54"/>
      <c r="J82" s="54"/>
      <c r="K82" s="54"/>
      <c r="L82" s="54"/>
    </row>
    <row r="83" spans="8:12" x14ac:dyDescent="0.2">
      <c r="H83" s="10"/>
      <c r="I83" s="54"/>
      <c r="J83" s="54"/>
      <c r="K83" s="54"/>
      <c r="L83" s="54"/>
    </row>
    <row r="84" spans="8:12" x14ac:dyDescent="0.2">
      <c r="H84" s="10"/>
      <c r="I84" s="54"/>
      <c r="J84" s="54"/>
      <c r="K84" s="54"/>
      <c r="L84" s="54"/>
    </row>
    <row r="85" spans="8:12" x14ac:dyDescent="0.2">
      <c r="H85" s="10"/>
      <c r="I85" s="54"/>
      <c r="J85" s="54"/>
      <c r="K85" s="54"/>
      <c r="L85" s="54"/>
    </row>
    <row r="86" spans="8:12" x14ac:dyDescent="0.2">
      <c r="H86" s="10"/>
      <c r="I86" s="54"/>
      <c r="J86" s="54"/>
      <c r="K86" s="54"/>
      <c r="L86" s="54"/>
    </row>
    <row r="87" spans="8:12" x14ac:dyDescent="0.2">
      <c r="H87" s="10"/>
      <c r="I87" s="54"/>
      <c r="J87" s="54"/>
      <c r="K87" s="54"/>
      <c r="L87" s="54"/>
    </row>
    <row r="88" spans="8:12" x14ac:dyDescent="0.2">
      <c r="H88" s="10"/>
      <c r="I88" s="54"/>
      <c r="J88" s="54"/>
      <c r="K88" s="54"/>
      <c r="L88" s="54"/>
    </row>
    <row r="89" spans="8:12" x14ac:dyDescent="0.2">
      <c r="H89" s="10"/>
      <c r="I89" s="54"/>
      <c r="J89" s="54"/>
      <c r="K89" s="54"/>
      <c r="L89" s="54"/>
    </row>
    <row r="90" spans="8:12" x14ac:dyDescent="0.2">
      <c r="H90" s="10"/>
      <c r="I90" s="54"/>
      <c r="J90" s="54"/>
      <c r="K90" s="54"/>
      <c r="L90" s="54"/>
    </row>
    <row r="91" spans="8:12" x14ac:dyDescent="0.2">
      <c r="H91" s="10"/>
      <c r="I91" s="54"/>
      <c r="J91" s="54"/>
      <c r="K91" s="54"/>
      <c r="L91" s="54"/>
    </row>
    <row r="92" spans="8:12" x14ac:dyDescent="0.2">
      <c r="H92" s="10"/>
      <c r="I92" s="54"/>
      <c r="J92" s="54"/>
      <c r="K92" s="54"/>
      <c r="L92" s="54"/>
    </row>
    <row r="93" spans="8:12" x14ac:dyDescent="0.2">
      <c r="H93" s="10"/>
      <c r="I93" s="54"/>
      <c r="J93" s="54"/>
      <c r="K93" s="54"/>
      <c r="L93" s="54"/>
    </row>
    <row r="94" spans="8:12" x14ac:dyDescent="0.2">
      <c r="H94" s="10"/>
      <c r="I94" s="54"/>
      <c r="J94" s="54"/>
      <c r="K94" s="54"/>
      <c r="L94" s="54"/>
    </row>
    <row r="95" spans="8:12" x14ac:dyDescent="0.2">
      <c r="H95" s="10"/>
      <c r="I95" s="54"/>
      <c r="J95" s="54"/>
      <c r="K95" s="54"/>
      <c r="L95" s="54"/>
    </row>
    <row r="96" spans="8:12" x14ac:dyDescent="0.2">
      <c r="H96" s="10"/>
      <c r="I96" s="54"/>
      <c r="J96" s="54"/>
      <c r="K96" s="54"/>
      <c r="L96" s="54"/>
    </row>
    <row r="97" spans="8:12" x14ac:dyDescent="0.2">
      <c r="H97" s="10"/>
      <c r="I97" s="54"/>
      <c r="J97" s="54"/>
      <c r="K97" s="54"/>
      <c r="L97" s="54"/>
    </row>
    <row r="98" spans="8:12" x14ac:dyDescent="0.2">
      <c r="H98" s="10"/>
      <c r="I98" s="54"/>
      <c r="J98" s="54"/>
      <c r="K98" s="54"/>
      <c r="L98" s="54"/>
    </row>
    <row r="99" spans="8:12" x14ac:dyDescent="0.2">
      <c r="H99" s="10"/>
      <c r="I99" s="54"/>
      <c r="J99" s="54"/>
      <c r="K99" s="54"/>
      <c r="L99" s="54"/>
    </row>
    <row r="100" spans="8:12" x14ac:dyDescent="0.2">
      <c r="H100" s="10"/>
      <c r="I100" s="54"/>
      <c r="J100" s="54"/>
      <c r="K100" s="54"/>
      <c r="L100" s="54"/>
    </row>
    <row r="101" spans="8:12" x14ac:dyDescent="0.2">
      <c r="H101" s="10"/>
      <c r="I101" s="54"/>
      <c r="J101" s="54"/>
      <c r="K101" s="54"/>
      <c r="L101" s="54"/>
    </row>
    <row r="102" spans="8:12" x14ac:dyDescent="0.2">
      <c r="H102" s="10"/>
      <c r="I102" s="54"/>
      <c r="J102" s="54"/>
      <c r="K102" s="54"/>
      <c r="L102" s="54"/>
    </row>
    <row r="103" spans="8:12" x14ac:dyDescent="0.2">
      <c r="H103" s="10"/>
      <c r="I103" s="54"/>
      <c r="J103" s="54"/>
      <c r="K103" s="54"/>
      <c r="L103" s="54"/>
    </row>
    <row r="104" spans="8:12" x14ac:dyDescent="0.2">
      <c r="H104" s="10"/>
      <c r="I104" s="54"/>
      <c r="J104" s="54"/>
      <c r="K104" s="54"/>
      <c r="L104" s="54"/>
    </row>
    <row r="105" spans="8:12" x14ac:dyDescent="0.2">
      <c r="H105" s="10"/>
      <c r="I105" s="54"/>
      <c r="J105" s="54"/>
      <c r="K105" s="54"/>
      <c r="L105" s="54"/>
    </row>
    <row r="106" spans="8:12" x14ac:dyDescent="0.2">
      <c r="H106" s="10"/>
      <c r="I106" s="54"/>
      <c r="J106" s="54"/>
      <c r="K106" s="54"/>
      <c r="L106" s="54"/>
    </row>
    <row r="107" spans="8:12" x14ac:dyDescent="0.2">
      <c r="H107" s="10"/>
      <c r="I107" s="54"/>
      <c r="J107" s="54"/>
      <c r="K107" s="54"/>
      <c r="L107" s="54"/>
    </row>
    <row r="108" spans="8:12" x14ac:dyDescent="0.2">
      <c r="H108" s="10"/>
      <c r="I108" s="54"/>
      <c r="J108" s="54"/>
      <c r="K108" s="54"/>
      <c r="L108" s="54"/>
    </row>
    <row r="109" spans="8:12" x14ac:dyDescent="0.2">
      <c r="H109" s="10"/>
      <c r="I109" s="54"/>
      <c r="J109" s="54"/>
      <c r="K109" s="54"/>
      <c r="L109" s="54"/>
    </row>
    <row r="110" spans="8:12" x14ac:dyDescent="0.2">
      <c r="H110" s="10"/>
      <c r="I110" s="54"/>
      <c r="J110" s="54"/>
      <c r="K110" s="54"/>
      <c r="L110" s="54"/>
    </row>
    <row r="111" spans="8:12" x14ac:dyDescent="0.2">
      <c r="H111" s="10"/>
      <c r="I111" s="54"/>
      <c r="J111" s="54"/>
      <c r="K111" s="54"/>
      <c r="L111" s="54"/>
    </row>
    <row r="112" spans="8:12" x14ac:dyDescent="0.2">
      <c r="H112" s="10"/>
      <c r="I112" s="54"/>
      <c r="J112" s="54"/>
      <c r="K112" s="54"/>
      <c r="L112" s="54"/>
    </row>
    <row r="113" spans="8:12" x14ac:dyDescent="0.2">
      <c r="H113" s="10"/>
      <c r="I113" s="54"/>
      <c r="J113" s="54"/>
      <c r="K113" s="54"/>
      <c r="L113" s="54"/>
    </row>
    <row r="114" spans="8:12" x14ac:dyDescent="0.2">
      <c r="H114" s="10"/>
      <c r="I114" s="54"/>
      <c r="J114" s="54"/>
      <c r="K114" s="54"/>
      <c r="L114" s="54"/>
    </row>
    <row r="115" spans="8:12" x14ac:dyDescent="0.2">
      <c r="H115" s="10"/>
      <c r="I115" s="54"/>
      <c r="J115" s="54"/>
      <c r="K115" s="54"/>
      <c r="L115" s="54"/>
    </row>
    <row r="116" spans="8:12" x14ac:dyDescent="0.2">
      <c r="H116" s="10"/>
      <c r="I116" s="54"/>
      <c r="J116" s="54"/>
      <c r="K116" s="54"/>
      <c r="L116" s="54"/>
    </row>
    <row r="117" spans="8:12" x14ac:dyDescent="0.2">
      <c r="H117" s="10"/>
      <c r="I117" s="54"/>
      <c r="J117" s="54"/>
      <c r="K117" s="54"/>
      <c r="L117" s="54"/>
    </row>
    <row r="118" spans="8:12" x14ac:dyDescent="0.2">
      <c r="H118" s="10"/>
      <c r="I118" s="54"/>
      <c r="J118" s="54"/>
      <c r="K118" s="54"/>
      <c r="L118" s="54"/>
    </row>
    <row r="119" spans="8:12" x14ac:dyDescent="0.2">
      <c r="H119" s="10"/>
      <c r="I119" s="54"/>
      <c r="J119" s="54"/>
      <c r="K119" s="54"/>
      <c r="L119" s="54"/>
    </row>
    <row r="120" spans="8:12" x14ac:dyDescent="0.2">
      <c r="H120" s="10"/>
      <c r="I120" s="54"/>
      <c r="J120" s="54"/>
      <c r="K120" s="54"/>
      <c r="L120" s="54"/>
    </row>
    <row r="121" spans="8:12" x14ac:dyDescent="0.2">
      <c r="H121" s="10"/>
      <c r="I121" s="54"/>
      <c r="J121" s="54"/>
      <c r="K121" s="54"/>
      <c r="L121" s="54"/>
    </row>
    <row r="122" spans="8:12" x14ac:dyDescent="0.2">
      <c r="H122" s="10"/>
      <c r="I122" s="54"/>
      <c r="J122" s="54"/>
      <c r="K122" s="54"/>
      <c r="L122" s="54"/>
    </row>
    <row r="123" spans="8:12" x14ac:dyDescent="0.2">
      <c r="H123" s="10"/>
      <c r="I123" s="54"/>
      <c r="J123" s="54"/>
      <c r="K123" s="54"/>
      <c r="L123" s="54"/>
    </row>
    <row r="124" spans="8:12" x14ac:dyDescent="0.2">
      <c r="H124" s="10"/>
      <c r="I124" s="54"/>
      <c r="J124" s="54"/>
      <c r="K124" s="54"/>
      <c r="L124" s="54"/>
    </row>
    <row r="125" spans="8:12" x14ac:dyDescent="0.2">
      <c r="H125" s="10"/>
      <c r="I125" s="54"/>
      <c r="J125" s="54"/>
      <c r="K125" s="54"/>
      <c r="L125" s="54"/>
    </row>
    <row r="126" spans="8:12" x14ac:dyDescent="0.2">
      <c r="H126" s="10"/>
      <c r="I126" s="54"/>
      <c r="J126" s="54"/>
      <c r="K126" s="54"/>
      <c r="L126" s="54"/>
    </row>
    <row r="127" spans="8:12" x14ac:dyDescent="0.2">
      <c r="H127" s="10"/>
      <c r="I127" s="54"/>
      <c r="J127" s="54"/>
      <c r="K127" s="54"/>
      <c r="L127" s="54"/>
    </row>
    <row r="128" spans="8:12" x14ac:dyDescent="0.2">
      <c r="H128" s="10"/>
      <c r="I128" s="54"/>
      <c r="J128" s="54"/>
      <c r="K128" s="54"/>
      <c r="L128" s="54"/>
    </row>
    <row r="129" spans="8:12" x14ac:dyDescent="0.2">
      <c r="H129" s="10"/>
      <c r="I129" s="54"/>
      <c r="J129" s="54"/>
      <c r="K129" s="54"/>
      <c r="L129" s="54"/>
    </row>
    <row r="130" spans="8:12" x14ac:dyDescent="0.2">
      <c r="H130" s="10"/>
      <c r="I130" s="54"/>
      <c r="J130" s="54"/>
      <c r="K130" s="54"/>
      <c r="L130" s="54"/>
    </row>
    <row r="131" spans="8:12" x14ac:dyDescent="0.2">
      <c r="H131" s="10"/>
      <c r="I131" s="54"/>
      <c r="J131" s="54"/>
      <c r="K131" s="54"/>
      <c r="L131" s="54"/>
    </row>
    <row r="132" spans="8:12" x14ac:dyDescent="0.2">
      <c r="H132" s="10"/>
      <c r="I132" s="54"/>
      <c r="J132" s="54"/>
      <c r="K132" s="54"/>
      <c r="L132" s="54"/>
    </row>
    <row r="133" spans="8:12" x14ac:dyDescent="0.2">
      <c r="H133" s="10"/>
      <c r="I133" s="54"/>
      <c r="J133" s="54"/>
      <c r="K133" s="54"/>
      <c r="L133" s="54"/>
    </row>
    <row r="134" spans="8:12" x14ac:dyDescent="0.2">
      <c r="H134" s="10"/>
      <c r="I134" s="54"/>
      <c r="J134" s="54"/>
      <c r="K134" s="54"/>
      <c r="L134" s="54"/>
    </row>
    <row r="135" spans="8:12" x14ac:dyDescent="0.2">
      <c r="H135" s="10"/>
      <c r="I135" s="54"/>
      <c r="J135" s="54"/>
      <c r="K135" s="54"/>
      <c r="L135" s="54"/>
    </row>
    <row r="136" spans="8:12" x14ac:dyDescent="0.2">
      <c r="H136" s="10"/>
      <c r="I136" s="54"/>
      <c r="J136" s="54"/>
      <c r="K136" s="54"/>
      <c r="L136" s="54"/>
    </row>
    <row r="137" spans="8:12" x14ac:dyDescent="0.2">
      <c r="H137" s="10"/>
      <c r="I137" s="54"/>
      <c r="J137" s="54"/>
      <c r="K137" s="54"/>
      <c r="L137" s="54"/>
    </row>
    <row r="138" spans="8:12" x14ac:dyDescent="0.2">
      <c r="H138" s="10"/>
      <c r="I138" s="54"/>
      <c r="J138" s="54"/>
      <c r="K138" s="54"/>
      <c r="L138" s="54"/>
    </row>
    <row r="139" spans="8:12" x14ac:dyDescent="0.2">
      <c r="H139" s="10"/>
      <c r="I139" s="54"/>
      <c r="J139" s="54"/>
      <c r="K139" s="54"/>
      <c r="L139" s="54"/>
    </row>
    <row r="140" spans="8:12" x14ac:dyDescent="0.2">
      <c r="H140" s="10"/>
      <c r="I140" s="54"/>
      <c r="J140" s="54"/>
      <c r="K140" s="54"/>
      <c r="L140" s="54"/>
    </row>
    <row r="141" spans="8:12" x14ac:dyDescent="0.2">
      <c r="H141" s="10"/>
      <c r="I141" s="54"/>
      <c r="J141" s="54"/>
      <c r="K141" s="54"/>
      <c r="L141" s="54"/>
    </row>
    <row r="142" spans="8:12" x14ac:dyDescent="0.2">
      <c r="H142" s="10"/>
      <c r="I142" s="54"/>
      <c r="J142" s="54"/>
      <c r="K142" s="54"/>
      <c r="L142" s="54"/>
    </row>
    <row r="143" spans="8:12" x14ac:dyDescent="0.2">
      <c r="H143" s="10"/>
      <c r="I143" s="54"/>
      <c r="J143" s="54"/>
      <c r="K143" s="54"/>
      <c r="L143" s="54"/>
    </row>
    <row r="144" spans="8:12" x14ac:dyDescent="0.2">
      <c r="H144" s="10"/>
      <c r="I144" s="54"/>
      <c r="J144" s="54"/>
      <c r="K144" s="54"/>
      <c r="L144" s="54"/>
    </row>
    <row r="145" spans="8:12" x14ac:dyDescent="0.2">
      <c r="H145" s="10"/>
      <c r="I145" s="54"/>
      <c r="J145" s="54"/>
      <c r="K145" s="54"/>
      <c r="L145" s="54"/>
    </row>
    <row r="146" spans="8:12" x14ac:dyDescent="0.2">
      <c r="H146" s="10"/>
      <c r="I146" s="54"/>
      <c r="J146" s="54"/>
      <c r="K146" s="54"/>
      <c r="L146" s="54"/>
    </row>
    <row r="147" spans="8:12" x14ac:dyDescent="0.2">
      <c r="H147" s="10"/>
      <c r="I147" s="54"/>
      <c r="J147" s="54"/>
      <c r="K147" s="54"/>
      <c r="L147" s="54"/>
    </row>
    <row r="148" spans="8:12" x14ac:dyDescent="0.2">
      <c r="H148" s="10"/>
      <c r="I148" s="54"/>
      <c r="J148" s="54"/>
      <c r="K148" s="54"/>
      <c r="L148" s="54"/>
    </row>
    <row r="149" spans="8:12" x14ac:dyDescent="0.2">
      <c r="H149" s="10"/>
      <c r="I149" s="54"/>
      <c r="J149" s="54"/>
      <c r="K149" s="54"/>
      <c r="L149" s="54"/>
    </row>
    <row r="150" spans="8:12" x14ac:dyDescent="0.2">
      <c r="H150" s="10"/>
      <c r="I150" s="54"/>
      <c r="J150" s="54"/>
      <c r="K150" s="54"/>
      <c r="L150" s="54"/>
    </row>
    <row r="151" spans="8:12" x14ac:dyDescent="0.2">
      <c r="H151" s="10"/>
      <c r="I151" s="54"/>
      <c r="J151" s="54"/>
      <c r="K151" s="54"/>
      <c r="L151" s="54"/>
    </row>
    <row r="152" spans="8:12" x14ac:dyDescent="0.2">
      <c r="H152" s="10"/>
      <c r="I152" s="54"/>
      <c r="J152" s="54"/>
      <c r="K152" s="54"/>
      <c r="L152" s="54"/>
    </row>
    <row r="153" spans="8:12" x14ac:dyDescent="0.2">
      <c r="H153" s="10"/>
      <c r="I153" s="54"/>
      <c r="J153" s="54"/>
      <c r="K153" s="54"/>
      <c r="L153" s="54"/>
    </row>
    <row r="154" spans="8:12" x14ac:dyDescent="0.2">
      <c r="H154" s="10"/>
      <c r="I154" s="54"/>
      <c r="J154" s="54"/>
      <c r="K154" s="54"/>
      <c r="L154" s="54"/>
    </row>
    <row r="155" spans="8:12" x14ac:dyDescent="0.2">
      <c r="H155" s="10"/>
      <c r="I155" s="54"/>
      <c r="J155" s="54"/>
      <c r="K155" s="54"/>
      <c r="L155" s="54"/>
    </row>
    <row r="156" spans="8:12" x14ac:dyDescent="0.2">
      <c r="H156" s="10"/>
      <c r="I156" s="54"/>
      <c r="J156" s="54"/>
      <c r="K156" s="54"/>
      <c r="L156" s="54"/>
    </row>
    <row r="157" spans="8:12" x14ac:dyDescent="0.2">
      <c r="H157" s="10"/>
      <c r="I157" s="54"/>
      <c r="J157" s="54"/>
      <c r="K157" s="54"/>
      <c r="L157" s="54"/>
    </row>
    <row r="158" spans="8:12" x14ac:dyDescent="0.2">
      <c r="H158" s="10"/>
      <c r="I158" s="54"/>
      <c r="J158" s="54"/>
      <c r="K158" s="54"/>
      <c r="L158" s="54"/>
    </row>
    <row r="159" spans="8:12" x14ac:dyDescent="0.2">
      <c r="H159" s="10"/>
      <c r="I159" s="54"/>
      <c r="J159" s="54"/>
      <c r="K159" s="54"/>
      <c r="L159" s="54"/>
    </row>
    <row r="160" spans="8:12" x14ac:dyDescent="0.2">
      <c r="H160" s="10"/>
      <c r="I160" s="54"/>
      <c r="J160" s="54"/>
      <c r="K160" s="54"/>
      <c r="L160" s="54"/>
    </row>
    <row r="161" spans="8:12" x14ac:dyDescent="0.2">
      <c r="H161" s="10"/>
      <c r="I161" s="54"/>
      <c r="J161" s="54"/>
      <c r="K161" s="54"/>
      <c r="L161" s="54"/>
    </row>
    <row r="162" spans="8:12" x14ac:dyDescent="0.2">
      <c r="H162" s="10"/>
      <c r="I162" s="54"/>
      <c r="J162" s="54"/>
      <c r="K162" s="54"/>
      <c r="L162" s="54"/>
    </row>
    <row r="163" spans="8:12" x14ac:dyDescent="0.2">
      <c r="H163" s="10"/>
      <c r="I163" s="54"/>
      <c r="J163" s="54"/>
      <c r="K163" s="54"/>
      <c r="L163" s="54"/>
    </row>
    <row r="164" spans="8:12" x14ac:dyDescent="0.2">
      <c r="H164" s="10"/>
      <c r="I164" s="54"/>
      <c r="J164" s="54"/>
      <c r="K164" s="54"/>
      <c r="L164" s="54"/>
    </row>
    <row r="165" spans="8:12" x14ac:dyDescent="0.2">
      <c r="H165" s="10"/>
      <c r="I165" s="54"/>
      <c r="J165" s="54"/>
      <c r="K165" s="54"/>
      <c r="L165" s="54"/>
    </row>
    <row r="166" spans="8:12" x14ac:dyDescent="0.2">
      <c r="H166" s="10"/>
      <c r="I166" s="54"/>
      <c r="J166" s="54"/>
      <c r="K166" s="54"/>
      <c r="L166" s="54"/>
    </row>
    <row r="167" spans="8:12" x14ac:dyDescent="0.2">
      <c r="H167" s="10"/>
      <c r="I167" s="54"/>
      <c r="J167" s="54"/>
      <c r="K167" s="54"/>
      <c r="L167" s="54"/>
    </row>
    <row r="168" spans="8:12" x14ac:dyDescent="0.2">
      <c r="H168" s="10"/>
      <c r="I168" s="54"/>
      <c r="J168" s="54"/>
      <c r="K168" s="54"/>
      <c r="L168" s="54"/>
    </row>
    <row r="169" spans="8:12" x14ac:dyDescent="0.2">
      <c r="H169" s="10"/>
      <c r="I169" s="54"/>
      <c r="J169" s="54"/>
      <c r="K169" s="54"/>
      <c r="L169" s="54"/>
    </row>
    <row r="170" spans="8:12" x14ac:dyDescent="0.2">
      <c r="H170" s="10"/>
      <c r="I170" s="54"/>
      <c r="J170" s="54"/>
      <c r="K170" s="54"/>
      <c r="L170" s="54"/>
    </row>
    <row r="171" spans="8:12" x14ac:dyDescent="0.2">
      <c r="H171" s="10"/>
      <c r="I171" s="54"/>
      <c r="J171" s="54"/>
      <c r="K171" s="54"/>
      <c r="L171" s="54"/>
    </row>
    <row r="172" spans="8:12" x14ac:dyDescent="0.2">
      <c r="H172" s="10"/>
      <c r="I172" s="54"/>
      <c r="J172" s="54"/>
      <c r="K172" s="54"/>
      <c r="L172" s="54"/>
    </row>
    <row r="173" spans="8:12" x14ac:dyDescent="0.2">
      <c r="H173" s="10"/>
      <c r="I173" s="54"/>
      <c r="J173" s="54"/>
      <c r="K173" s="54"/>
      <c r="L173" s="54"/>
    </row>
    <row r="174" spans="8:12" x14ac:dyDescent="0.2">
      <c r="H174" s="10"/>
      <c r="I174" s="54"/>
      <c r="J174" s="54"/>
      <c r="K174" s="54"/>
      <c r="L174" s="54"/>
    </row>
    <row r="175" spans="8:12" x14ac:dyDescent="0.2">
      <c r="H175" s="10"/>
      <c r="I175" s="54"/>
      <c r="J175" s="54"/>
      <c r="K175" s="54"/>
      <c r="L175" s="54"/>
    </row>
    <row r="176" spans="8:12" x14ac:dyDescent="0.2">
      <c r="H176" s="10"/>
      <c r="I176" s="54"/>
      <c r="J176" s="54"/>
      <c r="K176" s="54"/>
      <c r="L176" s="54"/>
    </row>
    <row r="177" spans="8:12" x14ac:dyDescent="0.2">
      <c r="H177" s="10"/>
      <c r="I177" s="54"/>
      <c r="J177" s="54"/>
      <c r="K177" s="54"/>
      <c r="L177" s="54"/>
    </row>
    <row r="178" spans="8:12" x14ac:dyDescent="0.2">
      <c r="H178" s="10"/>
      <c r="I178" s="54"/>
      <c r="J178" s="54"/>
      <c r="K178" s="54"/>
      <c r="L178" s="54"/>
    </row>
    <row r="179" spans="8:12" x14ac:dyDescent="0.2">
      <c r="H179" s="10"/>
      <c r="I179" s="54"/>
      <c r="J179" s="54"/>
      <c r="K179" s="54"/>
      <c r="L179" s="54"/>
    </row>
    <row r="180" spans="8:12" x14ac:dyDescent="0.2">
      <c r="H180" s="10"/>
      <c r="I180" s="54"/>
      <c r="J180" s="54"/>
      <c r="K180" s="54"/>
      <c r="L180" s="54"/>
    </row>
    <row r="181" spans="8:12" x14ac:dyDescent="0.2">
      <c r="H181" s="10"/>
      <c r="I181" s="54"/>
      <c r="J181" s="54"/>
      <c r="K181" s="54"/>
      <c r="L181" s="54"/>
    </row>
    <row r="182" spans="8:12" x14ac:dyDescent="0.2">
      <c r="H182" s="10"/>
      <c r="I182" s="54"/>
      <c r="J182" s="54"/>
      <c r="K182" s="54"/>
      <c r="L182" s="54"/>
    </row>
    <row r="183" spans="8:12" x14ac:dyDescent="0.2">
      <c r="H183" s="10"/>
      <c r="I183" s="54"/>
      <c r="J183" s="54"/>
      <c r="K183" s="54"/>
      <c r="L183" s="54"/>
    </row>
    <row r="184" spans="8:12" x14ac:dyDescent="0.2">
      <c r="H184" s="10"/>
      <c r="I184" s="54"/>
      <c r="J184" s="54"/>
      <c r="K184" s="54"/>
      <c r="L184" s="54"/>
    </row>
    <row r="185" spans="8:12" x14ac:dyDescent="0.2">
      <c r="H185" s="10"/>
      <c r="I185" s="54"/>
      <c r="J185" s="54"/>
      <c r="K185" s="54"/>
      <c r="L185" s="54"/>
    </row>
    <row r="186" spans="8:12" x14ac:dyDescent="0.2">
      <c r="H186" s="10"/>
      <c r="I186" s="54"/>
      <c r="J186" s="54"/>
      <c r="K186" s="54"/>
      <c r="L186" s="54"/>
    </row>
    <row r="187" spans="8:12" x14ac:dyDescent="0.2">
      <c r="H187" s="10"/>
      <c r="I187" s="54"/>
      <c r="J187" s="54"/>
      <c r="K187" s="54"/>
      <c r="L187" s="54"/>
    </row>
    <row r="188" spans="8:12" x14ac:dyDescent="0.2">
      <c r="H188" s="10"/>
      <c r="I188" s="54"/>
      <c r="J188" s="54"/>
      <c r="K188" s="54"/>
      <c r="L188" s="54"/>
    </row>
    <row r="189" spans="8:12" x14ac:dyDescent="0.2">
      <c r="H189" s="10"/>
      <c r="I189" s="54"/>
      <c r="J189" s="54"/>
      <c r="K189" s="54"/>
      <c r="L189" s="54"/>
    </row>
    <row r="190" spans="8:12" x14ac:dyDescent="0.2">
      <c r="H190" s="10"/>
      <c r="I190" s="54"/>
      <c r="J190" s="54"/>
      <c r="K190" s="54"/>
      <c r="L190" s="54"/>
    </row>
    <row r="191" spans="8:12" x14ac:dyDescent="0.2">
      <c r="H191" s="10"/>
      <c r="I191" s="54"/>
      <c r="J191" s="54"/>
      <c r="K191" s="54"/>
      <c r="L191" s="54"/>
    </row>
    <row r="192" spans="8:12" x14ac:dyDescent="0.2">
      <c r="H192" s="10"/>
      <c r="I192" s="54"/>
      <c r="J192" s="54"/>
      <c r="K192" s="54"/>
      <c r="L192" s="54"/>
    </row>
    <row r="193" spans="8:12" x14ac:dyDescent="0.2">
      <c r="H193" s="10"/>
      <c r="I193" s="54"/>
      <c r="J193" s="54"/>
      <c r="K193" s="54"/>
      <c r="L193" s="54"/>
    </row>
    <row r="194" spans="8:12" x14ac:dyDescent="0.2">
      <c r="H194" s="10"/>
      <c r="I194" s="54"/>
      <c r="J194" s="54"/>
      <c r="K194" s="54"/>
      <c r="L194" s="54"/>
    </row>
    <row r="195" spans="8:12" x14ac:dyDescent="0.2">
      <c r="H195" s="10"/>
      <c r="I195" s="54"/>
      <c r="J195" s="54"/>
      <c r="K195" s="54"/>
      <c r="L195" s="54"/>
    </row>
    <row r="196" spans="8:12" x14ac:dyDescent="0.2">
      <c r="H196" s="10"/>
      <c r="I196" s="54"/>
      <c r="J196" s="54"/>
      <c r="K196" s="54"/>
      <c r="L196" s="54"/>
    </row>
    <row r="197" spans="8:12" x14ac:dyDescent="0.2">
      <c r="H197" s="10"/>
      <c r="I197" s="54"/>
      <c r="J197" s="54"/>
      <c r="K197" s="54"/>
      <c r="L197" s="54"/>
    </row>
    <row r="198" spans="8:12" x14ac:dyDescent="0.2">
      <c r="H198" s="10"/>
      <c r="I198" s="54"/>
      <c r="J198" s="54"/>
      <c r="K198" s="54"/>
      <c r="L198" s="54"/>
    </row>
    <row r="199" spans="8:12" x14ac:dyDescent="0.2">
      <c r="H199" s="10"/>
      <c r="I199" s="54"/>
      <c r="J199" s="54"/>
      <c r="K199" s="54"/>
      <c r="L199" s="54"/>
    </row>
    <row r="200" spans="8:12" x14ac:dyDescent="0.2">
      <c r="H200" s="10"/>
      <c r="I200" s="54"/>
      <c r="J200" s="54"/>
      <c r="K200" s="54"/>
      <c r="L200" s="54"/>
    </row>
    <row r="201" spans="8:12" x14ac:dyDescent="0.2">
      <c r="H201" s="10"/>
      <c r="I201" s="54"/>
      <c r="J201" s="54"/>
      <c r="K201" s="54"/>
      <c r="L201" s="54"/>
    </row>
    <row r="202" spans="8:12" x14ac:dyDescent="0.2">
      <c r="H202" s="10"/>
      <c r="I202" s="54"/>
      <c r="J202" s="54"/>
      <c r="K202" s="54"/>
      <c r="L202" s="54"/>
    </row>
    <row r="203" spans="8:12" x14ac:dyDescent="0.2">
      <c r="H203" s="10"/>
      <c r="I203" s="54"/>
      <c r="J203" s="54"/>
      <c r="K203" s="54"/>
      <c r="L203" s="54"/>
    </row>
    <row r="204" spans="8:12" x14ac:dyDescent="0.2">
      <c r="H204" s="10"/>
      <c r="I204" s="54"/>
      <c r="J204" s="54"/>
      <c r="K204" s="54"/>
      <c r="L204" s="54"/>
    </row>
    <row r="205" spans="8:12" x14ac:dyDescent="0.2">
      <c r="H205" s="10"/>
      <c r="I205" s="54"/>
      <c r="J205" s="54"/>
      <c r="K205" s="54"/>
      <c r="L205" s="54"/>
    </row>
    <row r="206" spans="8:12" x14ac:dyDescent="0.2">
      <c r="H206" s="10"/>
      <c r="I206" s="54"/>
      <c r="J206" s="54"/>
      <c r="K206" s="54"/>
      <c r="L206" s="54"/>
    </row>
    <row r="207" spans="8:12" x14ac:dyDescent="0.2">
      <c r="H207" s="10"/>
      <c r="I207" s="54"/>
      <c r="J207" s="54"/>
      <c r="K207" s="54"/>
      <c r="L207" s="54"/>
    </row>
    <row r="208" spans="8:12" x14ac:dyDescent="0.2">
      <c r="H208" s="10"/>
      <c r="I208" s="54"/>
      <c r="J208" s="54"/>
      <c r="K208" s="54"/>
      <c r="L208" s="54"/>
    </row>
    <row r="209" spans="8:12" x14ac:dyDescent="0.2">
      <c r="H209" s="10"/>
      <c r="I209" s="54"/>
      <c r="J209" s="54"/>
      <c r="K209" s="54"/>
      <c r="L209" s="54"/>
    </row>
    <row r="210" spans="8:12" x14ac:dyDescent="0.2">
      <c r="H210" s="10"/>
      <c r="I210" s="54"/>
      <c r="J210" s="54"/>
      <c r="K210" s="54"/>
      <c r="L210" s="54"/>
    </row>
    <row r="211" spans="8:12" x14ac:dyDescent="0.2">
      <c r="H211" s="10"/>
      <c r="I211" s="54"/>
      <c r="J211" s="54"/>
      <c r="K211" s="54"/>
      <c r="L211" s="54"/>
    </row>
    <row r="212" spans="8:12" x14ac:dyDescent="0.2">
      <c r="H212" s="10"/>
      <c r="I212" s="54"/>
      <c r="J212" s="54"/>
      <c r="K212" s="54"/>
      <c r="L212" s="54"/>
    </row>
    <row r="213" spans="8:12" x14ac:dyDescent="0.2">
      <c r="H213" s="10"/>
      <c r="I213" s="54"/>
      <c r="J213" s="54"/>
      <c r="K213" s="54"/>
      <c r="L213" s="54"/>
    </row>
    <row r="214" spans="8:12" x14ac:dyDescent="0.2">
      <c r="H214" s="10"/>
      <c r="I214" s="54"/>
      <c r="J214" s="54"/>
      <c r="K214" s="54"/>
      <c r="L214" s="54"/>
    </row>
    <row r="215" spans="8:12" x14ac:dyDescent="0.2">
      <c r="H215" s="10"/>
      <c r="I215" s="54"/>
      <c r="J215" s="54"/>
      <c r="K215" s="54"/>
      <c r="L215" s="54"/>
    </row>
    <row r="216" spans="8:12" x14ac:dyDescent="0.2">
      <c r="H216" s="10"/>
      <c r="I216" s="54"/>
      <c r="J216" s="54"/>
      <c r="K216" s="54"/>
      <c r="L216" s="54"/>
    </row>
    <row r="217" spans="8:12" x14ac:dyDescent="0.2">
      <c r="H217" s="10"/>
      <c r="I217" s="54"/>
      <c r="J217" s="54"/>
      <c r="K217" s="54"/>
      <c r="L217" s="54"/>
    </row>
    <row r="218" spans="8:12" x14ac:dyDescent="0.2">
      <c r="H218" s="10"/>
      <c r="I218" s="54"/>
      <c r="J218" s="54"/>
      <c r="K218" s="54"/>
      <c r="L218" s="54"/>
    </row>
    <row r="219" spans="8:12" x14ac:dyDescent="0.2">
      <c r="H219" s="10"/>
      <c r="I219" s="54"/>
      <c r="J219" s="54"/>
      <c r="K219" s="54"/>
      <c r="L219" s="54"/>
    </row>
    <row r="220" spans="8:12" x14ac:dyDescent="0.2">
      <c r="H220" s="10"/>
      <c r="I220" s="54"/>
      <c r="J220" s="54"/>
      <c r="K220" s="54"/>
      <c r="L220" s="54"/>
    </row>
    <row r="221" spans="8:12" x14ac:dyDescent="0.2">
      <c r="H221" s="10"/>
      <c r="I221" s="54"/>
      <c r="J221" s="54"/>
      <c r="K221" s="54"/>
      <c r="L221" s="54"/>
    </row>
    <row r="222" spans="8:12" x14ac:dyDescent="0.2">
      <c r="H222" s="10"/>
      <c r="I222" s="54"/>
      <c r="J222" s="54"/>
      <c r="K222" s="54"/>
      <c r="L222" s="54"/>
    </row>
    <row r="223" spans="8:12" x14ac:dyDescent="0.2">
      <c r="H223" s="10"/>
      <c r="I223" s="54"/>
      <c r="J223" s="54"/>
      <c r="K223" s="54"/>
      <c r="L223" s="54"/>
    </row>
    <row r="224" spans="8:12" x14ac:dyDescent="0.2">
      <c r="H224" s="10"/>
      <c r="I224" s="54"/>
      <c r="J224" s="54"/>
      <c r="K224" s="54"/>
      <c r="L224" s="54"/>
    </row>
    <row r="225" spans="8:12" x14ac:dyDescent="0.2">
      <c r="H225" s="10"/>
      <c r="I225" s="54"/>
      <c r="J225" s="54"/>
      <c r="K225" s="54"/>
      <c r="L225" s="54"/>
    </row>
    <row r="226" spans="8:12" x14ac:dyDescent="0.2">
      <c r="H226" s="10"/>
      <c r="I226" s="54"/>
      <c r="J226" s="54"/>
      <c r="K226" s="54"/>
      <c r="L226" s="54"/>
    </row>
    <row r="227" spans="8:12" x14ac:dyDescent="0.2">
      <c r="H227" s="10"/>
      <c r="I227" s="54"/>
      <c r="J227" s="54"/>
      <c r="K227" s="54"/>
      <c r="L227" s="54"/>
    </row>
    <row r="228" spans="8:12" x14ac:dyDescent="0.2">
      <c r="H228" s="10"/>
      <c r="I228" s="54"/>
      <c r="J228" s="54"/>
      <c r="K228" s="54"/>
      <c r="L228" s="54"/>
    </row>
    <row r="229" spans="8:12" x14ac:dyDescent="0.2">
      <c r="H229" s="10"/>
      <c r="I229" s="54"/>
      <c r="J229" s="54"/>
      <c r="K229" s="54"/>
      <c r="L229" s="54"/>
    </row>
    <row r="230" spans="8:12" x14ac:dyDescent="0.2">
      <c r="H230" s="10"/>
      <c r="I230" s="54"/>
      <c r="J230" s="54"/>
      <c r="K230" s="54"/>
      <c r="L230" s="54"/>
    </row>
    <row r="231" spans="8:12" x14ac:dyDescent="0.2">
      <c r="H231" s="10"/>
      <c r="I231" s="54"/>
      <c r="J231" s="54"/>
      <c r="K231" s="54"/>
      <c r="L231" s="54"/>
    </row>
    <row r="232" spans="8:12" x14ac:dyDescent="0.2">
      <c r="H232" s="10"/>
      <c r="I232" s="54"/>
      <c r="J232" s="54"/>
      <c r="K232" s="54"/>
      <c r="L232" s="54"/>
    </row>
    <row r="233" spans="8:12" x14ac:dyDescent="0.2">
      <c r="H233" s="10"/>
      <c r="I233" s="54"/>
      <c r="J233" s="54"/>
      <c r="K233" s="54"/>
      <c r="L233" s="54"/>
    </row>
    <row r="234" spans="8:12" x14ac:dyDescent="0.2">
      <c r="H234" s="10"/>
      <c r="I234" s="54"/>
      <c r="J234" s="54"/>
      <c r="K234" s="54"/>
      <c r="L234" s="54"/>
    </row>
    <row r="235" spans="8:12" x14ac:dyDescent="0.2">
      <c r="H235" s="10"/>
      <c r="I235" s="54"/>
      <c r="J235" s="54"/>
      <c r="K235" s="54"/>
      <c r="L235" s="54"/>
    </row>
    <row r="236" spans="8:12" x14ac:dyDescent="0.2">
      <c r="H236" s="10"/>
      <c r="I236" s="54"/>
      <c r="J236" s="54"/>
      <c r="K236" s="54"/>
      <c r="L236" s="54"/>
    </row>
    <row r="237" spans="8:12" x14ac:dyDescent="0.2">
      <c r="H237" s="10"/>
      <c r="I237" s="54"/>
      <c r="J237" s="54"/>
      <c r="K237" s="54"/>
      <c r="L237" s="54"/>
    </row>
    <row r="238" spans="8:12" x14ac:dyDescent="0.2">
      <c r="H238" s="10"/>
      <c r="I238" s="54"/>
      <c r="J238" s="54"/>
      <c r="K238" s="54"/>
      <c r="L238" s="54"/>
    </row>
    <row r="239" spans="8:12" x14ac:dyDescent="0.2">
      <c r="H239" s="10"/>
      <c r="I239" s="54"/>
      <c r="J239" s="54"/>
      <c r="K239" s="54"/>
      <c r="L239" s="54"/>
    </row>
    <row r="240" spans="8:12" x14ac:dyDescent="0.2">
      <c r="H240" s="10"/>
      <c r="I240" s="54"/>
      <c r="J240" s="54"/>
      <c r="K240" s="54"/>
      <c r="L240" s="54"/>
    </row>
    <row r="241" spans="8:12" x14ac:dyDescent="0.2">
      <c r="H241" s="10"/>
      <c r="I241" s="54"/>
      <c r="J241" s="54"/>
      <c r="K241" s="54"/>
      <c r="L241" s="54"/>
    </row>
    <row r="242" spans="8:12" x14ac:dyDescent="0.2">
      <c r="H242" s="10"/>
      <c r="I242" s="54"/>
      <c r="J242" s="54"/>
      <c r="K242" s="54"/>
      <c r="L242" s="54"/>
    </row>
    <row r="243" spans="8:12" x14ac:dyDescent="0.2">
      <c r="H243" s="10"/>
      <c r="I243" s="54"/>
      <c r="J243" s="54"/>
      <c r="K243" s="54"/>
      <c r="L243" s="54"/>
    </row>
    <row r="244" spans="8:12" x14ac:dyDescent="0.2">
      <c r="H244" s="10"/>
      <c r="I244" s="54"/>
      <c r="J244" s="54"/>
      <c r="K244" s="54"/>
      <c r="L244" s="54"/>
    </row>
    <row r="245" spans="8:12" x14ac:dyDescent="0.2">
      <c r="H245" s="10"/>
      <c r="I245" s="54"/>
      <c r="J245" s="54"/>
      <c r="K245" s="54"/>
      <c r="L245" s="54"/>
    </row>
    <row r="246" spans="8:12" x14ac:dyDescent="0.2">
      <c r="H246" s="10"/>
      <c r="I246" s="54"/>
      <c r="J246" s="54"/>
      <c r="K246" s="54"/>
      <c r="L246" s="54"/>
    </row>
    <row r="247" spans="8:12" x14ac:dyDescent="0.2">
      <c r="H247" s="10"/>
      <c r="I247" s="54"/>
      <c r="J247" s="54"/>
      <c r="K247" s="54"/>
      <c r="L247" s="54"/>
    </row>
    <row r="248" spans="8:12" x14ac:dyDescent="0.2">
      <c r="H248" s="10"/>
      <c r="I248" s="54"/>
      <c r="J248" s="54"/>
      <c r="K248" s="54"/>
      <c r="L248" s="54"/>
    </row>
    <row r="249" spans="8:12" x14ac:dyDescent="0.2">
      <c r="H249" s="10"/>
      <c r="I249" s="54"/>
      <c r="J249" s="54"/>
      <c r="K249" s="54"/>
      <c r="L249" s="54"/>
    </row>
    <row r="250" spans="8:12" x14ac:dyDescent="0.2">
      <c r="H250" s="10"/>
      <c r="I250" s="54"/>
      <c r="J250" s="54"/>
      <c r="K250" s="54"/>
      <c r="L250" s="54"/>
    </row>
    <row r="251" spans="8:12" x14ac:dyDescent="0.2">
      <c r="H251" s="10"/>
      <c r="I251" s="54"/>
      <c r="J251" s="54"/>
      <c r="K251" s="54"/>
      <c r="L251" s="54"/>
    </row>
    <row r="252" spans="8:12" x14ac:dyDescent="0.2">
      <c r="H252" s="10"/>
      <c r="I252" s="54"/>
      <c r="J252" s="54"/>
      <c r="K252" s="54"/>
      <c r="L252" s="54"/>
    </row>
    <row r="253" spans="8:12" x14ac:dyDescent="0.2">
      <c r="H253" s="10"/>
      <c r="I253" s="54"/>
      <c r="J253" s="54"/>
      <c r="K253" s="54"/>
      <c r="L253" s="54"/>
    </row>
    <row r="254" spans="8:12" x14ac:dyDescent="0.2">
      <c r="H254" s="10"/>
      <c r="I254" s="54"/>
      <c r="J254" s="54"/>
      <c r="K254" s="54"/>
      <c r="L254" s="54"/>
    </row>
    <row r="255" spans="8:12" x14ac:dyDescent="0.2">
      <c r="H255" s="10"/>
      <c r="I255" s="54"/>
      <c r="J255" s="54"/>
      <c r="K255" s="54"/>
      <c r="L255" s="54"/>
    </row>
    <row r="256" spans="8:12" x14ac:dyDescent="0.2">
      <c r="H256" s="10"/>
      <c r="I256" s="54"/>
      <c r="J256" s="54"/>
      <c r="K256" s="54"/>
      <c r="L256" s="54"/>
    </row>
    <row r="257" spans="8:12" x14ac:dyDescent="0.2">
      <c r="H257" s="10"/>
      <c r="I257" s="54"/>
      <c r="J257" s="54"/>
      <c r="K257" s="54"/>
      <c r="L257" s="54"/>
    </row>
    <row r="258" spans="8:12" x14ac:dyDescent="0.2">
      <c r="H258" s="10"/>
      <c r="I258" s="54"/>
      <c r="J258" s="54"/>
      <c r="K258" s="54"/>
      <c r="L258" s="54"/>
    </row>
    <row r="259" spans="8:12" x14ac:dyDescent="0.2">
      <c r="H259" s="10"/>
      <c r="I259" s="54"/>
      <c r="J259" s="54"/>
      <c r="K259" s="54"/>
      <c r="L259" s="54"/>
    </row>
    <row r="260" spans="8:12" x14ac:dyDescent="0.2">
      <c r="H260" s="10"/>
      <c r="I260" s="54"/>
      <c r="J260" s="54"/>
      <c r="K260" s="54"/>
      <c r="L260" s="54"/>
    </row>
    <row r="261" spans="8:12" x14ac:dyDescent="0.2">
      <c r="H261" s="10"/>
      <c r="I261" s="54"/>
      <c r="J261" s="54"/>
      <c r="K261" s="54"/>
      <c r="L261" s="54"/>
    </row>
    <row r="262" spans="8:12" x14ac:dyDescent="0.2">
      <c r="H262" s="10"/>
      <c r="I262" s="54"/>
      <c r="J262" s="54"/>
      <c r="K262" s="54"/>
      <c r="L262" s="54"/>
    </row>
    <row r="263" spans="8:12" x14ac:dyDescent="0.2">
      <c r="H263" s="10"/>
      <c r="I263" s="54"/>
      <c r="J263" s="54"/>
      <c r="K263" s="54"/>
      <c r="L263" s="54"/>
    </row>
    <row r="264" spans="8:12" x14ac:dyDescent="0.2">
      <c r="H264" s="10"/>
      <c r="I264" s="54"/>
      <c r="J264" s="54"/>
      <c r="K264" s="54"/>
      <c r="L264" s="54"/>
    </row>
    <row r="265" spans="8:12" x14ac:dyDescent="0.2">
      <c r="H265" s="10"/>
      <c r="I265" s="54"/>
      <c r="J265" s="54"/>
      <c r="K265" s="54"/>
      <c r="L265" s="54"/>
    </row>
    <row r="266" spans="8:12" x14ac:dyDescent="0.2">
      <c r="H266" s="10"/>
      <c r="I266" s="54"/>
      <c r="J266" s="54"/>
      <c r="K266" s="54"/>
      <c r="L266" s="54"/>
    </row>
    <row r="267" spans="8:12" x14ac:dyDescent="0.2">
      <c r="H267" s="10"/>
      <c r="I267" s="54"/>
      <c r="J267" s="54"/>
      <c r="K267" s="54"/>
      <c r="L267" s="54"/>
    </row>
    <row r="268" spans="8:12" x14ac:dyDescent="0.2">
      <c r="H268" s="10"/>
      <c r="I268" s="54"/>
      <c r="J268" s="54"/>
      <c r="K268" s="54"/>
      <c r="L268" s="54"/>
    </row>
    <row r="269" spans="8:12" x14ac:dyDescent="0.2">
      <c r="H269" s="10"/>
      <c r="I269" s="54"/>
      <c r="J269" s="54"/>
      <c r="K269" s="54"/>
      <c r="L269" s="54"/>
    </row>
    <row r="270" spans="8:12" x14ac:dyDescent="0.2">
      <c r="H270" s="10"/>
      <c r="I270" s="54"/>
      <c r="J270" s="54"/>
      <c r="K270" s="54"/>
      <c r="L270" s="54"/>
    </row>
    <row r="271" spans="8:12" x14ac:dyDescent="0.2">
      <c r="H271" s="10"/>
      <c r="I271" s="54"/>
      <c r="J271" s="54"/>
      <c r="K271" s="54"/>
      <c r="L271" s="54"/>
    </row>
    <row r="272" spans="8:12" x14ac:dyDescent="0.2">
      <c r="H272" s="10"/>
      <c r="I272" s="54"/>
      <c r="J272" s="54"/>
      <c r="K272" s="54"/>
      <c r="L272" s="54"/>
    </row>
    <row r="273" spans="8:12" x14ac:dyDescent="0.2">
      <c r="H273" s="10"/>
      <c r="I273" s="54"/>
      <c r="J273" s="54"/>
      <c r="K273" s="54"/>
      <c r="L273" s="54"/>
    </row>
    <row r="274" spans="8:12" x14ac:dyDescent="0.2">
      <c r="H274" s="10"/>
      <c r="I274" s="54"/>
      <c r="J274" s="54"/>
      <c r="K274" s="54"/>
      <c r="L274" s="54"/>
    </row>
    <row r="275" spans="8:12" x14ac:dyDescent="0.2">
      <c r="H275" s="10"/>
      <c r="I275" s="54"/>
      <c r="J275" s="54"/>
      <c r="K275" s="54"/>
      <c r="L275" s="54"/>
    </row>
    <row r="276" spans="8:12" x14ac:dyDescent="0.2">
      <c r="H276" s="10"/>
      <c r="I276" s="54"/>
      <c r="J276" s="54"/>
      <c r="K276" s="54"/>
      <c r="L276" s="54"/>
    </row>
    <row r="277" spans="8:12" x14ac:dyDescent="0.2">
      <c r="H277" s="10"/>
      <c r="I277" s="54"/>
      <c r="J277" s="54"/>
      <c r="K277" s="54"/>
      <c r="L277" s="54"/>
    </row>
    <row r="278" spans="8:12" x14ac:dyDescent="0.2">
      <c r="H278" s="10"/>
      <c r="I278" s="54"/>
      <c r="J278" s="54"/>
      <c r="K278" s="54"/>
      <c r="L278" s="54"/>
    </row>
    <row r="279" spans="8:12" x14ac:dyDescent="0.2">
      <c r="H279" s="10"/>
      <c r="I279" s="54"/>
      <c r="J279" s="54"/>
      <c r="K279" s="54"/>
      <c r="L279" s="54"/>
    </row>
    <row r="280" spans="8:12" x14ac:dyDescent="0.2">
      <c r="H280" s="10"/>
      <c r="I280" s="54"/>
      <c r="J280" s="54"/>
      <c r="K280" s="54"/>
      <c r="L280" s="54"/>
    </row>
    <row r="281" spans="8:12" x14ac:dyDescent="0.2">
      <c r="H281" s="10"/>
      <c r="I281" s="54"/>
      <c r="J281" s="54"/>
      <c r="K281" s="54"/>
      <c r="L281" s="54"/>
    </row>
    <row r="282" spans="8:12" x14ac:dyDescent="0.2">
      <c r="H282" s="10"/>
      <c r="I282" s="54"/>
      <c r="J282" s="54"/>
      <c r="K282" s="54"/>
      <c r="L282" s="54"/>
    </row>
    <row r="283" spans="8:12" x14ac:dyDescent="0.2">
      <c r="H283" s="10"/>
      <c r="I283" s="54"/>
      <c r="J283" s="54"/>
      <c r="K283" s="54"/>
      <c r="L283" s="54"/>
    </row>
    <row r="284" spans="8:12" x14ac:dyDescent="0.2">
      <c r="H284" s="10"/>
      <c r="I284" s="54"/>
      <c r="J284" s="54"/>
      <c r="K284" s="54"/>
      <c r="L284" s="54"/>
    </row>
    <row r="285" spans="8:12" x14ac:dyDescent="0.2">
      <c r="H285" s="10"/>
      <c r="I285" s="54"/>
      <c r="J285" s="54"/>
      <c r="K285" s="54"/>
      <c r="L285" s="54"/>
    </row>
    <row r="286" spans="8:12" x14ac:dyDescent="0.2">
      <c r="H286" s="10"/>
      <c r="I286" s="54"/>
      <c r="J286" s="54"/>
      <c r="K286" s="54"/>
      <c r="L286" s="54"/>
    </row>
    <row r="287" spans="8:12" x14ac:dyDescent="0.2">
      <c r="H287" s="10"/>
      <c r="I287" s="54"/>
      <c r="J287" s="54"/>
      <c r="K287" s="54"/>
      <c r="L287" s="54"/>
    </row>
    <row r="288" spans="8:12" x14ac:dyDescent="0.2">
      <c r="H288" s="10"/>
      <c r="I288" s="54"/>
      <c r="J288" s="54"/>
      <c r="K288" s="54"/>
      <c r="L288" s="54"/>
    </row>
  </sheetData>
  <phoneticPr fontId="5" type="noConversion"/>
  <pageMargins left="0.75" right="0.75" top="1" bottom="1" header="0.5" footer="0.5"/>
  <pageSetup scale="5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4">
    <tabColor theme="3" tint="0.59999389629810485"/>
    <pageSetUpPr fitToPage="1"/>
  </sheetPr>
  <dimension ref="A1:S61"/>
  <sheetViews>
    <sheetView showGridLines="0" topLeftCell="A9" zoomScaleNormal="100" workbookViewId="0">
      <selection activeCell="E25" sqref="E25"/>
    </sheetView>
  </sheetViews>
  <sheetFormatPr defaultRowHeight="12" x14ac:dyDescent="0.2"/>
  <cols>
    <col min="1" max="3" width="3" style="4" customWidth="1"/>
    <col min="4" max="4" width="22.7109375" customWidth="1"/>
    <col min="5" max="16" width="10.7109375" customWidth="1"/>
    <col min="17" max="17" width="15.7109375" customWidth="1"/>
    <col min="19" max="19" width="10" bestFit="1" customWidth="1"/>
  </cols>
  <sheetData>
    <row r="1" spans="1:19" ht="15.75" x14ac:dyDescent="0.25">
      <c r="A1" s="3" t="s">
        <v>88</v>
      </c>
    </row>
    <row r="2" spans="1:19" ht="15.75" x14ac:dyDescent="0.25">
      <c r="A2" s="3" t="s">
        <v>82</v>
      </c>
      <c r="E2" s="127"/>
    </row>
    <row r="3" spans="1:19" ht="12.75" customHeight="1" x14ac:dyDescent="0.2">
      <c r="A3" s="1"/>
      <c r="B3" s="1"/>
      <c r="C3" s="1"/>
      <c r="D3" s="19"/>
      <c r="E3" s="26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19"/>
    </row>
    <row r="4" spans="1:19" ht="12.75" customHeight="1" x14ac:dyDescent="0.2">
      <c r="A4" s="1"/>
      <c r="B4" s="1"/>
      <c r="C4" s="1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9" ht="12.75" customHeight="1" thickBot="1" x14ac:dyDescent="0.25">
      <c r="A5" s="1"/>
      <c r="B5" s="1"/>
      <c r="C5" s="1"/>
      <c r="D5" s="19"/>
      <c r="E5" s="21" t="str">
        <f>'5. Projected Sales'!H6</f>
        <v>January</v>
      </c>
      <c r="F5" s="21" t="str">
        <f>'5. Projected Sales'!I6</f>
        <v>February</v>
      </c>
      <c r="G5" s="21" t="str">
        <f>'5. Projected Sales'!J6</f>
        <v>March</v>
      </c>
      <c r="H5" s="21" t="str">
        <f>'5. Projected Sales'!K6</f>
        <v>April</v>
      </c>
      <c r="I5" s="21" t="str">
        <f>'5. Projected Sales'!L6</f>
        <v>May</v>
      </c>
      <c r="J5" s="21" t="str">
        <f>'5. Projected Sales'!M6</f>
        <v>June</v>
      </c>
      <c r="K5" s="21" t="str">
        <f>'5. Projected Sales'!N6</f>
        <v>July</v>
      </c>
      <c r="L5" s="21" t="str">
        <f>'5. Projected Sales'!O6</f>
        <v>August</v>
      </c>
      <c r="M5" s="21" t="str">
        <f>'5. Projected Sales'!P6</f>
        <v>September</v>
      </c>
      <c r="N5" s="21" t="str">
        <f>'5. Projected Sales'!Q6</f>
        <v>October</v>
      </c>
      <c r="O5" s="21" t="str">
        <f>'5. Projected Sales'!R6</f>
        <v>November</v>
      </c>
      <c r="P5" s="21" t="str">
        <f>'5. Projected Sales'!S6</f>
        <v>December</v>
      </c>
      <c r="Q5" s="21" t="s">
        <v>0</v>
      </c>
      <c r="S5" s="50"/>
    </row>
    <row r="6" spans="1:19" ht="12.75" customHeight="1" thickTop="1" x14ac:dyDescent="0.2">
      <c r="A6" s="1"/>
      <c r="B6" s="1"/>
      <c r="C6" s="1"/>
      <c r="D6" s="19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</row>
    <row r="7" spans="1:19" ht="12.75" customHeight="1" x14ac:dyDescent="0.2">
      <c r="A7" s="1" t="s">
        <v>33</v>
      </c>
      <c r="B7" s="1"/>
      <c r="C7" s="1"/>
      <c r="D7" s="19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</row>
    <row r="8" spans="1:19" ht="12.75" customHeight="1" x14ac:dyDescent="0.2">
      <c r="A8" s="1"/>
      <c r="B8" s="1" t="s">
        <v>72</v>
      </c>
      <c r="C8" s="1"/>
      <c r="D8" s="19"/>
      <c r="E8" s="141">
        <v>30</v>
      </c>
      <c r="F8" s="141">
        <v>36</v>
      </c>
      <c r="G8" s="141">
        <v>70</v>
      </c>
      <c r="H8" s="141">
        <v>140</v>
      </c>
      <c r="I8" s="141">
        <v>774</v>
      </c>
      <c r="J8" s="141">
        <v>1266</v>
      </c>
      <c r="K8" s="141">
        <v>1548</v>
      </c>
      <c r="L8" s="141">
        <v>1548</v>
      </c>
      <c r="M8" s="141">
        <v>1194</v>
      </c>
      <c r="N8" s="141">
        <v>282</v>
      </c>
      <c r="O8" s="141">
        <v>112</v>
      </c>
      <c r="P8" s="141">
        <v>64</v>
      </c>
      <c r="Q8" s="142">
        <f>SUM(E8:P8)</f>
        <v>7064</v>
      </c>
    </row>
    <row r="9" spans="1:19" ht="12.75" customHeight="1" thickBot="1" x14ac:dyDescent="0.25">
      <c r="A9" s="1"/>
      <c r="B9" s="1" t="s">
        <v>73</v>
      </c>
      <c r="C9" s="1"/>
      <c r="D9" s="19"/>
      <c r="E9" s="143">
        <v>14.700000000000001</v>
      </c>
      <c r="F9" s="143">
        <v>12.600000000000001</v>
      </c>
      <c r="G9" s="143">
        <v>25.200000000000003</v>
      </c>
      <c r="H9" s="143">
        <v>50.400000000000006</v>
      </c>
      <c r="I9" s="143">
        <v>270.90000000000003</v>
      </c>
      <c r="J9" s="143">
        <v>443.1</v>
      </c>
      <c r="K9" s="143">
        <v>541.80000000000007</v>
      </c>
      <c r="L9" s="143">
        <v>541.80000000000007</v>
      </c>
      <c r="M9" s="143">
        <v>420</v>
      </c>
      <c r="N9" s="143">
        <v>98.7</v>
      </c>
      <c r="O9" s="143">
        <v>25.200000000000003</v>
      </c>
      <c r="P9" s="143">
        <v>25.200000000000003</v>
      </c>
      <c r="Q9" s="143">
        <f>SUM(E9:P9)</f>
        <v>2469.6</v>
      </c>
      <c r="S9" s="14"/>
    </row>
    <row r="10" spans="1:19" ht="12.75" customHeight="1" x14ac:dyDescent="0.2">
      <c r="A10" s="1" t="s">
        <v>34</v>
      </c>
      <c r="B10" s="1"/>
      <c r="C10" s="1"/>
      <c r="D10" s="19"/>
      <c r="E10" s="144">
        <f t="shared" ref="E10:Q10" si="0">SUM(E8:E9)</f>
        <v>44.7</v>
      </c>
      <c r="F10" s="144">
        <f t="shared" si="0"/>
        <v>48.6</v>
      </c>
      <c r="G10" s="144">
        <f t="shared" si="0"/>
        <v>95.2</v>
      </c>
      <c r="H10" s="144">
        <f t="shared" si="0"/>
        <v>190.4</v>
      </c>
      <c r="I10" s="144">
        <f t="shared" si="0"/>
        <v>1044.9000000000001</v>
      </c>
      <c r="J10" s="144">
        <f t="shared" si="0"/>
        <v>1709.1</v>
      </c>
      <c r="K10" s="144">
        <f t="shared" si="0"/>
        <v>2089.8000000000002</v>
      </c>
      <c r="L10" s="144">
        <f t="shared" si="0"/>
        <v>2089.8000000000002</v>
      </c>
      <c r="M10" s="144">
        <f t="shared" si="0"/>
        <v>1614</v>
      </c>
      <c r="N10" s="144">
        <f t="shared" si="0"/>
        <v>380.7</v>
      </c>
      <c r="O10" s="144">
        <f t="shared" si="0"/>
        <v>137.19999999999999</v>
      </c>
      <c r="P10" s="144">
        <f t="shared" si="0"/>
        <v>89.2</v>
      </c>
      <c r="Q10" s="144">
        <f t="shared" si="0"/>
        <v>9533.6</v>
      </c>
      <c r="S10" s="52"/>
    </row>
    <row r="11" spans="1:19" ht="12.75" customHeight="1" x14ac:dyDescent="0.2">
      <c r="A11" s="1"/>
      <c r="B11" s="1"/>
      <c r="C11" s="1"/>
      <c r="D11" s="19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</row>
    <row r="12" spans="1:19" ht="12.75" customHeight="1" x14ac:dyDescent="0.2">
      <c r="A12" s="1" t="s">
        <v>35</v>
      </c>
      <c r="B12" s="1"/>
      <c r="C12" s="1"/>
      <c r="D12" s="19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</row>
    <row r="13" spans="1:19" ht="12.75" customHeight="1" x14ac:dyDescent="0.2">
      <c r="A13" s="1"/>
      <c r="B13" s="1" t="s">
        <v>72</v>
      </c>
      <c r="C13" s="1"/>
      <c r="D13" s="19"/>
      <c r="E13" s="146">
        <v>12.4</v>
      </c>
      <c r="F13" s="146">
        <v>14.061000000000002</v>
      </c>
      <c r="G13" s="146">
        <v>28.122000000000003</v>
      </c>
      <c r="H13" s="146">
        <v>56.244000000000007</v>
      </c>
      <c r="I13" s="146">
        <v>309.34200000000004</v>
      </c>
      <c r="J13" s="146">
        <v>506.19600000000003</v>
      </c>
      <c r="K13" s="146">
        <v>618.68400000000008</v>
      </c>
      <c r="L13" s="146">
        <v>618.68400000000008</v>
      </c>
      <c r="M13" s="146">
        <v>478.07400000000007</v>
      </c>
      <c r="N13" s="146">
        <v>112.48800000000001</v>
      </c>
      <c r="O13" s="146">
        <v>44.800000000000004</v>
      </c>
      <c r="P13" s="146">
        <v>25.200000000000003</v>
      </c>
      <c r="Q13" s="144">
        <f>SUM(E13:P13)</f>
        <v>2824.2950000000001</v>
      </c>
    </row>
    <row r="14" spans="1:19" ht="12.75" customHeight="1" thickBot="1" x14ac:dyDescent="0.25">
      <c r="A14" s="1"/>
      <c r="B14" s="1" t="s">
        <v>73</v>
      </c>
      <c r="C14" s="1"/>
      <c r="D14" s="19"/>
      <c r="E14" s="143">
        <v>4.3354749999999997</v>
      </c>
      <c r="F14" s="143">
        <v>4.3354749999999997</v>
      </c>
      <c r="G14" s="143">
        <v>8.6709499999999995</v>
      </c>
      <c r="H14" s="143">
        <v>17.341899999999999</v>
      </c>
      <c r="I14" s="143">
        <v>95.38045000000001</v>
      </c>
      <c r="J14" s="143">
        <v>156.0771</v>
      </c>
      <c r="K14" s="143">
        <v>190.76090000000002</v>
      </c>
      <c r="L14" s="143">
        <v>190.76090000000002</v>
      </c>
      <c r="M14" s="143">
        <v>147.40615000000003</v>
      </c>
      <c r="N14" s="143">
        <v>34.683799999999998</v>
      </c>
      <c r="O14" s="143">
        <v>8.6709499999999995</v>
      </c>
      <c r="P14" s="143">
        <v>8.6709499999999995</v>
      </c>
      <c r="Q14" s="143">
        <f>SUM(E14:P14)</f>
        <v>867.09499999999991</v>
      </c>
    </row>
    <row r="15" spans="1:19" ht="12.75" customHeight="1" x14ac:dyDescent="0.2">
      <c r="A15" s="1" t="s">
        <v>36</v>
      </c>
      <c r="B15" s="1"/>
      <c r="C15" s="1"/>
      <c r="D15" s="19"/>
      <c r="E15" s="144">
        <f t="shared" ref="E15:Q15" si="1">SUM(E13:E14)</f>
        <v>16.735475000000001</v>
      </c>
      <c r="F15" s="144">
        <f t="shared" si="1"/>
        <v>18.396475000000002</v>
      </c>
      <c r="G15" s="144">
        <f t="shared" si="1"/>
        <v>36.792950000000005</v>
      </c>
      <c r="H15" s="144">
        <f t="shared" si="1"/>
        <v>73.585900000000009</v>
      </c>
      <c r="I15" s="144">
        <f t="shared" si="1"/>
        <v>404.72245000000004</v>
      </c>
      <c r="J15" s="144">
        <f t="shared" si="1"/>
        <v>662.2731</v>
      </c>
      <c r="K15" s="144">
        <f t="shared" si="1"/>
        <v>809.44490000000008</v>
      </c>
      <c r="L15" s="144">
        <f t="shared" si="1"/>
        <v>809.44490000000008</v>
      </c>
      <c r="M15" s="144">
        <f t="shared" si="1"/>
        <v>625.48015000000009</v>
      </c>
      <c r="N15" s="144">
        <f t="shared" si="1"/>
        <v>147.17180000000002</v>
      </c>
      <c r="O15" s="144">
        <f t="shared" si="1"/>
        <v>53.470950000000002</v>
      </c>
      <c r="P15" s="144">
        <f t="shared" si="1"/>
        <v>33.870950000000001</v>
      </c>
      <c r="Q15" s="144">
        <f t="shared" si="1"/>
        <v>3691.39</v>
      </c>
    </row>
    <row r="16" spans="1:19" ht="12.75" customHeight="1" x14ac:dyDescent="0.2">
      <c r="A16" s="1"/>
      <c r="B16" s="1"/>
      <c r="C16" s="1"/>
      <c r="D16" s="19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</row>
    <row r="17" spans="1:17" ht="12.75" customHeight="1" x14ac:dyDescent="0.2">
      <c r="A17" s="1" t="s">
        <v>8</v>
      </c>
      <c r="B17" s="1"/>
      <c r="C17" s="1"/>
      <c r="D17" s="19"/>
      <c r="E17" s="147">
        <f t="shared" ref="E17:Q17" si="2">E10-E15</f>
        <v>27.964525000000002</v>
      </c>
      <c r="F17" s="147">
        <f t="shared" si="2"/>
        <v>30.203524999999999</v>
      </c>
      <c r="G17" s="147">
        <f t="shared" si="2"/>
        <v>58.407049999999998</v>
      </c>
      <c r="H17" s="147">
        <f t="shared" si="2"/>
        <v>116.8141</v>
      </c>
      <c r="I17" s="147">
        <f t="shared" si="2"/>
        <v>640.17755000000011</v>
      </c>
      <c r="J17" s="147">
        <f t="shared" si="2"/>
        <v>1046.8269</v>
      </c>
      <c r="K17" s="147">
        <f t="shared" si="2"/>
        <v>1280.3551000000002</v>
      </c>
      <c r="L17" s="147">
        <f t="shared" si="2"/>
        <v>1280.3551000000002</v>
      </c>
      <c r="M17" s="147">
        <f t="shared" si="2"/>
        <v>988.51984999999991</v>
      </c>
      <c r="N17" s="147">
        <f t="shared" si="2"/>
        <v>233.52819999999997</v>
      </c>
      <c r="O17" s="147">
        <f t="shared" si="2"/>
        <v>83.729049999999987</v>
      </c>
      <c r="P17" s="147">
        <f t="shared" si="2"/>
        <v>55.329050000000002</v>
      </c>
      <c r="Q17" s="147">
        <f t="shared" si="2"/>
        <v>5842.2100000000009</v>
      </c>
    </row>
    <row r="18" spans="1:17" x14ac:dyDescent="0.2">
      <c r="A18" s="1"/>
      <c r="B18" s="1"/>
      <c r="C18" s="1"/>
      <c r="D18" s="19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</row>
    <row r="19" spans="1:17" ht="12.75" customHeight="1" x14ac:dyDescent="0.2">
      <c r="A19" s="1" t="s">
        <v>121</v>
      </c>
      <c r="B19" s="1"/>
      <c r="C19" s="1"/>
      <c r="D19" s="19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</row>
    <row r="20" spans="1:17" ht="12.75" customHeight="1" x14ac:dyDescent="0.2">
      <c r="A20" s="1"/>
      <c r="B20" s="1" t="s">
        <v>16</v>
      </c>
      <c r="C20" s="1"/>
      <c r="D20" s="19"/>
      <c r="E20" s="146">
        <f>+E17*0.5</f>
        <v>13.982262500000001</v>
      </c>
      <c r="F20" s="146">
        <f t="shared" ref="F20:P20" si="3">+F17*0.5</f>
        <v>15.1017625</v>
      </c>
      <c r="G20" s="146">
        <f t="shared" si="3"/>
        <v>29.203524999999999</v>
      </c>
      <c r="H20" s="146">
        <f t="shared" si="3"/>
        <v>58.407049999999998</v>
      </c>
      <c r="I20" s="146">
        <f t="shared" si="3"/>
        <v>320.08877500000006</v>
      </c>
      <c r="J20" s="146">
        <f t="shared" si="3"/>
        <v>523.41345000000001</v>
      </c>
      <c r="K20" s="146">
        <f t="shared" si="3"/>
        <v>640.17755000000011</v>
      </c>
      <c r="L20" s="146">
        <f t="shared" si="3"/>
        <v>640.17755000000011</v>
      </c>
      <c r="M20" s="146">
        <f t="shared" si="3"/>
        <v>494.25992499999995</v>
      </c>
      <c r="N20" s="146">
        <f t="shared" si="3"/>
        <v>116.76409999999998</v>
      </c>
      <c r="O20" s="146">
        <f t="shared" si="3"/>
        <v>41.864524999999993</v>
      </c>
      <c r="P20" s="146">
        <f t="shared" si="3"/>
        <v>27.664525000000001</v>
      </c>
      <c r="Q20" s="144">
        <f>SUM(E20:P20)</f>
        <v>2921.105</v>
      </c>
    </row>
    <row r="21" spans="1:17" ht="12.75" thickBot="1" x14ac:dyDescent="0.25">
      <c r="A21" s="1"/>
      <c r="B21" s="1" t="str">
        <f>'6. Projected Payroll'!A15</f>
        <v>Payroll Taxes</v>
      </c>
      <c r="C21" s="1"/>
      <c r="D21" s="19"/>
      <c r="E21" s="143">
        <f>+E20*7.65%</f>
        <v>1.06964308125</v>
      </c>
      <c r="F21" s="143">
        <f t="shared" ref="F21:P21" si="4">+F20*7.65%</f>
        <v>1.1552848312499999</v>
      </c>
      <c r="G21" s="143">
        <f t="shared" si="4"/>
        <v>2.2340696625000001</v>
      </c>
      <c r="H21" s="143">
        <f t="shared" si="4"/>
        <v>4.4681393250000001</v>
      </c>
      <c r="I21" s="143">
        <f t="shared" si="4"/>
        <v>24.486791287500004</v>
      </c>
      <c r="J21" s="143">
        <f t="shared" si="4"/>
        <v>40.041128925000002</v>
      </c>
      <c r="K21" s="143">
        <f t="shared" si="4"/>
        <v>48.973582575000009</v>
      </c>
      <c r="L21" s="143">
        <f t="shared" si="4"/>
        <v>48.973582575000009</v>
      </c>
      <c r="M21" s="143">
        <f t="shared" si="4"/>
        <v>37.810884262499997</v>
      </c>
      <c r="N21" s="143">
        <f t="shared" si="4"/>
        <v>8.9324536499999994</v>
      </c>
      <c r="O21" s="143">
        <f t="shared" si="4"/>
        <v>3.2026361624999993</v>
      </c>
      <c r="P21" s="143">
        <f t="shared" si="4"/>
        <v>2.1163361625000001</v>
      </c>
      <c r="Q21" s="143">
        <f>SUM(E21:P21)</f>
        <v>223.46453250000002</v>
      </c>
    </row>
    <row r="22" spans="1:17" ht="12.75" customHeight="1" collapsed="1" x14ac:dyDescent="0.2">
      <c r="A22" s="1" t="s">
        <v>39</v>
      </c>
      <c r="B22" s="1"/>
      <c r="C22" s="1"/>
      <c r="D22" s="19"/>
      <c r="E22" s="144">
        <f t="shared" ref="E22:Q22" si="5">SUM(E20:E21)</f>
        <v>15.051905581250001</v>
      </c>
      <c r="F22" s="144">
        <f t="shared" si="5"/>
        <v>16.25704733125</v>
      </c>
      <c r="G22" s="144">
        <f t="shared" si="5"/>
        <v>31.4375946625</v>
      </c>
      <c r="H22" s="144">
        <f t="shared" si="5"/>
        <v>62.875189325000001</v>
      </c>
      <c r="I22" s="144">
        <f t="shared" si="5"/>
        <v>344.57556628750007</v>
      </c>
      <c r="J22" s="144">
        <f t="shared" si="5"/>
        <v>563.45457892499996</v>
      </c>
      <c r="K22" s="144">
        <f t="shared" si="5"/>
        <v>689.15113257500013</v>
      </c>
      <c r="L22" s="144">
        <f t="shared" si="5"/>
        <v>689.15113257500013</v>
      </c>
      <c r="M22" s="144">
        <f t="shared" si="5"/>
        <v>532.07080926250001</v>
      </c>
      <c r="N22" s="144">
        <f t="shared" si="5"/>
        <v>125.69655364999998</v>
      </c>
      <c r="O22" s="144">
        <f t="shared" si="5"/>
        <v>45.067161162499993</v>
      </c>
      <c r="P22" s="144">
        <f t="shared" si="5"/>
        <v>29.780861162500003</v>
      </c>
      <c r="Q22" s="144">
        <f t="shared" si="5"/>
        <v>3144.5695325000002</v>
      </c>
    </row>
    <row r="23" spans="1:17" ht="12.75" customHeight="1" x14ac:dyDescent="0.2">
      <c r="A23" s="1"/>
      <c r="B23" s="1"/>
      <c r="C23" s="1"/>
      <c r="D23" s="19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</row>
    <row r="24" spans="1:17" ht="12.75" customHeight="1" x14ac:dyDescent="0.2">
      <c r="A24" s="1" t="s">
        <v>38</v>
      </c>
      <c r="B24" s="1"/>
      <c r="C24" s="1"/>
      <c r="D24" s="19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</row>
    <row r="25" spans="1:17" ht="12.75" customHeight="1" x14ac:dyDescent="0.2">
      <c r="A25" s="1"/>
      <c r="B25" s="1" t="s">
        <v>22</v>
      </c>
      <c r="C25" s="1"/>
      <c r="D25" s="19"/>
      <c r="E25" s="146">
        <v>0</v>
      </c>
      <c r="F25" s="146">
        <v>0</v>
      </c>
      <c r="G25" s="146">
        <v>0</v>
      </c>
      <c r="H25" s="146">
        <v>15</v>
      </c>
      <c r="I25" s="146">
        <v>22</v>
      </c>
      <c r="J25" s="146">
        <v>30</v>
      </c>
      <c r="K25" s="146">
        <v>35</v>
      </c>
      <c r="L25" s="146">
        <v>34</v>
      </c>
      <c r="M25" s="146">
        <v>20</v>
      </c>
      <c r="N25" s="146">
        <v>11</v>
      </c>
      <c r="O25" s="146">
        <v>0</v>
      </c>
      <c r="P25" s="146">
        <v>0</v>
      </c>
      <c r="Q25" s="146">
        <f t="shared" ref="Q25:Q30" si="6">SUM(E25:P25)</f>
        <v>167</v>
      </c>
    </row>
    <row r="26" spans="1:17" ht="12.75" customHeight="1" x14ac:dyDescent="0.2">
      <c r="A26" s="1"/>
      <c r="B26" s="1" t="s">
        <v>69</v>
      </c>
      <c r="C26" s="1"/>
      <c r="D26" s="19"/>
      <c r="E26" s="146">
        <v>3</v>
      </c>
      <c r="F26" s="146">
        <v>3</v>
      </c>
      <c r="G26" s="146">
        <v>3</v>
      </c>
      <c r="H26" s="146">
        <v>3</v>
      </c>
      <c r="I26" s="146">
        <v>3</v>
      </c>
      <c r="J26" s="146">
        <v>3</v>
      </c>
      <c r="K26" s="146">
        <v>3</v>
      </c>
      <c r="L26" s="146">
        <v>3</v>
      </c>
      <c r="M26" s="146">
        <v>3</v>
      </c>
      <c r="N26" s="146">
        <v>3</v>
      </c>
      <c r="O26" s="146">
        <v>3</v>
      </c>
      <c r="P26" s="146">
        <v>3</v>
      </c>
      <c r="Q26" s="146">
        <f t="shared" si="6"/>
        <v>36</v>
      </c>
    </row>
    <row r="27" spans="1:17" ht="12.75" customHeight="1" x14ac:dyDescent="0.2">
      <c r="A27" s="1"/>
      <c r="B27" s="1" t="s">
        <v>23</v>
      </c>
      <c r="C27" s="1"/>
      <c r="D27" s="19"/>
      <c r="E27" s="146">
        <v>2</v>
      </c>
      <c r="F27" s="146">
        <v>2</v>
      </c>
      <c r="G27" s="146">
        <v>2</v>
      </c>
      <c r="H27" s="146">
        <v>2</v>
      </c>
      <c r="I27" s="146">
        <v>2</v>
      </c>
      <c r="J27" s="146">
        <v>2</v>
      </c>
      <c r="K27" s="146">
        <v>2</v>
      </c>
      <c r="L27" s="146">
        <v>2</v>
      </c>
      <c r="M27" s="146">
        <v>2</v>
      </c>
      <c r="N27" s="146">
        <v>2</v>
      </c>
      <c r="O27" s="146">
        <v>2</v>
      </c>
      <c r="P27" s="146">
        <v>2</v>
      </c>
      <c r="Q27" s="146">
        <f t="shared" si="6"/>
        <v>24</v>
      </c>
    </row>
    <row r="28" spans="1:17" ht="12.75" customHeight="1" x14ac:dyDescent="0.2">
      <c r="A28" s="1"/>
      <c r="B28" s="1" t="s">
        <v>83</v>
      </c>
      <c r="C28" s="1"/>
      <c r="D28" s="19"/>
      <c r="E28" s="146">
        <v>1</v>
      </c>
      <c r="F28" s="148">
        <v>1</v>
      </c>
      <c r="G28" s="148">
        <v>1</v>
      </c>
      <c r="H28" s="148">
        <v>2</v>
      </c>
      <c r="I28" s="148">
        <v>2</v>
      </c>
      <c r="J28" s="148">
        <v>3</v>
      </c>
      <c r="K28" s="148">
        <v>3</v>
      </c>
      <c r="L28" s="148">
        <v>3</v>
      </c>
      <c r="M28" s="148">
        <v>2</v>
      </c>
      <c r="N28" s="148">
        <v>1</v>
      </c>
      <c r="O28" s="148">
        <v>1</v>
      </c>
      <c r="P28" s="148">
        <v>1</v>
      </c>
      <c r="Q28" s="148">
        <f t="shared" si="6"/>
        <v>21</v>
      </c>
    </row>
    <row r="29" spans="1:17" ht="12.75" customHeight="1" x14ac:dyDescent="0.2">
      <c r="A29" s="1"/>
      <c r="B29" s="1" t="s">
        <v>87</v>
      </c>
      <c r="C29" s="1"/>
      <c r="D29" s="19"/>
      <c r="E29" s="146">
        <f>+E15*0.08</f>
        <v>1.3388380000000002</v>
      </c>
      <c r="F29" s="148">
        <f t="shared" ref="F29:P29" si="7">+F15*0.08</f>
        <v>1.4717180000000003</v>
      </c>
      <c r="G29" s="148">
        <f t="shared" si="7"/>
        <v>2.9434360000000006</v>
      </c>
      <c r="H29" s="148">
        <f t="shared" si="7"/>
        <v>5.8868720000000012</v>
      </c>
      <c r="I29" s="148">
        <f t="shared" si="7"/>
        <v>32.377796000000004</v>
      </c>
      <c r="J29" s="148">
        <f t="shared" si="7"/>
        <v>52.981847999999999</v>
      </c>
      <c r="K29" s="148">
        <f t="shared" si="7"/>
        <v>64.755592000000007</v>
      </c>
      <c r="L29" s="148">
        <f t="shared" si="7"/>
        <v>64.755592000000007</v>
      </c>
      <c r="M29" s="148">
        <f t="shared" si="7"/>
        <v>50.038412000000008</v>
      </c>
      <c r="N29" s="148">
        <f t="shared" si="7"/>
        <v>11.773744000000002</v>
      </c>
      <c r="O29" s="148">
        <f t="shared" si="7"/>
        <v>4.2776760000000005</v>
      </c>
      <c r="P29" s="148">
        <f t="shared" si="7"/>
        <v>2.709676</v>
      </c>
      <c r="Q29" s="148">
        <f t="shared" si="6"/>
        <v>295.31120000000004</v>
      </c>
    </row>
    <row r="30" spans="1:17" ht="12.75" customHeight="1" thickBot="1" x14ac:dyDescent="0.25">
      <c r="A30" s="1"/>
      <c r="B30" s="1" t="s">
        <v>68</v>
      </c>
      <c r="C30" s="1"/>
      <c r="D30" s="19"/>
      <c r="E30" s="143">
        <v>2</v>
      </c>
      <c r="F30" s="143">
        <v>2</v>
      </c>
      <c r="G30" s="143">
        <v>2</v>
      </c>
      <c r="H30" s="143">
        <v>2</v>
      </c>
      <c r="I30" s="143">
        <v>2</v>
      </c>
      <c r="J30" s="143">
        <v>2</v>
      </c>
      <c r="K30" s="143">
        <v>2</v>
      </c>
      <c r="L30" s="143">
        <v>2</v>
      </c>
      <c r="M30" s="143">
        <v>2</v>
      </c>
      <c r="N30" s="143">
        <v>2</v>
      </c>
      <c r="O30" s="143">
        <v>2</v>
      </c>
      <c r="P30" s="143">
        <v>2</v>
      </c>
      <c r="Q30" s="143">
        <f t="shared" si="6"/>
        <v>24</v>
      </c>
    </row>
    <row r="31" spans="1:17" ht="12.75" customHeight="1" x14ac:dyDescent="0.2">
      <c r="A31" s="1" t="s">
        <v>37</v>
      </c>
      <c r="B31" s="1"/>
      <c r="C31" s="1"/>
      <c r="D31" s="19"/>
      <c r="E31" s="146">
        <f t="shared" ref="E31:Q31" si="8">SUM(E25:E30)</f>
        <v>9.3388379999999991</v>
      </c>
      <c r="F31" s="146">
        <f t="shared" si="8"/>
        <v>9.4717179999999992</v>
      </c>
      <c r="G31" s="146">
        <f t="shared" si="8"/>
        <v>10.943436</v>
      </c>
      <c r="H31" s="146">
        <f t="shared" si="8"/>
        <v>29.886872</v>
      </c>
      <c r="I31" s="146">
        <f t="shared" si="8"/>
        <v>63.377796000000004</v>
      </c>
      <c r="J31" s="146">
        <f t="shared" si="8"/>
        <v>92.981847999999999</v>
      </c>
      <c r="K31" s="146">
        <f t="shared" si="8"/>
        <v>109.75559200000001</v>
      </c>
      <c r="L31" s="146">
        <f t="shared" si="8"/>
        <v>108.75559200000001</v>
      </c>
      <c r="M31" s="146">
        <f t="shared" si="8"/>
        <v>79.038412000000008</v>
      </c>
      <c r="N31" s="146">
        <f t="shared" si="8"/>
        <v>30.773744000000001</v>
      </c>
      <c r="O31" s="146">
        <f t="shared" si="8"/>
        <v>12.277676</v>
      </c>
      <c r="P31" s="146">
        <f t="shared" si="8"/>
        <v>10.709676</v>
      </c>
      <c r="Q31" s="146">
        <f t="shared" si="8"/>
        <v>567.3112000000001</v>
      </c>
    </row>
    <row r="32" spans="1:17" ht="12.75" customHeight="1" x14ac:dyDescent="0.2">
      <c r="A32" s="1"/>
      <c r="B32" s="1"/>
      <c r="C32" s="1"/>
      <c r="D32" s="19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</row>
    <row r="33" spans="1:17" ht="12.75" customHeight="1" x14ac:dyDescent="0.2">
      <c r="A33" s="1" t="s">
        <v>85</v>
      </c>
      <c r="B33" s="1"/>
      <c r="C33" s="1"/>
      <c r="D33" s="19"/>
      <c r="E33" s="147">
        <f>+E17-E22-E31</f>
        <v>3.5737814187500021</v>
      </c>
      <c r="F33" s="147">
        <f t="shared" ref="F33:Q33" si="9">+F17-F22-F31</f>
        <v>4.47475966875</v>
      </c>
      <c r="G33" s="147">
        <f t="shared" si="9"/>
        <v>16.026019337499996</v>
      </c>
      <c r="H33" s="147">
        <f t="shared" si="9"/>
        <v>24.052038674999995</v>
      </c>
      <c r="I33" s="147">
        <f t="shared" si="9"/>
        <v>232.22418771250005</v>
      </c>
      <c r="J33" s="147">
        <f t="shared" si="9"/>
        <v>390.39047307500005</v>
      </c>
      <c r="K33" s="147">
        <f t="shared" si="9"/>
        <v>481.44837542500011</v>
      </c>
      <c r="L33" s="147">
        <f t="shared" si="9"/>
        <v>482.44837542500011</v>
      </c>
      <c r="M33" s="147">
        <f t="shared" si="9"/>
        <v>377.41062873749991</v>
      </c>
      <c r="N33" s="147">
        <f t="shared" si="9"/>
        <v>77.057902349999978</v>
      </c>
      <c r="O33" s="147">
        <f t="shared" si="9"/>
        <v>26.384212837499994</v>
      </c>
      <c r="P33" s="147">
        <f t="shared" si="9"/>
        <v>14.8385128375</v>
      </c>
      <c r="Q33" s="147">
        <f t="shared" si="9"/>
        <v>2130.3292675000007</v>
      </c>
    </row>
    <row r="34" spans="1:17" ht="12.75" customHeight="1" x14ac:dyDescent="0.2">
      <c r="A34" s="1"/>
      <c r="B34" s="1"/>
      <c r="C34" s="1"/>
      <c r="D34" s="19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</row>
    <row r="35" spans="1:17" ht="12.75" customHeight="1" x14ac:dyDescent="0.2">
      <c r="A35" s="1" t="s">
        <v>25</v>
      </c>
      <c r="B35" s="1"/>
      <c r="C35" s="1"/>
      <c r="D35" s="19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</row>
    <row r="36" spans="1:17" ht="12.75" customHeight="1" x14ac:dyDescent="0.2">
      <c r="A36" s="1"/>
      <c r="B36" s="1" t="s">
        <v>1</v>
      </c>
      <c r="C36" s="1"/>
      <c r="D36" s="19"/>
      <c r="E36" s="146">
        <v>5.8330000000000002</v>
      </c>
      <c r="F36" s="146">
        <v>5.8330000000000002</v>
      </c>
      <c r="G36" s="146">
        <v>5.8330000000000002</v>
      </c>
      <c r="H36" s="146">
        <v>5.8330000000000002</v>
      </c>
      <c r="I36" s="146">
        <v>5.8330000000000002</v>
      </c>
      <c r="J36" s="146">
        <v>5.8330000000000002</v>
      </c>
      <c r="K36" s="146">
        <v>5.8330000000000002</v>
      </c>
      <c r="L36" s="146">
        <v>5.8330000000000002</v>
      </c>
      <c r="M36" s="146">
        <v>5.8330000000000002</v>
      </c>
      <c r="N36" s="146">
        <v>5.8330000000000002</v>
      </c>
      <c r="O36" s="146">
        <v>5.8330000000000002</v>
      </c>
      <c r="P36" s="146">
        <v>5.8330000000000002</v>
      </c>
      <c r="Q36" s="146">
        <f>SUM(E36:P36)</f>
        <v>69.995999999999995</v>
      </c>
    </row>
    <row r="37" spans="1:17" ht="12.75" customHeight="1" thickBot="1" x14ac:dyDescent="0.25">
      <c r="A37" s="1"/>
      <c r="B37" s="1" t="s">
        <v>84</v>
      </c>
      <c r="C37" s="1"/>
      <c r="D37" s="19"/>
      <c r="E37" s="149">
        <v>3.3333333333333339</v>
      </c>
      <c r="F37" s="149">
        <v>3.2511010040174533</v>
      </c>
      <c r="G37" s="149">
        <v>3.1683204591727998</v>
      </c>
      <c r="H37" s="149">
        <v>3.0849880440291826</v>
      </c>
      <c r="I37" s="149">
        <v>3.0011000794512741</v>
      </c>
      <c r="J37" s="149">
        <v>2.9166528617761802</v>
      </c>
      <c r="K37" s="149">
        <v>2.8316426626499185</v>
      </c>
      <c r="L37" s="149">
        <v>2.7460657288628147</v>
      </c>
      <c r="M37" s="149">
        <v>2.6599182821837974</v>
      </c>
      <c r="N37" s="149">
        <v>2.5731965191935866</v>
      </c>
      <c r="O37" s="149">
        <v>2.485896611116774</v>
      </c>
      <c r="P37" s="149">
        <v>2.398014703652783</v>
      </c>
      <c r="Q37" s="143">
        <f>SUM(E37:P37)</f>
        <v>34.450230289439901</v>
      </c>
    </row>
    <row r="38" spans="1:17" ht="12.75" customHeight="1" x14ac:dyDescent="0.2">
      <c r="A38" s="1" t="s">
        <v>26</v>
      </c>
      <c r="B38" s="1"/>
      <c r="C38" s="1"/>
      <c r="D38" s="19"/>
      <c r="E38" s="146">
        <f t="shared" ref="E38:Q38" si="10">SUM(E36:E37)</f>
        <v>9.1663333333333341</v>
      </c>
      <c r="F38" s="146">
        <f t="shared" si="10"/>
        <v>9.0841010040174535</v>
      </c>
      <c r="G38" s="146">
        <f t="shared" si="10"/>
        <v>9.0013204591727991</v>
      </c>
      <c r="H38" s="146">
        <f t="shared" si="10"/>
        <v>8.9179880440291832</v>
      </c>
      <c r="I38" s="146">
        <f t="shared" si="10"/>
        <v>8.8341000794512752</v>
      </c>
      <c r="J38" s="146">
        <f t="shared" si="10"/>
        <v>8.7496528617761804</v>
      </c>
      <c r="K38" s="146">
        <f t="shared" si="10"/>
        <v>8.6646426626499178</v>
      </c>
      <c r="L38" s="146">
        <f t="shared" si="10"/>
        <v>8.5790657288628154</v>
      </c>
      <c r="M38" s="146">
        <f t="shared" si="10"/>
        <v>8.4929182821837976</v>
      </c>
      <c r="N38" s="146">
        <f t="shared" si="10"/>
        <v>8.4061965191935872</v>
      </c>
      <c r="O38" s="146">
        <f t="shared" si="10"/>
        <v>8.3188966111167737</v>
      </c>
      <c r="P38" s="146">
        <f t="shared" si="10"/>
        <v>8.2310147036527823</v>
      </c>
      <c r="Q38" s="146">
        <f t="shared" si="10"/>
        <v>104.4462302894399</v>
      </c>
    </row>
    <row r="39" spans="1:17" ht="12.75" customHeight="1" x14ac:dyDescent="0.2">
      <c r="A39" s="1"/>
      <c r="B39" s="1"/>
      <c r="C39" s="1"/>
      <c r="D39" s="19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</row>
    <row r="40" spans="1:17" ht="15.95" customHeight="1" thickBot="1" x14ac:dyDescent="0.25">
      <c r="A40" s="1" t="s">
        <v>40</v>
      </c>
      <c r="B40" s="1"/>
      <c r="C40" s="1"/>
      <c r="D40" s="19"/>
      <c r="E40" s="151">
        <f t="shared" ref="E40:Q40" si="11">E17-E22-E31-E38</f>
        <v>-5.592551914583332</v>
      </c>
      <c r="F40" s="151">
        <f t="shared" si="11"/>
        <v>-4.6093413352674535</v>
      </c>
      <c r="G40" s="151">
        <f t="shared" si="11"/>
        <v>7.0246988783271966</v>
      </c>
      <c r="H40" s="151">
        <f t="shared" si="11"/>
        <v>15.134050630970812</v>
      </c>
      <c r="I40" s="151">
        <f t="shared" si="11"/>
        <v>223.39008763304878</v>
      </c>
      <c r="J40" s="151">
        <f t="shared" si="11"/>
        <v>381.64082021322389</v>
      </c>
      <c r="K40" s="151">
        <f t="shared" si="11"/>
        <v>472.78373276235021</v>
      </c>
      <c r="L40" s="151">
        <f t="shared" si="11"/>
        <v>473.86930969613729</v>
      </c>
      <c r="M40" s="151">
        <f t="shared" si="11"/>
        <v>368.91771045531613</v>
      </c>
      <c r="N40" s="151">
        <f t="shared" si="11"/>
        <v>68.651705830806392</v>
      </c>
      <c r="O40" s="151">
        <f t="shared" si="11"/>
        <v>18.065316226383221</v>
      </c>
      <c r="P40" s="151">
        <f t="shared" si="11"/>
        <v>6.6074981338472174</v>
      </c>
      <c r="Q40" s="151">
        <f t="shared" si="11"/>
        <v>2025.8830372105608</v>
      </c>
    </row>
    <row r="41" spans="1:17" ht="12.75" customHeight="1" thickTop="1" x14ac:dyDescent="0.2">
      <c r="A41" s="1"/>
      <c r="B41" s="1"/>
      <c r="C41" s="1"/>
      <c r="D41" s="19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</row>
    <row r="42" spans="1:17" ht="12.75" customHeight="1" x14ac:dyDescent="0.2">
      <c r="A42" s="1" t="s">
        <v>86</v>
      </c>
      <c r="B42" s="1"/>
      <c r="C42" s="1"/>
      <c r="D42" s="19"/>
      <c r="E42" s="152">
        <f t="shared" ref="E42:Q42" si="12">+E40+E36</f>
        <v>0.24044808541666818</v>
      </c>
      <c r="F42" s="152">
        <f t="shared" si="12"/>
        <v>1.2236586647325467</v>
      </c>
      <c r="G42" s="152">
        <f t="shared" si="12"/>
        <v>12.857698878327197</v>
      </c>
      <c r="H42" s="152">
        <f t="shared" si="12"/>
        <v>20.96705063097081</v>
      </c>
      <c r="I42" s="152">
        <f t="shared" si="12"/>
        <v>229.22308763304878</v>
      </c>
      <c r="J42" s="152">
        <f t="shared" si="12"/>
        <v>387.47382021322392</v>
      </c>
      <c r="K42" s="152">
        <f t="shared" si="12"/>
        <v>478.61673276235024</v>
      </c>
      <c r="L42" s="152">
        <f t="shared" si="12"/>
        <v>479.70230969613732</v>
      </c>
      <c r="M42" s="152">
        <f t="shared" si="12"/>
        <v>374.75071045531615</v>
      </c>
      <c r="N42" s="152">
        <f t="shared" si="12"/>
        <v>74.484705830806391</v>
      </c>
      <c r="O42" s="152">
        <f t="shared" si="12"/>
        <v>23.898316226383223</v>
      </c>
      <c r="P42" s="152">
        <f t="shared" si="12"/>
        <v>12.440498133847218</v>
      </c>
      <c r="Q42" s="152">
        <f t="shared" si="12"/>
        <v>2095.8790372105609</v>
      </c>
    </row>
    <row r="43" spans="1:17" ht="12.75" customHeight="1" x14ac:dyDescent="0.2">
      <c r="A43" s="1"/>
      <c r="B43" s="1"/>
      <c r="C43" s="1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1:17" ht="12.75" customHeight="1" x14ac:dyDescent="0.2">
      <c r="P44" s="14"/>
    </row>
    <row r="45" spans="1:17" ht="12.75" customHeight="1" x14ac:dyDescent="0.2"/>
    <row r="46" spans="1:17" ht="12.75" customHeight="1" x14ac:dyDescent="0.2"/>
    <row r="47" spans="1:17" ht="12.75" customHeight="1" x14ac:dyDescent="0.2"/>
    <row r="48" spans="1:1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</sheetData>
  <pageMargins left="0.7" right="0.7" top="0.75" bottom="0.75" header="0.3" footer="0.3"/>
  <pageSetup scale="5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59999389629810485"/>
    <pageSetUpPr fitToPage="1"/>
  </sheetPr>
  <dimension ref="A1:G20"/>
  <sheetViews>
    <sheetView showGridLines="0" zoomScaleNormal="100" workbookViewId="0">
      <pane ySplit="5" topLeftCell="A6" activePane="bottomLeft" state="frozen"/>
      <selection activeCell="P8" sqref="P8"/>
      <selection pane="bottomLeft" activeCell="C6" sqref="C6:C17"/>
    </sheetView>
  </sheetViews>
  <sheetFormatPr defaultRowHeight="12" x14ac:dyDescent="0.2"/>
  <cols>
    <col min="1" max="1" width="9.85546875" style="10" bestFit="1" customWidth="1"/>
    <col min="2" max="2" width="22.42578125" style="10" bestFit="1" customWidth="1"/>
    <col min="3" max="3" width="27.5703125" bestFit="1" customWidth="1"/>
    <col min="4" max="4" width="15.42578125" bestFit="1" customWidth="1"/>
    <col min="5" max="5" width="25.28515625" style="10" bestFit="1" customWidth="1"/>
    <col min="6" max="6" width="30.5703125" bestFit="1" customWidth="1"/>
    <col min="7" max="7" width="12.28515625" style="66" bestFit="1" customWidth="1"/>
  </cols>
  <sheetData>
    <row r="1" spans="1:7" ht="15.75" x14ac:dyDescent="0.25">
      <c r="A1" s="3" t="s">
        <v>88</v>
      </c>
    </row>
    <row r="2" spans="1:7" ht="15.75" x14ac:dyDescent="0.25">
      <c r="A2" s="3" t="s">
        <v>145</v>
      </c>
    </row>
    <row r="4" spans="1:7" ht="12.75" thickBot="1" x14ac:dyDescent="0.25"/>
    <row r="5" spans="1:7" ht="15.75" thickBot="1" x14ac:dyDescent="0.3">
      <c r="A5" s="208" t="s">
        <v>94</v>
      </c>
      <c r="B5" s="209" t="s">
        <v>77</v>
      </c>
      <c r="C5" s="209" t="s">
        <v>78</v>
      </c>
      <c r="D5" s="210" t="s">
        <v>107</v>
      </c>
      <c r="E5" s="209" t="s">
        <v>108</v>
      </c>
      <c r="F5" s="209" t="s">
        <v>109</v>
      </c>
      <c r="G5" s="211" t="s">
        <v>110</v>
      </c>
    </row>
    <row r="6" spans="1:7" x14ac:dyDescent="0.2">
      <c r="A6" s="201" t="s">
        <v>95</v>
      </c>
      <c r="B6" s="198">
        <v>15</v>
      </c>
      <c r="C6" s="198">
        <v>7</v>
      </c>
      <c r="D6" s="200">
        <f t="shared" ref="D6:D17" si="0">+C6+B6</f>
        <v>22</v>
      </c>
      <c r="E6" s="199">
        <v>2</v>
      </c>
      <c r="F6" s="199">
        <v>2.1</v>
      </c>
      <c r="G6" s="202">
        <f>+E6*B6+F6*C6</f>
        <v>44.7</v>
      </c>
    </row>
    <row r="7" spans="1:7" x14ac:dyDescent="0.2">
      <c r="A7" s="201" t="s">
        <v>96</v>
      </c>
      <c r="B7" s="198">
        <v>18</v>
      </c>
      <c r="C7" s="198">
        <v>6</v>
      </c>
      <c r="D7" s="200">
        <f t="shared" si="0"/>
        <v>24</v>
      </c>
      <c r="E7" s="199">
        <v>2</v>
      </c>
      <c r="F7" s="199">
        <v>2.1</v>
      </c>
      <c r="G7" s="202">
        <f t="shared" ref="G7:G17" si="1">+E7*B7+F7*C7</f>
        <v>48.6</v>
      </c>
    </row>
    <row r="8" spans="1:7" x14ac:dyDescent="0.2">
      <c r="A8" s="201" t="s">
        <v>97</v>
      </c>
      <c r="B8" s="198">
        <v>35</v>
      </c>
      <c r="C8" s="198">
        <v>12</v>
      </c>
      <c r="D8" s="200">
        <f t="shared" si="0"/>
        <v>47</v>
      </c>
      <c r="E8" s="199">
        <v>2</v>
      </c>
      <c r="F8" s="199">
        <v>2.1</v>
      </c>
      <c r="G8" s="202">
        <f t="shared" si="1"/>
        <v>95.2</v>
      </c>
    </row>
    <row r="9" spans="1:7" x14ac:dyDescent="0.2">
      <c r="A9" s="201" t="s">
        <v>98</v>
      </c>
      <c r="B9" s="198">
        <v>70</v>
      </c>
      <c r="C9" s="198">
        <v>24</v>
      </c>
      <c r="D9" s="200">
        <f t="shared" si="0"/>
        <v>94</v>
      </c>
      <c r="E9" s="199">
        <v>2</v>
      </c>
      <c r="F9" s="199">
        <v>2.1</v>
      </c>
      <c r="G9" s="202">
        <f t="shared" si="1"/>
        <v>190.4</v>
      </c>
    </row>
    <row r="10" spans="1:7" x14ac:dyDescent="0.2">
      <c r="A10" s="201" t="s">
        <v>70</v>
      </c>
      <c r="B10" s="198">
        <v>387</v>
      </c>
      <c r="C10" s="198">
        <v>129</v>
      </c>
      <c r="D10" s="200">
        <f t="shared" si="0"/>
        <v>516</v>
      </c>
      <c r="E10" s="199">
        <v>2</v>
      </c>
      <c r="F10" s="199">
        <v>2.1</v>
      </c>
      <c r="G10" s="202">
        <f t="shared" si="1"/>
        <v>1044.9000000000001</v>
      </c>
    </row>
    <row r="11" spans="1:7" x14ac:dyDescent="0.2">
      <c r="A11" s="201" t="s">
        <v>99</v>
      </c>
      <c r="B11" s="198">
        <v>633</v>
      </c>
      <c r="C11" s="198">
        <v>211</v>
      </c>
      <c r="D11" s="200">
        <f t="shared" si="0"/>
        <v>844</v>
      </c>
      <c r="E11" s="199">
        <v>2</v>
      </c>
      <c r="F11" s="199">
        <v>2.1</v>
      </c>
      <c r="G11" s="202">
        <f t="shared" si="1"/>
        <v>1709.1</v>
      </c>
    </row>
    <row r="12" spans="1:7" x14ac:dyDescent="0.2">
      <c r="A12" s="201" t="s">
        <v>100</v>
      </c>
      <c r="B12" s="198">
        <v>774</v>
      </c>
      <c r="C12" s="198">
        <v>258</v>
      </c>
      <c r="D12" s="200">
        <f t="shared" si="0"/>
        <v>1032</v>
      </c>
      <c r="E12" s="199">
        <v>2</v>
      </c>
      <c r="F12" s="199">
        <v>2.1</v>
      </c>
      <c r="G12" s="202">
        <f t="shared" si="1"/>
        <v>2089.8000000000002</v>
      </c>
    </row>
    <row r="13" spans="1:7" x14ac:dyDescent="0.2">
      <c r="A13" s="201" t="s">
        <v>101</v>
      </c>
      <c r="B13" s="198">
        <v>774</v>
      </c>
      <c r="C13" s="198">
        <v>258</v>
      </c>
      <c r="D13" s="200">
        <f t="shared" si="0"/>
        <v>1032</v>
      </c>
      <c r="E13" s="199">
        <v>2</v>
      </c>
      <c r="F13" s="199">
        <v>2.1</v>
      </c>
      <c r="G13" s="202">
        <f t="shared" si="1"/>
        <v>2089.8000000000002</v>
      </c>
    </row>
    <row r="14" spans="1:7" x14ac:dyDescent="0.2">
      <c r="A14" s="201" t="s">
        <v>102</v>
      </c>
      <c r="B14" s="198">
        <v>597</v>
      </c>
      <c r="C14" s="198">
        <v>200</v>
      </c>
      <c r="D14" s="200">
        <f t="shared" si="0"/>
        <v>797</v>
      </c>
      <c r="E14" s="199">
        <v>2</v>
      </c>
      <c r="F14" s="199">
        <v>2.1</v>
      </c>
      <c r="G14" s="202">
        <f t="shared" si="1"/>
        <v>1614</v>
      </c>
    </row>
    <row r="15" spans="1:7" x14ac:dyDescent="0.2">
      <c r="A15" s="201" t="s">
        <v>103</v>
      </c>
      <c r="B15" s="198">
        <v>141</v>
      </c>
      <c r="C15" s="198">
        <v>47</v>
      </c>
      <c r="D15" s="200">
        <f t="shared" si="0"/>
        <v>188</v>
      </c>
      <c r="E15" s="199">
        <v>2</v>
      </c>
      <c r="F15" s="199">
        <v>2.1</v>
      </c>
      <c r="G15" s="202">
        <f t="shared" si="1"/>
        <v>380.7</v>
      </c>
    </row>
    <row r="16" spans="1:7" x14ac:dyDescent="0.2">
      <c r="A16" s="201" t="s">
        <v>104</v>
      </c>
      <c r="B16" s="198">
        <v>56</v>
      </c>
      <c r="C16" s="198">
        <v>12</v>
      </c>
      <c r="D16" s="200">
        <f t="shared" si="0"/>
        <v>68</v>
      </c>
      <c r="E16" s="199">
        <v>2</v>
      </c>
      <c r="F16" s="199">
        <v>2.1</v>
      </c>
      <c r="G16" s="202">
        <f t="shared" si="1"/>
        <v>137.19999999999999</v>
      </c>
    </row>
    <row r="17" spans="1:7" ht="12.75" thickBot="1" x14ac:dyDescent="0.25">
      <c r="A17" s="203" t="s">
        <v>105</v>
      </c>
      <c r="B17" s="204">
        <v>32</v>
      </c>
      <c r="C17" s="204">
        <v>12</v>
      </c>
      <c r="D17" s="205">
        <f t="shared" si="0"/>
        <v>44</v>
      </c>
      <c r="E17" s="206">
        <v>2</v>
      </c>
      <c r="F17" s="206">
        <v>2.1</v>
      </c>
      <c r="G17" s="207">
        <f t="shared" si="1"/>
        <v>89.2</v>
      </c>
    </row>
    <row r="18" spans="1:7" x14ac:dyDescent="0.2">
      <c r="B18" s="54"/>
      <c r="C18" s="54"/>
      <c r="D18" s="54"/>
      <c r="E18" s="54"/>
    </row>
    <row r="20" spans="1:7" x14ac:dyDescent="0.2">
      <c r="D20" s="17"/>
    </row>
  </sheetData>
  <pageMargins left="0.7" right="0.7" top="0.75" bottom="0.75" header="0.3" footer="0.3"/>
  <pageSetup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3">
    <pageSetUpPr fitToPage="1"/>
  </sheetPr>
  <dimension ref="B2:C28"/>
  <sheetViews>
    <sheetView showGridLines="0" zoomScaleNormal="100" workbookViewId="0">
      <selection activeCell="F43" sqref="F43"/>
    </sheetView>
  </sheetViews>
  <sheetFormatPr defaultRowHeight="12" x14ac:dyDescent="0.2"/>
  <sheetData>
    <row r="2" spans="2:3" ht="18" x14ac:dyDescent="0.25">
      <c r="B2" s="172" t="s">
        <v>132</v>
      </c>
    </row>
    <row r="4" spans="2:3" x14ac:dyDescent="0.2">
      <c r="B4" s="17" t="s">
        <v>135</v>
      </c>
    </row>
    <row r="5" spans="2:3" x14ac:dyDescent="0.2">
      <c r="B5" s="17" t="s">
        <v>136</v>
      </c>
    </row>
    <row r="6" spans="2:3" x14ac:dyDescent="0.2">
      <c r="B6" s="17" t="s">
        <v>137</v>
      </c>
    </row>
    <row r="8" spans="2:3" ht="18" x14ac:dyDescent="0.25">
      <c r="B8" s="172" t="s">
        <v>133</v>
      </c>
    </row>
    <row r="10" spans="2:3" x14ac:dyDescent="0.2">
      <c r="B10" s="17" t="s">
        <v>138</v>
      </c>
    </row>
    <row r="11" spans="2:3" x14ac:dyDescent="0.2">
      <c r="B11" s="173" t="s">
        <v>139</v>
      </c>
      <c r="C11" s="174"/>
    </row>
    <row r="13" spans="2:3" x14ac:dyDescent="0.2">
      <c r="B13" s="17" t="s">
        <v>140</v>
      </c>
    </row>
    <row r="14" spans="2:3" x14ac:dyDescent="0.2">
      <c r="B14" s="173" t="s">
        <v>141</v>
      </c>
      <c r="C14" s="82"/>
    </row>
    <row r="16" spans="2:3" x14ac:dyDescent="0.2">
      <c r="B16" s="17" t="s">
        <v>146</v>
      </c>
    </row>
    <row r="17" spans="2:3" x14ac:dyDescent="0.2">
      <c r="B17" s="173" t="s">
        <v>141</v>
      </c>
      <c r="C17" s="175"/>
    </row>
    <row r="19" spans="2:3" ht="18" x14ac:dyDescent="0.25">
      <c r="B19" s="172" t="s">
        <v>134</v>
      </c>
    </row>
    <row r="21" spans="2:3" x14ac:dyDescent="0.2">
      <c r="B21" s="17" t="s">
        <v>142</v>
      </c>
    </row>
    <row r="22" spans="2:3" x14ac:dyDescent="0.2">
      <c r="B22" s="173" t="s">
        <v>141</v>
      </c>
      <c r="C22">
        <v>47</v>
      </c>
    </row>
    <row r="24" spans="2:3" x14ac:dyDescent="0.2">
      <c r="B24" s="17" t="s">
        <v>143</v>
      </c>
    </row>
    <row r="25" spans="2:3" x14ac:dyDescent="0.2">
      <c r="B25" s="173" t="s">
        <v>141</v>
      </c>
      <c r="C25" s="176">
        <v>47</v>
      </c>
    </row>
    <row r="27" spans="2:3" x14ac:dyDescent="0.2">
      <c r="B27" s="17" t="s">
        <v>144</v>
      </c>
    </row>
    <row r="28" spans="2:3" x14ac:dyDescent="0.2">
      <c r="B28" s="173" t="s">
        <v>141</v>
      </c>
      <c r="C28" s="110">
        <v>47</v>
      </c>
    </row>
  </sheetData>
  <pageMargins left="0.7" right="0.7" top="0.75" bottom="0.75" header="0.3" footer="0.3"/>
  <pageSetup scale="8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tabColor theme="7" tint="0.39997558519241921"/>
  </sheetPr>
  <dimension ref="A1:Q59"/>
  <sheetViews>
    <sheetView showGridLines="0" zoomScaleNormal="100" workbookViewId="0">
      <selection activeCell="E41" sqref="E41"/>
    </sheetView>
  </sheetViews>
  <sheetFormatPr defaultRowHeight="12" x14ac:dyDescent="0.2"/>
  <cols>
    <col min="1" max="3" width="3" style="4" customWidth="1"/>
    <col min="4" max="4" width="22.7109375" customWidth="1"/>
    <col min="5" max="16" width="10.7109375" customWidth="1"/>
    <col min="17" max="17" width="15.7109375" style="17" customWidth="1"/>
  </cols>
  <sheetData>
    <row r="1" spans="1:17" ht="15.75" x14ac:dyDescent="0.25">
      <c r="A1" s="3" t="s">
        <v>88</v>
      </c>
    </row>
    <row r="2" spans="1:17" ht="15.75" x14ac:dyDescent="0.25">
      <c r="A2" s="3" t="s">
        <v>93</v>
      </c>
    </row>
    <row r="3" spans="1:17" ht="12.75" customHeight="1" x14ac:dyDescent="0.2">
      <c r="A3" s="1"/>
      <c r="B3" s="1"/>
      <c r="C3" s="1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7" ht="12.75" customHeight="1" x14ac:dyDescent="0.2">
      <c r="A4" s="1"/>
      <c r="B4" s="1"/>
      <c r="C4" s="1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7" ht="12.75" customHeight="1" x14ac:dyDescent="0.2">
      <c r="A5" s="1"/>
      <c r="B5" s="1"/>
      <c r="C5" s="1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7" ht="12.75" customHeight="1" thickBot="1" x14ac:dyDescent="0.25">
      <c r="A6" s="1"/>
      <c r="B6" s="1"/>
      <c r="C6" s="1"/>
      <c r="D6" s="19"/>
      <c r="E6" s="21" t="str">
        <f>'5. Projected Sales'!H6</f>
        <v>January</v>
      </c>
      <c r="F6" s="21" t="str">
        <f>'5. Projected Sales'!I6</f>
        <v>February</v>
      </c>
      <c r="G6" s="21" t="str">
        <f>'5. Projected Sales'!J6</f>
        <v>March</v>
      </c>
      <c r="H6" s="21" t="str">
        <f>'5. Projected Sales'!K6</f>
        <v>April</v>
      </c>
      <c r="I6" s="21" t="str">
        <f>'5. Projected Sales'!L6</f>
        <v>May</v>
      </c>
      <c r="J6" s="21" t="str">
        <f>'5. Projected Sales'!M6</f>
        <v>June</v>
      </c>
      <c r="K6" s="21" t="str">
        <f>'5. Projected Sales'!N6</f>
        <v>July</v>
      </c>
      <c r="L6" s="21" t="str">
        <f>'5. Projected Sales'!O6</f>
        <v>August</v>
      </c>
      <c r="M6" s="21" t="str">
        <f>'5. Projected Sales'!P6</f>
        <v>September</v>
      </c>
      <c r="N6" s="21" t="str">
        <f>'5. Projected Sales'!Q6</f>
        <v>October</v>
      </c>
      <c r="O6" s="21" t="str">
        <f>'5. Projected Sales'!R6</f>
        <v>November</v>
      </c>
      <c r="P6" s="21" t="str">
        <f>'5. Projected Sales'!S6</f>
        <v>December</v>
      </c>
      <c r="Q6" s="21" t="s">
        <v>0</v>
      </c>
    </row>
    <row r="7" spans="1:17" ht="12.75" customHeight="1" thickTop="1" x14ac:dyDescent="0.2">
      <c r="A7" s="1"/>
      <c r="B7" s="1"/>
      <c r="C7" s="1"/>
      <c r="D7" s="19"/>
      <c r="E7" s="126">
        <v>13</v>
      </c>
      <c r="F7" s="126">
        <f>+E7+1</f>
        <v>14</v>
      </c>
      <c r="G7" s="126">
        <f t="shared" ref="G7:P7" si="0">+F7+1</f>
        <v>15</v>
      </c>
      <c r="H7" s="126">
        <f t="shared" si="0"/>
        <v>16</v>
      </c>
      <c r="I7" s="126">
        <f t="shared" si="0"/>
        <v>17</v>
      </c>
      <c r="J7" s="126">
        <f t="shared" si="0"/>
        <v>18</v>
      </c>
      <c r="K7" s="126">
        <f t="shared" si="0"/>
        <v>19</v>
      </c>
      <c r="L7" s="126">
        <f t="shared" si="0"/>
        <v>20</v>
      </c>
      <c r="M7" s="126">
        <f t="shared" si="0"/>
        <v>21</v>
      </c>
      <c r="N7" s="126">
        <f t="shared" si="0"/>
        <v>22</v>
      </c>
      <c r="O7" s="126">
        <f t="shared" si="0"/>
        <v>23</v>
      </c>
      <c r="P7" s="126">
        <f t="shared" si="0"/>
        <v>24</v>
      </c>
    </row>
    <row r="8" spans="1:17" ht="12.75" customHeight="1" x14ac:dyDescent="0.2">
      <c r="A8" s="1" t="s">
        <v>33</v>
      </c>
      <c r="B8" s="1"/>
      <c r="C8" s="1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7" ht="12.75" customHeight="1" x14ac:dyDescent="0.2">
      <c r="A9" s="1"/>
      <c r="B9" s="1" t="str">
        <f>'5. Projected Sales'!A8</f>
        <v>Regular Lemonade</v>
      </c>
      <c r="C9" s="1"/>
      <c r="D9" s="19"/>
      <c r="E9" s="128">
        <f>INDEX('5. Projected Sales'!$H$9:$S$9,1,MATCH('2. Projected Income Statement'!E$6,'5. Projected Sales'!$H$6:$S$6,0))</f>
        <v>33</v>
      </c>
      <c r="F9" s="128">
        <f>INDEX('5. Projected Sales'!$H$9:$S$9,1,MATCH('2. Projected Income Statement'!F$6,'5. Projected Sales'!$H$6:$S$6,0))</f>
        <v>39.6</v>
      </c>
      <c r="G9" s="128">
        <f>INDEX('5. Projected Sales'!$H$9:$S$9,1,MATCH('2. Projected Income Statement'!G$6,'5. Projected Sales'!$H$6:$S$6,0))</f>
        <v>77</v>
      </c>
      <c r="H9" s="128">
        <f>INDEX('5. Projected Sales'!$H$9:$S$9,1,MATCH('2. Projected Income Statement'!H$6,'5. Projected Sales'!$H$6:$S$6,0))</f>
        <v>154</v>
      </c>
      <c r="I9" s="128">
        <f>INDEX('5. Projected Sales'!$H$9:$S$9,1,MATCH('2. Projected Income Statement'!I$6,'5. Projected Sales'!$H$6:$S$6,0))</f>
        <v>851.40000000000009</v>
      </c>
      <c r="J9" s="128">
        <f>INDEX('5. Projected Sales'!$H$9:$S$9,1,MATCH('2. Projected Income Statement'!J$6,'5. Projected Sales'!$H$6:$S$6,0))</f>
        <v>1392.6000000000001</v>
      </c>
      <c r="K9" s="128">
        <f>INDEX('5. Projected Sales'!$H$9:$S$9,1,MATCH('2. Projected Income Statement'!K$6,'5. Projected Sales'!$H$6:$S$6,0))</f>
        <v>1702.8000000000002</v>
      </c>
      <c r="L9" s="128">
        <f>INDEX('5. Projected Sales'!$H$9:$S$9,1,MATCH('2. Projected Income Statement'!L$6,'5. Projected Sales'!$H$6:$S$6,0))</f>
        <v>1702.8000000000002</v>
      </c>
      <c r="M9" s="128">
        <f>INDEX('5. Projected Sales'!$H$9:$S$9,1,MATCH('2. Projected Income Statement'!M$6,'5. Projected Sales'!$H$6:$S$6,0))</f>
        <v>1313.4</v>
      </c>
      <c r="N9" s="128">
        <f>INDEX('5. Projected Sales'!$H$9:$S$9,1,MATCH('2. Projected Income Statement'!N$6,'5. Projected Sales'!$H$6:$S$6,0))</f>
        <v>310.20000000000005</v>
      </c>
      <c r="O9" s="128">
        <f>INDEX('5. Projected Sales'!$H$9:$S$9,1,MATCH('2. Projected Income Statement'!O$6,'5. Projected Sales'!$H$6:$S$6,0))</f>
        <v>123.20000000000002</v>
      </c>
      <c r="P9" s="128">
        <f>INDEX('5. Projected Sales'!$H$9:$S$9,1,MATCH('2. Projected Income Statement'!P$6,'5. Projected Sales'!$H$6:$S$6,0))</f>
        <v>70.400000000000006</v>
      </c>
      <c r="Q9" s="129">
        <f>SUM(E9:P9)</f>
        <v>7770.4</v>
      </c>
    </row>
    <row r="10" spans="1:17" ht="12.75" customHeight="1" thickBot="1" x14ac:dyDescent="0.25">
      <c r="A10" s="1"/>
      <c r="B10" s="1" t="str">
        <f>'5. Projected Sales'!A24</f>
        <v>Pink Lemonade</v>
      </c>
      <c r="C10" s="1"/>
      <c r="D10" s="19"/>
      <c r="E10" s="130">
        <f>INDEX('5. Projected Sales'!$H$25:$S$25,1,MATCH('2. Projected Income Statement'!E$6,'5. Projected Sales'!$H$6:$S$6,0))</f>
        <v>18.112499999999997</v>
      </c>
      <c r="F10" s="130">
        <f>INDEX('5. Projected Sales'!$H$25:$S$25,1,MATCH('2. Projected Income Statement'!F$6,'5. Projected Sales'!$H$6:$S$6,0))</f>
        <v>15.524999999999999</v>
      </c>
      <c r="G10" s="130">
        <f>INDEX('5. Projected Sales'!$H$25:$S$25,1,MATCH('2. Projected Income Statement'!G$6,'5. Projected Sales'!$H$6:$S$6,0))</f>
        <v>31.049999999999997</v>
      </c>
      <c r="H10" s="130">
        <f>INDEX('5. Projected Sales'!$H$25:$S$25,1,MATCH('2. Projected Income Statement'!H$6,'5. Projected Sales'!$H$6:$S$6,0))</f>
        <v>62.099999999999994</v>
      </c>
      <c r="I10" s="130">
        <f>INDEX('5. Projected Sales'!$H$25:$S$25,1,MATCH('2. Projected Income Statement'!I$6,'5. Projected Sales'!$H$6:$S$6,0))</f>
        <v>333.78749999999997</v>
      </c>
      <c r="J10" s="130">
        <f>INDEX('5. Projected Sales'!$H$25:$S$25,1,MATCH('2. Projected Income Statement'!J$6,'5. Projected Sales'!$H$6:$S$6,0))</f>
        <v>545.96249999999998</v>
      </c>
      <c r="K10" s="130">
        <f>INDEX('5. Projected Sales'!$H$25:$S$25,1,MATCH('2. Projected Income Statement'!K$6,'5. Projected Sales'!$H$6:$S$6,0))</f>
        <v>667.57499999999993</v>
      </c>
      <c r="L10" s="130">
        <f>INDEX('5. Projected Sales'!$H$25:$S$25,1,MATCH('2. Projected Income Statement'!L$6,'5. Projected Sales'!$H$6:$S$6,0))</f>
        <v>667.57499999999993</v>
      </c>
      <c r="M10" s="130">
        <f>INDEX('5. Projected Sales'!$H$25:$S$25,1,MATCH('2. Projected Income Statement'!M$6,'5. Projected Sales'!$H$6:$S$6,0))</f>
        <v>517.49999999999989</v>
      </c>
      <c r="N10" s="130">
        <f>INDEX('5. Projected Sales'!$H$25:$S$25,1,MATCH('2. Projected Income Statement'!N$6,'5. Projected Sales'!$H$6:$S$6,0))</f>
        <v>121.6125</v>
      </c>
      <c r="O10" s="130">
        <f>INDEX('5. Projected Sales'!$H$25:$S$25,1,MATCH('2. Projected Income Statement'!O$6,'5. Projected Sales'!$H$6:$S$6,0))</f>
        <v>31.049999999999997</v>
      </c>
      <c r="P10" s="130">
        <f>INDEX('5. Projected Sales'!$H$25:$S$25,1,MATCH('2. Projected Income Statement'!P$6,'5. Projected Sales'!$H$6:$S$6,0))</f>
        <v>31.049999999999997</v>
      </c>
      <c r="Q10" s="131">
        <f>SUM(E10:P10)</f>
        <v>3042.9</v>
      </c>
    </row>
    <row r="11" spans="1:17" ht="12.75" customHeight="1" x14ac:dyDescent="0.2">
      <c r="A11" s="1" t="s">
        <v>34</v>
      </c>
      <c r="B11" s="1"/>
      <c r="C11" s="1"/>
      <c r="D11" s="19"/>
      <c r="E11" s="100">
        <f>SUM(E9:E10)</f>
        <v>51.112499999999997</v>
      </c>
      <c r="F11" s="100">
        <f t="shared" ref="F11:Q11" si="1">SUM(F9:F10)</f>
        <v>55.125</v>
      </c>
      <c r="G11" s="100">
        <f t="shared" si="1"/>
        <v>108.05</v>
      </c>
      <c r="H11" s="100">
        <f t="shared" si="1"/>
        <v>216.1</v>
      </c>
      <c r="I11" s="100">
        <f t="shared" si="1"/>
        <v>1185.1875</v>
      </c>
      <c r="J11" s="100">
        <f t="shared" si="1"/>
        <v>1938.5625</v>
      </c>
      <c r="K11" s="100">
        <f t="shared" si="1"/>
        <v>2370.375</v>
      </c>
      <c r="L11" s="100">
        <f t="shared" si="1"/>
        <v>2370.375</v>
      </c>
      <c r="M11" s="100">
        <f t="shared" si="1"/>
        <v>1830.9</v>
      </c>
      <c r="N11" s="100">
        <f t="shared" si="1"/>
        <v>431.81250000000006</v>
      </c>
      <c r="O11" s="100">
        <f t="shared" si="1"/>
        <v>154.25</v>
      </c>
      <c r="P11" s="100">
        <f t="shared" si="1"/>
        <v>101.45</v>
      </c>
      <c r="Q11" s="100">
        <f t="shared" si="1"/>
        <v>10813.3</v>
      </c>
    </row>
    <row r="12" spans="1:17" ht="12.75" customHeight="1" x14ac:dyDescent="0.2">
      <c r="A12" s="1"/>
      <c r="B12" s="1"/>
      <c r="C12" s="1"/>
      <c r="D12" s="19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32"/>
    </row>
    <row r="13" spans="1:17" ht="12.75" customHeight="1" x14ac:dyDescent="0.2">
      <c r="A13" s="1" t="s">
        <v>35</v>
      </c>
      <c r="B13" s="1"/>
      <c r="C13" s="1"/>
      <c r="D13" s="1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33"/>
    </row>
    <row r="14" spans="1:17" ht="12.75" customHeight="1" x14ac:dyDescent="0.2">
      <c r="A14" s="1"/>
      <c r="B14" s="1" t="str">
        <f>B9</f>
        <v>Regular Lemonade</v>
      </c>
      <c r="C14" s="1"/>
      <c r="D14" s="19"/>
      <c r="E14" s="128">
        <f>INDEX('5. Projected Sales'!$H$10:$S$10,1,MATCH('2. Projected Income Statement'!E$6,'5. Projected Sales'!$H$6:$S$6,0))</f>
        <v>13.53</v>
      </c>
      <c r="F14" s="128">
        <f>INDEX('5. Projected Sales'!$H$10:$S$10,1,MATCH('2. Projected Income Statement'!F$6,'5. Projected Sales'!$H$6:$S$6,0))</f>
        <v>16.236000000000001</v>
      </c>
      <c r="G14" s="128">
        <f>INDEX('5. Projected Sales'!$H$10:$S$10,1,MATCH('2. Projected Income Statement'!G$6,'5. Projected Sales'!$H$6:$S$6,0))</f>
        <v>31.569999999999997</v>
      </c>
      <c r="H14" s="128">
        <f>INDEX('5. Projected Sales'!$H$10:$S$10,1,MATCH('2. Projected Income Statement'!H$6,'5. Projected Sales'!$H$6:$S$6,0))</f>
        <v>63.139999999999993</v>
      </c>
      <c r="I14" s="128">
        <f>INDEX('5. Projected Sales'!$H$10:$S$10,1,MATCH('2. Projected Income Statement'!I$6,'5. Projected Sales'!$H$6:$S$6,0))</f>
        <v>349.07400000000001</v>
      </c>
      <c r="J14" s="128">
        <f>INDEX('5. Projected Sales'!$H$10:$S$10,1,MATCH('2. Projected Income Statement'!J$6,'5. Projected Sales'!$H$6:$S$6,0))</f>
        <v>570.96600000000001</v>
      </c>
      <c r="K14" s="128">
        <f>INDEX('5. Projected Sales'!$H$10:$S$10,1,MATCH('2. Projected Income Statement'!K$6,'5. Projected Sales'!$H$6:$S$6,0))</f>
        <v>698.14800000000002</v>
      </c>
      <c r="L14" s="128">
        <f>INDEX('5. Projected Sales'!$H$10:$S$10,1,MATCH('2. Projected Income Statement'!L$6,'5. Projected Sales'!$H$6:$S$6,0))</f>
        <v>698.14800000000002</v>
      </c>
      <c r="M14" s="128">
        <f>INDEX('5. Projected Sales'!$H$10:$S$10,1,MATCH('2. Projected Income Statement'!M$6,'5. Projected Sales'!$H$6:$S$6,0))</f>
        <v>538.49400000000003</v>
      </c>
      <c r="N14" s="128">
        <f>INDEX('5. Projected Sales'!$H$10:$S$10,1,MATCH('2. Projected Income Statement'!N$6,'5. Projected Sales'!$H$6:$S$6,0))</f>
        <v>127.18200000000002</v>
      </c>
      <c r="O14" s="128">
        <f>INDEX('5. Projected Sales'!$H$10:$S$10,1,MATCH('2. Projected Income Statement'!O$6,'5. Projected Sales'!$H$6:$S$6,0))</f>
        <v>50.512</v>
      </c>
      <c r="P14" s="128">
        <f>INDEX('5. Projected Sales'!$H$10:$S$10,1,MATCH('2. Projected Income Statement'!P$6,'5. Projected Sales'!$H$6:$S$6,0))</f>
        <v>28.864000000000001</v>
      </c>
      <c r="Q14" s="129">
        <f>SUM(E14:P14)</f>
        <v>3185.8640000000005</v>
      </c>
    </row>
    <row r="15" spans="1:17" ht="12.75" customHeight="1" thickBot="1" x14ac:dyDescent="0.25">
      <c r="A15" s="1"/>
      <c r="B15" s="1" t="str">
        <f>B10</f>
        <v>Pink Lemonade</v>
      </c>
      <c r="C15" s="1"/>
      <c r="D15" s="19"/>
      <c r="E15" s="135">
        <f>INDEX('5. Projected Sales'!$H$26:$S$26,1,MATCH('2. Projected Income Statement'!E$6,'5. Projected Sales'!$H$6:$S$6,0))</f>
        <v>5.3129999999999997</v>
      </c>
      <c r="F15" s="135">
        <f>INDEX('5. Projected Sales'!$H$26:$S$26,1,MATCH('2. Projected Income Statement'!F$6,'5. Projected Sales'!$H$6:$S$6,0))</f>
        <v>4.5540000000000003</v>
      </c>
      <c r="G15" s="135">
        <f>INDEX('5. Projected Sales'!$H$26:$S$26,1,MATCH('2. Projected Income Statement'!G$6,'5. Projected Sales'!$H$6:$S$6,0))</f>
        <v>9.1080000000000005</v>
      </c>
      <c r="H15" s="135">
        <f>INDEX('5. Projected Sales'!$H$26:$S$26,1,MATCH('2. Projected Income Statement'!H$6,'5. Projected Sales'!$H$6:$S$6,0))</f>
        <v>18.216000000000001</v>
      </c>
      <c r="I15" s="135">
        <f>INDEX('5. Projected Sales'!$H$26:$S$26,1,MATCH('2. Projected Income Statement'!I$6,'5. Projected Sales'!$H$6:$S$6,0))</f>
        <v>97.911000000000001</v>
      </c>
      <c r="J15" s="135">
        <f>INDEX('5. Projected Sales'!$H$26:$S$26,1,MATCH('2. Projected Income Statement'!J$6,'5. Projected Sales'!$H$6:$S$6,0))</f>
        <v>160.149</v>
      </c>
      <c r="K15" s="135">
        <f>INDEX('5. Projected Sales'!$H$26:$S$26,1,MATCH('2. Projected Income Statement'!K$6,'5. Projected Sales'!$H$6:$S$6,0))</f>
        <v>195.822</v>
      </c>
      <c r="L15" s="135">
        <f>INDEX('5. Projected Sales'!$H$26:$S$26,1,MATCH('2. Projected Income Statement'!L$6,'5. Projected Sales'!$H$6:$S$6,0))</f>
        <v>195.822</v>
      </c>
      <c r="M15" s="135">
        <f>INDEX('5. Projected Sales'!$H$26:$S$26,1,MATCH('2. Projected Income Statement'!M$6,'5. Projected Sales'!$H$6:$S$6,0))</f>
        <v>151.79999999999998</v>
      </c>
      <c r="N15" s="135">
        <f>INDEX('5. Projected Sales'!$H$26:$S$26,1,MATCH('2. Projected Income Statement'!N$6,'5. Projected Sales'!$H$6:$S$6,0))</f>
        <v>35.673000000000002</v>
      </c>
      <c r="O15" s="135">
        <f>INDEX('5. Projected Sales'!$H$26:$S$26,1,MATCH('2. Projected Income Statement'!O$6,'5. Projected Sales'!$H$6:$S$6,0))</f>
        <v>9.1080000000000005</v>
      </c>
      <c r="P15" s="135">
        <f>INDEX('5. Projected Sales'!$H$26:$S$26,1,MATCH('2. Projected Income Statement'!P$6,'5. Projected Sales'!$H$6:$S$6,0))</f>
        <v>9.1080000000000005</v>
      </c>
      <c r="Q15" s="131">
        <f>SUM(E15:P15)</f>
        <v>892.58399999999983</v>
      </c>
    </row>
    <row r="16" spans="1:17" ht="12.75" customHeight="1" x14ac:dyDescent="0.2">
      <c r="A16" s="1" t="s">
        <v>36</v>
      </c>
      <c r="B16" s="1"/>
      <c r="C16" s="1"/>
      <c r="D16" s="19"/>
      <c r="E16" s="99">
        <f>SUM(E14:E15)</f>
        <v>18.843</v>
      </c>
      <c r="F16" s="99">
        <f t="shared" ref="F16:P16" si="2">SUM(F14:F15)</f>
        <v>20.79</v>
      </c>
      <c r="G16" s="99">
        <f t="shared" si="2"/>
        <v>40.677999999999997</v>
      </c>
      <c r="H16" s="99">
        <f t="shared" si="2"/>
        <v>81.355999999999995</v>
      </c>
      <c r="I16" s="99">
        <f t="shared" si="2"/>
        <v>446.98500000000001</v>
      </c>
      <c r="J16" s="99">
        <f t="shared" si="2"/>
        <v>731.11500000000001</v>
      </c>
      <c r="K16" s="99">
        <f t="shared" si="2"/>
        <v>893.97</v>
      </c>
      <c r="L16" s="99">
        <f t="shared" si="2"/>
        <v>893.97</v>
      </c>
      <c r="M16" s="99">
        <f t="shared" si="2"/>
        <v>690.29399999999998</v>
      </c>
      <c r="N16" s="99">
        <f t="shared" si="2"/>
        <v>162.85500000000002</v>
      </c>
      <c r="O16" s="99">
        <f t="shared" si="2"/>
        <v>59.620000000000005</v>
      </c>
      <c r="P16" s="99">
        <f t="shared" si="2"/>
        <v>37.972000000000001</v>
      </c>
      <c r="Q16" s="100">
        <f t="shared" ref="Q16" si="3">SUM(Q14:Q15)</f>
        <v>4078.4480000000003</v>
      </c>
    </row>
    <row r="17" spans="1:17" ht="12.75" customHeight="1" x14ac:dyDescent="0.2">
      <c r="A17" s="1"/>
      <c r="B17" s="1"/>
      <c r="C17" s="1"/>
      <c r="D17" s="19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32"/>
    </row>
    <row r="18" spans="1:17" ht="12.75" customHeight="1" thickBot="1" x14ac:dyDescent="0.25">
      <c r="A18" s="1" t="s">
        <v>8</v>
      </c>
      <c r="B18" s="1"/>
      <c r="C18" s="1"/>
      <c r="D18" s="19"/>
      <c r="E18" s="137">
        <f>E11-E16</f>
        <v>32.269499999999994</v>
      </c>
      <c r="F18" s="137">
        <f t="shared" ref="F18:Q18" si="4">F11-F16</f>
        <v>34.335000000000001</v>
      </c>
      <c r="G18" s="137">
        <f t="shared" si="4"/>
        <v>67.372</v>
      </c>
      <c r="H18" s="137">
        <f t="shared" si="4"/>
        <v>134.744</v>
      </c>
      <c r="I18" s="137">
        <f t="shared" si="4"/>
        <v>738.20249999999999</v>
      </c>
      <c r="J18" s="137">
        <f t="shared" si="4"/>
        <v>1207.4475</v>
      </c>
      <c r="K18" s="137">
        <f t="shared" si="4"/>
        <v>1476.405</v>
      </c>
      <c r="L18" s="137">
        <f t="shared" si="4"/>
        <v>1476.405</v>
      </c>
      <c r="M18" s="137">
        <f t="shared" si="4"/>
        <v>1140.6060000000002</v>
      </c>
      <c r="N18" s="137">
        <f t="shared" si="4"/>
        <v>268.95750000000004</v>
      </c>
      <c r="O18" s="137">
        <f t="shared" si="4"/>
        <v>94.63</v>
      </c>
      <c r="P18" s="137">
        <f t="shared" si="4"/>
        <v>63.478000000000002</v>
      </c>
      <c r="Q18" s="131">
        <f t="shared" si="4"/>
        <v>6734.851999999999</v>
      </c>
    </row>
    <row r="19" spans="1:17" ht="12.75" customHeight="1" x14ac:dyDescent="0.2">
      <c r="A19" s="1"/>
      <c r="B19" s="1"/>
      <c r="C19" s="1"/>
      <c r="D19" s="1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133"/>
    </row>
    <row r="20" spans="1:17" ht="12.75" customHeight="1" x14ac:dyDescent="0.2">
      <c r="A20" s="1" t="s">
        <v>16</v>
      </c>
      <c r="B20" s="1"/>
      <c r="C20" s="1"/>
      <c r="D20" s="1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133"/>
    </row>
    <row r="21" spans="1:17" ht="12.75" customHeight="1" x14ac:dyDescent="0.2">
      <c r="A21" s="1"/>
      <c r="B21" s="1" t="s">
        <v>80</v>
      </c>
      <c r="C21" s="1"/>
      <c r="D21" s="19"/>
      <c r="E21" s="134">
        <f>INDEX('6. Projected Payroll'!$K$10:$V$10,1,MATCH(E$6,'6. Projected Payroll'!$K$6:$V$6,0))</f>
        <v>14.401730375000001</v>
      </c>
      <c r="F21" s="134">
        <f>INDEX('6. Projected Payroll'!$K$10:$V$10,1,MATCH(F6,'6. Projected Payroll'!$K$6:$V$6,0))</f>
        <v>15.554815375</v>
      </c>
      <c r="G21" s="134">
        <f>INDEX('6. Projected Payroll'!$K$10:$V$10,1,MATCH(G6,'6. Projected Payroll'!$K$6:$V$6,0))</f>
        <v>30.07963075</v>
      </c>
      <c r="H21" s="134">
        <f>INDEX('6. Projected Payroll'!$K$10:$V$10,1,MATCH(H6,'6. Projected Payroll'!$K$6:$V$6,0))</f>
        <v>60.1592615</v>
      </c>
      <c r="I21" s="134">
        <f>INDEX('6. Projected Payroll'!$K$10:$V$10,1,MATCH(I6,'6. Projected Payroll'!$K$6:$V$6,0))</f>
        <v>329.69143825000009</v>
      </c>
      <c r="J21" s="134">
        <f>INDEX('6. Projected Payroll'!$K$10:$V$10,1,MATCH(J6,'6. Projected Payroll'!$K$6:$V$6,0))</f>
        <v>539.11585350000007</v>
      </c>
      <c r="K21" s="134">
        <f>INDEX('6. Projected Payroll'!$K$10:$V$10,1,MATCH(K6,'6. Projected Payroll'!$K$6:$V$6,0))</f>
        <v>659.38287650000018</v>
      </c>
      <c r="L21" s="134">
        <f>INDEX('6. Projected Payroll'!$K$10:$V$10,1,MATCH(L6,'6. Projected Payroll'!$K$6:$V$6,0))</f>
        <v>659.38287650000018</v>
      </c>
      <c r="M21" s="134">
        <f>INDEX('6. Projected Payroll'!$K$10:$V$10,1,MATCH(M6,'6. Projected Payroll'!$K$6:$V$6,0))</f>
        <v>509.08772274999995</v>
      </c>
      <c r="N21" s="134">
        <f>INDEX('6. Projected Payroll'!$K$10:$V$10,1,MATCH(N6,'6. Projected Payroll'!$K$6:$V$6,0))</f>
        <v>120.26702299999998</v>
      </c>
      <c r="O21" s="134">
        <f>INDEX('6. Projected Payroll'!$K$10:$V$10,1,MATCH(O6,'6. Projected Payroll'!$K$6:$V$6,0))</f>
        <v>43.120460749999992</v>
      </c>
      <c r="P21" s="134">
        <f>INDEX('6. Projected Payroll'!$K$10:$V$10,1,MATCH(P6,'6. Projected Payroll'!$K$6:$V$6,0))</f>
        <v>28.494460750000002</v>
      </c>
      <c r="Q21" s="133">
        <f t="shared" ref="Q21:Q23" si="5">SUM(E21:P21)</f>
        <v>3008.7381500000006</v>
      </c>
    </row>
    <row r="22" spans="1:17" ht="12.75" customHeight="1" thickBot="1" x14ac:dyDescent="0.25">
      <c r="A22" s="1"/>
      <c r="B22" s="1" t="str">
        <f>'6. Projected Payroll'!A15</f>
        <v>Payroll Taxes</v>
      </c>
      <c r="C22" s="1"/>
      <c r="D22" s="19"/>
      <c r="E22" s="138">
        <f>INDEX('6. Projected Payroll'!$K$11:$V$11,1,MATCH(E$6,'6. Projected Payroll'!$K$6:$V$6,0))</f>
        <v>1.1017323736875</v>
      </c>
      <c r="F22" s="138">
        <f>INDEX('6. Projected Payroll'!$K$11:$V$11,1,MATCH(F$6,'6. Projected Payroll'!$K$6:$V$6,0))</f>
        <v>1.1899433761875</v>
      </c>
      <c r="G22" s="138">
        <f>INDEX('6. Projected Payroll'!$K$11:$V$11,1,MATCH(G$6,'6. Projected Payroll'!$K$6:$V$6,0))</f>
        <v>2.3010917523750001</v>
      </c>
      <c r="H22" s="138">
        <f>INDEX('6. Projected Payroll'!$K$11:$V$11,1,MATCH(H$6,'6. Projected Payroll'!$K$6:$V$6,0))</f>
        <v>4.6021835047500002</v>
      </c>
      <c r="I22" s="138">
        <f>INDEX('6. Projected Payroll'!$K$11:$V$11,1,MATCH(I$6,'6. Projected Payroll'!$K$6:$V$6,0))</f>
        <v>25.221395026125006</v>
      </c>
      <c r="J22" s="138">
        <f>INDEX('6. Projected Payroll'!$K$11:$V$11,1,MATCH(J$6,'6. Projected Payroll'!$K$6:$V$6,0))</f>
        <v>41.242362792750008</v>
      </c>
      <c r="K22" s="138">
        <f>INDEX('6. Projected Payroll'!$K$11:$V$11,1,MATCH(K$6,'6. Projected Payroll'!$K$6:$V$6,0))</f>
        <v>50.442790052250011</v>
      </c>
      <c r="L22" s="138">
        <f>INDEX('6. Projected Payroll'!$K$11:$V$11,1,MATCH(L$6,'6. Projected Payroll'!$K$6:$V$6,0))</f>
        <v>50.442790052250011</v>
      </c>
      <c r="M22" s="138">
        <f>INDEX('6. Projected Payroll'!$K$11:$V$11,1,MATCH(M$6,'6. Projected Payroll'!$K$6:$V$6,0))</f>
        <v>38.945210790374993</v>
      </c>
      <c r="N22" s="138">
        <f>INDEX('6. Projected Payroll'!$K$11:$V$11,1,MATCH(N$6,'6. Projected Payroll'!$K$6:$V$6,0))</f>
        <v>9.2004272594999978</v>
      </c>
      <c r="O22" s="138">
        <f>INDEX('6. Projected Payroll'!$K$11:$V$11,1,MATCH(O$6,'6. Projected Payroll'!$K$6:$V$6,0))</f>
        <v>3.2987152473749992</v>
      </c>
      <c r="P22" s="138">
        <f>INDEX('6. Projected Payroll'!$K$11:$V$11,1,MATCH(P$6,'6. Projected Payroll'!$K$6:$V$6,0))</f>
        <v>2.1798262473750003</v>
      </c>
      <c r="Q22" s="136">
        <f t="shared" si="5"/>
        <v>230.16846847500003</v>
      </c>
    </row>
    <row r="23" spans="1:17" ht="12.75" customHeight="1" collapsed="1" x14ac:dyDescent="0.2">
      <c r="A23" s="1" t="s">
        <v>39</v>
      </c>
      <c r="B23" s="1"/>
      <c r="C23" s="1"/>
      <c r="D23" s="19"/>
      <c r="E23" s="99">
        <f>INDEX('6. Projected Payroll'!$K$13:$V$13,1,MATCH(E$6,'6. Projected Payroll'!$K$6:$V$6,0))</f>
        <v>15.503462748687502</v>
      </c>
      <c r="F23" s="99">
        <f>INDEX('6. Projected Payroll'!$K$13:$V$13,1,MATCH(F$6,'6. Projected Payroll'!$K$6:$V$6,0))</f>
        <v>16.744758751187501</v>
      </c>
      <c r="G23" s="99">
        <f>INDEX('6. Projected Payroll'!$K$13:$V$13,1,MATCH(G$6,'6. Projected Payroll'!$K$6:$V$6,0))</f>
        <v>32.380722502375001</v>
      </c>
      <c r="H23" s="99">
        <f>INDEX('6. Projected Payroll'!$K$13:$V$13,1,MATCH(H$6,'6. Projected Payroll'!$K$6:$V$6,0))</f>
        <v>64.761445004750001</v>
      </c>
      <c r="I23" s="99">
        <f>INDEX('6. Projected Payroll'!$K$13:$V$13,1,MATCH(I$6,'6. Projected Payroll'!$K$6:$V$6,0))</f>
        <v>354.91283327612507</v>
      </c>
      <c r="J23" s="99">
        <f>INDEX('6. Projected Payroll'!$K$13:$V$13,1,MATCH(J$6,'6. Projected Payroll'!$K$6:$V$6,0))</f>
        <v>580.35821629275006</v>
      </c>
      <c r="K23" s="99">
        <f>INDEX('6. Projected Payroll'!$K$13:$V$13,1,MATCH(K$6,'6. Projected Payroll'!$K$6:$V$6,0))</f>
        <v>709.82566655225014</v>
      </c>
      <c r="L23" s="99">
        <f>INDEX('6. Projected Payroll'!$K$13:$V$13,1,MATCH(L$6,'6. Projected Payroll'!$K$6:$V$6,0))</f>
        <v>709.82566655225014</v>
      </c>
      <c r="M23" s="99">
        <f>INDEX('6. Projected Payroll'!$K$13:$V$13,1,MATCH(M$6,'6. Projected Payroll'!$K$6:$V$6,0))</f>
        <v>548.03293354037498</v>
      </c>
      <c r="N23" s="99">
        <f>INDEX('6. Projected Payroll'!$K$13:$V$13,1,MATCH(N$6,'6. Projected Payroll'!$K$6:$V$6,0))</f>
        <v>129.46745025949997</v>
      </c>
      <c r="O23" s="99">
        <f>INDEX('6. Projected Payroll'!$K$13:$V$13,1,MATCH(O$6,'6. Projected Payroll'!$K$6:$V$6,0))</f>
        <v>46.419175997374992</v>
      </c>
      <c r="P23" s="99">
        <f>INDEX('6. Projected Payroll'!$K$13:$V$13,1,MATCH(P$6,'6. Projected Payroll'!$K$6:$V$6,0))</f>
        <v>30.674286997375003</v>
      </c>
      <c r="Q23" s="133">
        <f t="shared" si="5"/>
        <v>3238.9066184750004</v>
      </c>
    </row>
    <row r="24" spans="1:17" ht="12.75" customHeight="1" x14ac:dyDescent="0.2">
      <c r="A24" s="1"/>
      <c r="B24" s="1"/>
      <c r="C24" s="1"/>
      <c r="D24" s="1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33"/>
    </row>
    <row r="25" spans="1:17" ht="12.75" customHeight="1" x14ac:dyDescent="0.2">
      <c r="A25" s="1" t="s">
        <v>123</v>
      </c>
      <c r="B25" s="1"/>
      <c r="C25" s="1"/>
      <c r="D25" s="1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33"/>
    </row>
    <row r="26" spans="1:17" ht="12.75" customHeight="1" x14ac:dyDescent="0.2">
      <c r="A26" s="1"/>
      <c r="B26" s="1" t="s">
        <v>22</v>
      </c>
      <c r="C26" s="1"/>
      <c r="D26" s="19"/>
      <c r="E26" s="134">
        <f>'7. Projected Oper. Expenses'!$G10</f>
        <v>14.334166666666667</v>
      </c>
      <c r="F26" s="139">
        <f>'7. Projected Oper. Expenses'!$G10</f>
        <v>14.334166666666667</v>
      </c>
      <c r="G26" s="139">
        <f>'7. Projected Oper. Expenses'!$G10</f>
        <v>14.334166666666667</v>
      </c>
      <c r="H26" s="139">
        <f>'7. Projected Oper. Expenses'!$G10</f>
        <v>14.334166666666667</v>
      </c>
      <c r="I26" s="139">
        <f>'7. Projected Oper. Expenses'!$G10</f>
        <v>14.334166666666667</v>
      </c>
      <c r="J26" s="139">
        <f>'7. Projected Oper. Expenses'!$G10</f>
        <v>14.334166666666667</v>
      </c>
      <c r="K26" s="139">
        <f>'7. Projected Oper. Expenses'!$G10</f>
        <v>14.334166666666667</v>
      </c>
      <c r="L26" s="139">
        <f>'7. Projected Oper. Expenses'!$G10</f>
        <v>14.334166666666667</v>
      </c>
      <c r="M26" s="139">
        <f>'7. Projected Oper. Expenses'!$G10</f>
        <v>14.334166666666667</v>
      </c>
      <c r="N26" s="139">
        <f>'7. Projected Oper. Expenses'!$G10</f>
        <v>14.334166666666667</v>
      </c>
      <c r="O26" s="139">
        <f>'7. Projected Oper. Expenses'!$G10</f>
        <v>14.334166666666667</v>
      </c>
      <c r="P26" s="139">
        <f>'7. Projected Oper. Expenses'!$G10</f>
        <v>14.334166666666667</v>
      </c>
      <c r="Q26" s="133">
        <f>SUM(E26:P26)</f>
        <v>172.01000000000002</v>
      </c>
    </row>
    <row r="27" spans="1:17" ht="12.75" customHeight="1" x14ac:dyDescent="0.2">
      <c r="A27" s="1"/>
      <c r="B27" s="1" t="s">
        <v>69</v>
      </c>
      <c r="C27" s="1"/>
      <c r="D27" s="19"/>
      <c r="E27" s="134">
        <f>'7. Projected Oper. Expenses'!$G11</f>
        <v>3.09</v>
      </c>
      <c r="F27" s="139">
        <f>'7. Projected Oper. Expenses'!$G11</f>
        <v>3.09</v>
      </c>
      <c r="G27" s="139">
        <f>'7. Projected Oper. Expenses'!$G11</f>
        <v>3.09</v>
      </c>
      <c r="H27" s="139">
        <f>'7. Projected Oper. Expenses'!$G11</f>
        <v>3.09</v>
      </c>
      <c r="I27" s="139">
        <f>'7. Projected Oper. Expenses'!$G11</f>
        <v>3.09</v>
      </c>
      <c r="J27" s="139">
        <f>'7. Projected Oper. Expenses'!$G11</f>
        <v>3.09</v>
      </c>
      <c r="K27" s="139">
        <f>'7. Projected Oper. Expenses'!$G11</f>
        <v>3.09</v>
      </c>
      <c r="L27" s="139">
        <f>'7. Projected Oper. Expenses'!$G11</f>
        <v>3.09</v>
      </c>
      <c r="M27" s="139">
        <f>'7. Projected Oper. Expenses'!$G11</f>
        <v>3.09</v>
      </c>
      <c r="N27" s="139">
        <f>'7. Projected Oper. Expenses'!$G11</f>
        <v>3.09</v>
      </c>
      <c r="O27" s="139">
        <f>'7. Projected Oper. Expenses'!$G11</f>
        <v>3.09</v>
      </c>
      <c r="P27" s="139">
        <f>'7. Projected Oper. Expenses'!$G11</f>
        <v>3.09</v>
      </c>
      <c r="Q27" s="133">
        <f>SUM(E27:P27)</f>
        <v>37.08</v>
      </c>
    </row>
    <row r="28" spans="1:17" ht="12.75" customHeight="1" x14ac:dyDescent="0.2">
      <c r="A28" s="1"/>
      <c r="B28" s="1" t="s">
        <v>23</v>
      </c>
      <c r="C28" s="1"/>
      <c r="D28" s="19"/>
      <c r="E28" s="134">
        <f>'7. Projected Oper. Expenses'!$G12</f>
        <v>2.06</v>
      </c>
      <c r="F28" s="139">
        <f>'7. Projected Oper. Expenses'!$G12</f>
        <v>2.06</v>
      </c>
      <c r="G28" s="139">
        <f>'7. Projected Oper. Expenses'!$G12</f>
        <v>2.06</v>
      </c>
      <c r="H28" s="139">
        <f>'7. Projected Oper. Expenses'!$G12</f>
        <v>2.06</v>
      </c>
      <c r="I28" s="139">
        <f>'7. Projected Oper. Expenses'!$G12</f>
        <v>2.06</v>
      </c>
      <c r="J28" s="139">
        <f>'7. Projected Oper. Expenses'!$G12</f>
        <v>2.06</v>
      </c>
      <c r="K28" s="139">
        <f>'7. Projected Oper. Expenses'!$G12</f>
        <v>2.06</v>
      </c>
      <c r="L28" s="139">
        <f>'7. Projected Oper. Expenses'!$G12</f>
        <v>2.06</v>
      </c>
      <c r="M28" s="139">
        <f>'7. Projected Oper. Expenses'!$G12</f>
        <v>2.06</v>
      </c>
      <c r="N28" s="139">
        <f>'7. Projected Oper. Expenses'!$G12</f>
        <v>2.06</v>
      </c>
      <c r="O28" s="139">
        <f>'7. Projected Oper. Expenses'!$G12</f>
        <v>2.06</v>
      </c>
      <c r="P28" s="139">
        <f>'7. Projected Oper. Expenses'!$G12</f>
        <v>2.06</v>
      </c>
      <c r="Q28" s="133">
        <f t="shared" ref="Q28:Q31" si="6">SUM(E28:P28)</f>
        <v>24.719999999999995</v>
      </c>
    </row>
    <row r="29" spans="1:17" ht="12.75" customHeight="1" x14ac:dyDescent="0.2">
      <c r="A29" s="1"/>
      <c r="B29" s="1" t="s">
        <v>83</v>
      </c>
      <c r="C29" s="1"/>
      <c r="D29" s="19"/>
      <c r="E29" s="134">
        <f>'7. Projected Oper. Expenses'!$G13</f>
        <v>1.8025</v>
      </c>
      <c r="F29" s="139">
        <f>'7. Projected Oper. Expenses'!$G13</f>
        <v>1.8025</v>
      </c>
      <c r="G29" s="139">
        <f>'7. Projected Oper. Expenses'!$G13</f>
        <v>1.8025</v>
      </c>
      <c r="H29" s="139">
        <f>'7. Projected Oper. Expenses'!$G13</f>
        <v>1.8025</v>
      </c>
      <c r="I29" s="139">
        <f>'7. Projected Oper. Expenses'!$G13</f>
        <v>1.8025</v>
      </c>
      <c r="J29" s="139">
        <f>'7. Projected Oper. Expenses'!$G13</f>
        <v>1.8025</v>
      </c>
      <c r="K29" s="139">
        <f>'7. Projected Oper. Expenses'!$G13</f>
        <v>1.8025</v>
      </c>
      <c r="L29" s="139">
        <f>'7. Projected Oper. Expenses'!$G13</f>
        <v>1.8025</v>
      </c>
      <c r="M29" s="139">
        <f>'7. Projected Oper. Expenses'!$G13</f>
        <v>1.8025</v>
      </c>
      <c r="N29" s="139">
        <f>'7. Projected Oper. Expenses'!$G13</f>
        <v>1.8025</v>
      </c>
      <c r="O29" s="139">
        <f>'7. Projected Oper. Expenses'!$G13</f>
        <v>1.8025</v>
      </c>
      <c r="P29" s="139">
        <f>'7. Projected Oper. Expenses'!$G13</f>
        <v>1.8025</v>
      </c>
      <c r="Q29" s="133">
        <f t="shared" si="6"/>
        <v>21.629999999999995</v>
      </c>
    </row>
    <row r="30" spans="1:17" ht="12.75" customHeight="1" x14ac:dyDescent="0.2">
      <c r="A30" s="1"/>
      <c r="B30" s="1" t="s">
        <v>87</v>
      </c>
      <c r="C30" s="1"/>
      <c r="D30" s="19"/>
      <c r="E30" s="134">
        <f>'7. Projected Oper. Expenses'!$G14</f>
        <v>25.347544666666668</v>
      </c>
      <c r="F30" s="139">
        <f>'7. Projected Oper. Expenses'!$G14</f>
        <v>25.347544666666668</v>
      </c>
      <c r="G30" s="139">
        <f>'7. Projected Oper. Expenses'!$G14</f>
        <v>25.347544666666668</v>
      </c>
      <c r="H30" s="139">
        <f>'7. Projected Oper. Expenses'!$G14</f>
        <v>25.347544666666668</v>
      </c>
      <c r="I30" s="139">
        <f>'7. Projected Oper. Expenses'!$G14</f>
        <v>25.347544666666668</v>
      </c>
      <c r="J30" s="139">
        <f>'7. Projected Oper. Expenses'!$G14</f>
        <v>25.347544666666668</v>
      </c>
      <c r="K30" s="139">
        <f>'7. Projected Oper. Expenses'!$G14</f>
        <v>25.347544666666668</v>
      </c>
      <c r="L30" s="139">
        <f>'7. Projected Oper. Expenses'!$G14</f>
        <v>25.347544666666668</v>
      </c>
      <c r="M30" s="139">
        <f>'7. Projected Oper. Expenses'!$G14</f>
        <v>25.347544666666668</v>
      </c>
      <c r="N30" s="139">
        <f>'7. Projected Oper. Expenses'!$G14</f>
        <v>25.347544666666668</v>
      </c>
      <c r="O30" s="139">
        <f>'7. Projected Oper. Expenses'!$G14</f>
        <v>25.347544666666668</v>
      </c>
      <c r="P30" s="139">
        <f>'7. Projected Oper. Expenses'!$G14</f>
        <v>25.347544666666668</v>
      </c>
      <c r="Q30" s="133">
        <f t="shared" si="6"/>
        <v>304.17053600000003</v>
      </c>
    </row>
    <row r="31" spans="1:17" ht="12.75" customHeight="1" thickBot="1" x14ac:dyDescent="0.25">
      <c r="A31" s="1"/>
      <c r="B31" s="1" t="s">
        <v>68</v>
      </c>
      <c r="C31" s="1"/>
      <c r="D31" s="19"/>
      <c r="E31" s="138">
        <f>'7. Projected Oper. Expenses'!$G15</f>
        <v>2.06</v>
      </c>
      <c r="F31" s="138">
        <f>'7. Projected Oper. Expenses'!$G15</f>
        <v>2.06</v>
      </c>
      <c r="G31" s="138">
        <f>'7. Projected Oper. Expenses'!$G15</f>
        <v>2.06</v>
      </c>
      <c r="H31" s="138">
        <f>'7. Projected Oper. Expenses'!$G15</f>
        <v>2.06</v>
      </c>
      <c r="I31" s="138">
        <f>'7. Projected Oper. Expenses'!$G15</f>
        <v>2.06</v>
      </c>
      <c r="J31" s="138">
        <f>'7. Projected Oper. Expenses'!$G15</f>
        <v>2.06</v>
      </c>
      <c r="K31" s="138">
        <f>'7. Projected Oper. Expenses'!$G15</f>
        <v>2.06</v>
      </c>
      <c r="L31" s="138">
        <f>'7. Projected Oper. Expenses'!$G15</f>
        <v>2.06</v>
      </c>
      <c r="M31" s="138">
        <f>'7. Projected Oper. Expenses'!$G15</f>
        <v>2.06</v>
      </c>
      <c r="N31" s="138">
        <f>'7. Projected Oper. Expenses'!$G15</f>
        <v>2.06</v>
      </c>
      <c r="O31" s="138">
        <f>'7. Projected Oper. Expenses'!$G15</f>
        <v>2.06</v>
      </c>
      <c r="P31" s="138">
        <f>'7. Projected Oper. Expenses'!$G15</f>
        <v>2.06</v>
      </c>
      <c r="Q31" s="136">
        <f t="shared" si="6"/>
        <v>24.719999999999995</v>
      </c>
    </row>
    <row r="32" spans="1:17" ht="12.75" customHeight="1" x14ac:dyDescent="0.2">
      <c r="A32" s="1" t="s">
        <v>124</v>
      </c>
      <c r="B32" s="1"/>
      <c r="C32" s="1"/>
      <c r="D32" s="19"/>
      <c r="E32" s="99">
        <f>SUM(E26:E31)</f>
        <v>48.694211333333328</v>
      </c>
      <c r="F32" s="99">
        <f t="shared" ref="F32:P32" si="7">SUM(F26:F31)</f>
        <v>48.694211333333328</v>
      </c>
      <c r="G32" s="99">
        <f t="shared" si="7"/>
        <v>48.694211333333328</v>
      </c>
      <c r="H32" s="99">
        <f t="shared" si="7"/>
        <v>48.694211333333328</v>
      </c>
      <c r="I32" s="99">
        <f t="shared" si="7"/>
        <v>48.694211333333328</v>
      </c>
      <c r="J32" s="99">
        <f t="shared" si="7"/>
        <v>48.694211333333328</v>
      </c>
      <c r="K32" s="99">
        <f t="shared" si="7"/>
        <v>48.694211333333328</v>
      </c>
      <c r="L32" s="99">
        <f t="shared" si="7"/>
        <v>48.694211333333328</v>
      </c>
      <c r="M32" s="99">
        <f t="shared" si="7"/>
        <v>48.694211333333328</v>
      </c>
      <c r="N32" s="99">
        <f t="shared" si="7"/>
        <v>48.694211333333328</v>
      </c>
      <c r="O32" s="99">
        <f t="shared" si="7"/>
        <v>48.694211333333328</v>
      </c>
      <c r="P32" s="99">
        <f t="shared" si="7"/>
        <v>48.694211333333328</v>
      </c>
      <c r="Q32" s="99">
        <f>SUM(Q26:Q31)</f>
        <v>584.33053600000005</v>
      </c>
    </row>
    <row r="33" spans="1:17" ht="12.75" customHeight="1" x14ac:dyDescent="0.2">
      <c r="A33" s="1"/>
      <c r="B33" s="1"/>
      <c r="C33" s="1"/>
      <c r="D33" s="1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133"/>
    </row>
    <row r="34" spans="1:17" ht="12.75" customHeight="1" x14ac:dyDescent="0.2">
      <c r="A34" s="1" t="s">
        <v>25</v>
      </c>
      <c r="B34" s="1"/>
      <c r="C34" s="1"/>
      <c r="D34" s="1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133"/>
    </row>
    <row r="35" spans="1:17" ht="12.75" customHeight="1" x14ac:dyDescent="0.2">
      <c r="A35" s="1"/>
      <c r="B35" s="1" t="s">
        <v>1</v>
      </c>
      <c r="C35" s="1"/>
      <c r="D35" s="19"/>
      <c r="E35" s="134">
        <f>'7. Projected Oper. Expenses'!$G19</f>
        <v>5.8329999999999993</v>
      </c>
      <c r="F35" s="134">
        <f>'7. Projected Oper. Expenses'!$G19</f>
        <v>5.8329999999999993</v>
      </c>
      <c r="G35" s="134">
        <f>'7. Projected Oper. Expenses'!$G19</f>
        <v>5.8329999999999993</v>
      </c>
      <c r="H35" s="134">
        <f>'7. Projected Oper. Expenses'!$G19</f>
        <v>5.8329999999999993</v>
      </c>
      <c r="I35" s="134">
        <f>'7. Projected Oper. Expenses'!$G19</f>
        <v>5.8329999999999993</v>
      </c>
      <c r="J35" s="134">
        <f>'7. Projected Oper. Expenses'!$G19</f>
        <v>5.8329999999999993</v>
      </c>
      <c r="K35" s="134">
        <f>'7. Projected Oper. Expenses'!$G19</f>
        <v>5.8329999999999993</v>
      </c>
      <c r="L35" s="134">
        <f>'7. Projected Oper. Expenses'!$G19</f>
        <v>5.8329999999999993</v>
      </c>
      <c r="M35" s="134">
        <f>'7. Projected Oper. Expenses'!$G19</f>
        <v>5.8329999999999993</v>
      </c>
      <c r="N35" s="134">
        <f>'7. Projected Oper. Expenses'!$G19</f>
        <v>5.8329999999999993</v>
      </c>
      <c r="O35" s="134">
        <f>'7. Projected Oper. Expenses'!$G19</f>
        <v>5.8329999999999993</v>
      </c>
      <c r="P35" s="134">
        <f>'7. Projected Oper. Expenses'!$G19</f>
        <v>5.8329999999999993</v>
      </c>
      <c r="Q35" s="133">
        <f t="shared" ref="Q35:Q36" si="8">SUM(E35:P35)</f>
        <v>69.995999999999995</v>
      </c>
    </row>
    <row r="36" spans="1:17" ht="12.75" customHeight="1" thickBot="1" x14ac:dyDescent="0.25">
      <c r="A36" s="1"/>
      <c r="B36" s="1" t="s">
        <v>84</v>
      </c>
      <c r="C36" s="1"/>
      <c r="D36" s="19"/>
      <c r="E36" s="138">
        <f>'7. Projected Oper. Expenses'!$G20</f>
        <v>1.8086804285197109</v>
      </c>
      <c r="F36" s="138">
        <f>'7. Projected Oper. Expenses'!$G20</f>
        <v>1.8086804285197109</v>
      </c>
      <c r="G36" s="138">
        <f>'7. Projected Oper. Expenses'!$G20</f>
        <v>1.8086804285197109</v>
      </c>
      <c r="H36" s="138">
        <f>'7. Projected Oper. Expenses'!$G20</f>
        <v>1.8086804285197109</v>
      </c>
      <c r="I36" s="138">
        <f>'7. Projected Oper. Expenses'!$G20</f>
        <v>1.8086804285197109</v>
      </c>
      <c r="J36" s="138">
        <f>'7. Projected Oper. Expenses'!$G20</f>
        <v>1.8086804285197109</v>
      </c>
      <c r="K36" s="138">
        <f>'7. Projected Oper. Expenses'!$G20</f>
        <v>1.8086804285197109</v>
      </c>
      <c r="L36" s="138">
        <f>'7. Projected Oper. Expenses'!$G20</f>
        <v>1.8086804285197109</v>
      </c>
      <c r="M36" s="138">
        <f>'7. Projected Oper. Expenses'!$G20</f>
        <v>1.8086804285197109</v>
      </c>
      <c r="N36" s="138">
        <f>'7. Projected Oper. Expenses'!$G20</f>
        <v>1.8086804285197109</v>
      </c>
      <c r="O36" s="138">
        <f>'7. Projected Oper. Expenses'!$G20</f>
        <v>1.8086804285197109</v>
      </c>
      <c r="P36" s="138">
        <f>'7. Projected Oper. Expenses'!$G20</f>
        <v>1.8086804285197109</v>
      </c>
      <c r="Q36" s="136">
        <f t="shared" si="8"/>
        <v>21.70416514223653</v>
      </c>
    </row>
    <row r="37" spans="1:17" ht="12.75" customHeight="1" x14ac:dyDescent="0.2">
      <c r="A37" s="1" t="s">
        <v>26</v>
      </c>
      <c r="B37" s="1"/>
      <c r="C37" s="1"/>
      <c r="D37" s="19"/>
      <c r="E37" s="99">
        <f>SUM(E35:E36)</f>
        <v>7.6416804285197104</v>
      </c>
      <c r="F37" s="99">
        <f t="shared" ref="F37:P37" si="9">SUM(F35:F36)</f>
        <v>7.6416804285197104</v>
      </c>
      <c r="G37" s="99">
        <f t="shared" si="9"/>
        <v>7.6416804285197104</v>
      </c>
      <c r="H37" s="99">
        <f t="shared" si="9"/>
        <v>7.6416804285197104</v>
      </c>
      <c r="I37" s="99">
        <f t="shared" si="9"/>
        <v>7.6416804285197104</v>
      </c>
      <c r="J37" s="99">
        <f t="shared" si="9"/>
        <v>7.6416804285197104</v>
      </c>
      <c r="K37" s="99">
        <f t="shared" si="9"/>
        <v>7.6416804285197104</v>
      </c>
      <c r="L37" s="99">
        <f t="shared" si="9"/>
        <v>7.6416804285197104</v>
      </c>
      <c r="M37" s="99">
        <f t="shared" si="9"/>
        <v>7.6416804285197104</v>
      </c>
      <c r="N37" s="99">
        <f t="shared" si="9"/>
        <v>7.6416804285197104</v>
      </c>
      <c r="O37" s="99">
        <f t="shared" si="9"/>
        <v>7.6416804285197104</v>
      </c>
      <c r="P37" s="99">
        <f t="shared" si="9"/>
        <v>7.6416804285197104</v>
      </c>
      <c r="Q37" s="133">
        <f>SUM(E37:P37)</f>
        <v>91.700165142236514</v>
      </c>
    </row>
    <row r="38" spans="1:17" ht="12.75" customHeight="1" thickBot="1" x14ac:dyDescent="0.25">
      <c r="A38" s="1"/>
      <c r="B38" s="1"/>
      <c r="C38" s="1"/>
      <c r="D38" s="19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36"/>
    </row>
    <row r="39" spans="1:17" ht="15.95" customHeight="1" thickBot="1" x14ac:dyDescent="0.25">
      <c r="A39" s="1" t="s">
        <v>40</v>
      </c>
      <c r="B39" s="1"/>
      <c r="C39" s="1"/>
      <c r="D39" s="19"/>
      <c r="E39" s="46">
        <f>E18-E23-E32-E37</f>
        <v>-39.569854510540551</v>
      </c>
      <c r="F39" s="46">
        <f t="shared" ref="F39:P39" si="10">F18-F23-F32-F37</f>
        <v>-38.745650513040538</v>
      </c>
      <c r="G39" s="46">
        <f t="shared" si="10"/>
        <v>-21.344614264228039</v>
      </c>
      <c r="H39" s="46">
        <f t="shared" si="10"/>
        <v>13.646663233396961</v>
      </c>
      <c r="I39" s="46">
        <f t="shared" si="10"/>
        <v>326.9537749620219</v>
      </c>
      <c r="J39" s="46">
        <f t="shared" si="10"/>
        <v>570.75339194539686</v>
      </c>
      <c r="K39" s="46">
        <f t="shared" si="10"/>
        <v>710.24344168589676</v>
      </c>
      <c r="L39" s="46">
        <f t="shared" si="10"/>
        <v>710.24344168589676</v>
      </c>
      <c r="M39" s="46">
        <f t="shared" si="10"/>
        <v>536.23717469777216</v>
      </c>
      <c r="N39" s="46">
        <f t="shared" si="10"/>
        <v>83.154157978647035</v>
      </c>
      <c r="O39" s="46">
        <f t="shared" si="10"/>
        <v>-8.1250677592280347</v>
      </c>
      <c r="P39" s="46">
        <f t="shared" si="10"/>
        <v>-23.532178759228035</v>
      </c>
      <c r="Q39" s="164">
        <f>SUM(E39:P39)</f>
        <v>2819.9146803827639</v>
      </c>
    </row>
    <row r="40" spans="1:17" ht="12.75" customHeight="1" thickTop="1" x14ac:dyDescent="0.2">
      <c r="A40" s="1"/>
      <c r="B40" s="1"/>
      <c r="C40" s="1"/>
      <c r="D40" s="19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32"/>
    </row>
    <row r="41" spans="1:17" ht="12.75" customHeight="1" x14ac:dyDescent="0.2">
      <c r="A41" s="1" t="s">
        <v>86</v>
      </c>
      <c r="B41" s="1"/>
      <c r="C41" s="1"/>
      <c r="D41" s="19"/>
      <c r="E41" s="28">
        <f>E39+E35</f>
        <v>-33.736854510540553</v>
      </c>
      <c r="F41" s="28">
        <f t="shared" ref="F41:Q41" si="11">F39+F35</f>
        <v>-32.912650513040539</v>
      </c>
      <c r="G41" s="28">
        <f t="shared" si="11"/>
        <v>-15.51161426422804</v>
      </c>
      <c r="H41" s="28">
        <f t="shared" si="11"/>
        <v>19.479663233396959</v>
      </c>
      <c r="I41" s="28">
        <f t="shared" si="11"/>
        <v>332.78677496202192</v>
      </c>
      <c r="J41" s="28">
        <f t="shared" si="11"/>
        <v>576.58639194539683</v>
      </c>
      <c r="K41" s="28">
        <f t="shared" si="11"/>
        <v>716.07644168589673</v>
      </c>
      <c r="L41" s="28">
        <f t="shared" si="11"/>
        <v>716.07644168589673</v>
      </c>
      <c r="M41" s="28">
        <f t="shared" si="11"/>
        <v>542.07017469777213</v>
      </c>
      <c r="N41" s="28">
        <f t="shared" si="11"/>
        <v>88.987157978647033</v>
      </c>
      <c r="O41" s="28">
        <f t="shared" si="11"/>
        <v>-2.2920677592280354</v>
      </c>
      <c r="P41" s="28">
        <f t="shared" si="11"/>
        <v>-17.699178759228037</v>
      </c>
      <c r="Q41" s="28">
        <f t="shared" si="11"/>
        <v>2889.910680382764</v>
      </c>
    </row>
    <row r="42" spans="1:17" ht="12.75" customHeight="1" x14ac:dyDescent="0.2">
      <c r="A42" s="1"/>
      <c r="B42" s="1"/>
      <c r="C42" s="1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17" ht="12.75" customHeight="1" x14ac:dyDescent="0.2"/>
    <row r="44" spans="1:17" ht="12.75" customHeight="1" x14ac:dyDescent="0.2"/>
    <row r="45" spans="1:17" ht="12.75" customHeight="1" x14ac:dyDescent="0.2"/>
    <row r="46" spans="1:17" ht="12.75" customHeight="1" x14ac:dyDescent="0.2"/>
    <row r="47" spans="1:17" ht="12.75" customHeight="1" x14ac:dyDescent="0.2"/>
    <row r="48" spans="1:1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</sheetData>
  <phoneticPr fontId="5" type="noConversion"/>
  <conditionalFormatting sqref="E41:Q41">
    <cfRule type="cellIs" dxfId="2" priority="2" operator="greaterThan">
      <formula>0</formula>
    </cfRule>
    <cfRule type="cellIs" dxfId="1" priority="1" operator="lessThan">
      <formula>0</formula>
    </cfRule>
  </conditionalFormatting>
  <pageMargins left="0.75" right="0.75" top="1" bottom="0.75" header="0.5" footer="0.5"/>
  <pageSetup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>
    <tabColor rgb="FFFFFF99"/>
    <pageSetUpPr fitToPage="1"/>
  </sheetPr>
  <dimension ref="A1:IV75"/>
  <sheetViews>
    <sheetView showGridLines="0" zoomScaleNormal="100" workbookViewId="0">
      <selection activeCell="D27" sqref="D27"/>
    </sheetView>
  </sheetViews>
  <sheetFormatPr defaultRowHeight="12" x14ac:dyDescent="0.2"/>
  <cols>
    <col min="1" max="3" width="3" style="4" customWidth="1"/>
    <col min="4" max="4" width="31.140625" customWidth="1"/>
    <col min="5" max="16" width="10.7109375" customWidth="1"/>
    <col min="17" max="17" width="15.7109375" customWidth="1"/>
  </cols>
  <sheetData>
    <row r="1" spans="1:256" ht="15.75" x14ac:dyDescent="0.25">
      <c r="A1" s="3" t="s">
        <v>88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ht="15.75" x14ac:dyDescent="0.25">
      <c r="A2" s="3" t="s">
        <v>75</v>
      </c>
    </row>
    <row r="3" spans="1:256" ht="12.75" customHeight="1" x14ac:dyDescent="0.2">
      <c r="A3" s="1"/>
      <c r="B3" s="1"/>
      <c r="C3" s="1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256" ht="12.75" customHeight="1" x14ac:dyDescent="0.2">
      <c r="A4" s="1"/>
      <c r="B4" s="1"/>
      <c r="C4" s="1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256" ht="12.75" customHeight="1" x14ac:dyDescent="0.2">
      <c r="A5" s="1"/>
      <c r="B5" s="1"/>
      <c r="C5" s="1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256" ht="12.75" customHeight="1" thickBot="1" x14ac:dyDescent="0.25">
      <c r="A6" s="1"/>
      <c r="B6" s="1"/>
      <c r="C6" s="1"/>
      <c r="D6" s="19"/>
      <c r="E6" s="21" t="s">
        <v>95</v>
      </c>
      <c r="F6" s="21" t="s">
        <v>96</v>
      </c>
      <c r="G6" s="21" t="s">
        <v>97</v>
      </c>
      <c r="H6" s="21" t="s">
        <v>98</v>
      </c>
      <c r="I6" s="21" t="s">
        <v>70</v>
      </c>
      <c r="J6" s="21" t="s">
        <v>99</v>
      </c>
      <c r="K6" s="21" t="s">
        <v>100</v>
      </c>
      <c r="L6" s="21" t="s">
        <v>101</v>
      </c>
      <c r="M6" s="21" t="s">
        <v>102</v>
      </c>
      <c r="N6" s="21" t="s">
        <v>103</v>
      </c>
      <c r="O6" s="21" t="s">
        <v>104</v>
      </c>
      <c r="P6" s="21" t="s">
        <v>105</v>
      </c>
      <c r="Q6" s="21" t="s">
        <v>0</v>
      </c>
    </row>
    <row r="7" spans="1:256" ht="12.75" customHeight="1" thickTop="1" x14ac:dyDescent="0.2">
      <c r="A7" s="1"/>
      <c r="B7" s="1"/>
      <c r="C7" s="1"/>
      <c r="D7" s="19"/>
      <c r="E7" s="126">
        <v>13</v>
      </c>
      <c r="F7" s="189">
        <v>14</v>
      </c>
      <c r="G7" s="126">
        <v>15</v>
      </c>
      <c r="H7" s="126">
        <v>16</v>
      </c>
      <c r="I7" s="126">
        <v>17</v>
      </c>
      <c r="J7" s="126">
        <v>18</v>
      </c>
      <c r="K7" s="126">
        <v>19</v>
      </c>
      <c r="L7" s="126">
        <v>20</v>
      </c>
      <c r="M7" s="126">
        <v>21</v>
      </c>
      <c r="N7" s="126">
        <v>22</v>
      </c>
      <c r="O7" s="126">
        <v>23</v>
      </c>
      <c r="P7" s="126">
        <v>24</v>
      </c>
      <c r="Q7" s="15"/>
    </row>
    <row r="8" spans="1:256" ht="12.75" customHeight="1" x14ac:dyDescent="0.2">
      <c r="A8" s="1" t="s">
        <v>41</v>
      </c>
      <c r="B8" s="1"/>
      <c r="C8" s="1"/>
      <c r="D8" s="19"/>
      <c r="E8" s="191">
        <f>'10. 2015 Balance Sheet'!F8</f>
        <v>314</v>
      </c>
      <c r="F8" s="179">
        <f>E29</f>
        <v>266.40364318726375</v>
      </c>
      <c r="G8" s="179">
        <f t="shared" ref="G8:P8" si="0">F29</f>
        <v>219.63149037202749</v>
      </c>
      <c r="H8" s="179">
        <f t="shared" si="0"/>
        <v>190.26037380560376</v>
      </c>
      <c r="I8" s="179">
        <f t="shared" si="0"/>
        <v>195.88053473680503</v>
      </c>
      <c r="J8" s="179">
        <f t="shared" si="0"/>
        <v>514.80780739663123</v>
      </c>
      <c r="K8" s="179">
        <f t="shared" si="0"/>
        <v>1077.5346970398325</v>
      </c>
      <c r="L8" s="179">
        <f t="shared" si="0"/>
        <v>1779.7516364235335</v>
      </c>
      <c r="M8" s="179">
        <f t="shared" si="0"/>
        <v>2181.9685758072346</v>
      </c>
      <c r="N8" s="179">
        <f t="shared" si="0"/>
        <v>2710.1792482028113</v>
      </c>
      <c r="O8" s="179">
        <f t="shared" si="0"/>
        <v>2785.3069038792628</v>
      </c>
      <c r="P8" s="179">
        <f t="shared" si="0"/>
        <v>2769.1553338178392</v>
      </c>
      <c r="Q8" s="179"/>
    </row>
    <row r="9" spans="1:256" ht="12.75" customHeight="1" x14ac:dyDescent="0.2">
      <c r="A9" s="1"/>
      <c r="B9" s="1"/>
      <c r="C9" s="1"/>
      <c r="D9" s="1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</row>
    <row r="10" spans="1:256" ht="12.75" customHeight="1" x14ac:dyDescent="0.2">
      <c r="A10" s="1" t="s">
        <v>42</v>
      </c>
      <c r="B10" s="1"/>
      <c r="C10" s="1"/>
      <c r="D10" s="1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</row>
    <row r="11" spans="1:256" ht="12.75" customHeight="1" thickBot="1" x14ac:dyDescent="0.25">
      <c r="A11" s="1"/>
      <c r="B11" s="1" t="s">
        <v>76</v>
      </c>
      <c r="C11" s="1"/>
      <c r="D11" s="19"/>
      <c r="E11" s="190">
        <f>'2. Projected Income Statement'!E11</f>
        <v>51.112499999999997</v>
      </c>
      <c r="F11" s="190">
        <f>'2. Projected Income Statement'!F11</f>
        <v>55.125</v>
      </c>
      <c r="G11" s="190">
        <f>'2. Projected Income Statement'!G11</f>
        <v>108.05</v>
      </c>
      <c r="H11" s="190">
        <f>'2. Projected Income Statement'!H11</f>
        <v>216.1</v>
      </c>
      <c r="I11" s="190">
        <f>'2. Projected Income Statement'!I11</f>
        <v>1185.1875</v>
      </c>
      <c r="J11" s="190">
        <f>'2. Projected Income Statement'!J11</f>
        <v>1938.5625</v>
      </c>
      <c r="K11" s="190">
        <f>'2. Projected Income Statement'!K11</f>
        <v>2370.375</v>
      </c>
      <c r="L11" s="190">
        <f>'2. Projected Income Statement'!L11</f>
        <v>2370.375</v>
      </c>
      <c r="M11" s="190">
        <f>'2. Projected Income Statement'!M11</f>
        <v>1830.9</v>
      </c>
      <c r="N11" s="190">
        <f>'2. Projected Income Statement'!N11</f>
        <v>431.81250000000006</v>
      </c>
      <c r="O11" s="190">
        <f>'2. Projected Income Statement'!O11</f>
        <v>154.25</v>
      </c>
      <c r="P11" s="190">
        <f>'2. Projected Income Statement'!P11</f>
        <v>101.45</v>
      </c>
      <c r="Q11" s="180">
        <f>SUM(E11:P11)</f>
        <v>10813.300000000001</v>
      </c>
    </row>
    <row r="12" spans="1:256" ht="12.75" customHeight="1" x14ac:dyDescent="0.2">
      <c r="A12" s="1" t="s">
        <v>43</v>
      </c>
      <c r="B12" s="1"/>
      <c r="C12" s="1"/>
      <c r="D12" s="19"/>
      <c r="E12" s="179">
        <f>E11</f>
        <v>51.112499999999997</v>
      </c>
      <c r="F12" s="179">
        <f t="shared" ref="F12:P12" si="1">F11</f>
        <v>55.125</v>
      </c>
      <c r="G12" s="179">
        <f t="shared" si="1"/>
        <v>108.05</v>
      </c>
      <c r="H12" s="179">
        <f t="shared" si="1"/>
        <v>216.1</v>
      </c>
      <c r="I12" s="179">
        <f t="shared" si="1"/>
        <v>1185.1875</v>
      </c>
      <c r="J12" s="179">
        <f t="shared" si="1"/>
        <v>1938.5625</v>
      </c>
      <c r="K12" s="179">
        <f t="shared" si="1"/>
        <v>2370.375</v>
      </c>
      <c r="L12" s="179">
        <f t="shared" si="1"/>
        <v>2370.375</v>
      </c>
      <c r="M12" s="179">
        <f t="shared" si="1"/>
        <v>1830.9</v>
      </c>
      <c r="N12" s="179">
        <f t="shared" si="1"/>
        <v>431.81250000000006</v>
      </c>
      <c r="O12" s="179">
        <f t="shared" si="1"/>
        <v>154.25</v>
      </c>
      <c r="P12" s="179">
        <f t="shared" si="1"/>
        <v>101.45</v>
      </c>
      <c r="Q12" s="179">
        <f>SUM(E12:P12)</f>
        <v>10813.300000000001</v>
      </c>
    </row>
    <row r="13" spans="1:256" ht="12.75" customHeight="1" x14ac:dyDescent="0.2">
      <c r="A13" s="1"/>
      <c r="B13" s="1"/>
      <c r="C13" s="1"/>
      <c r="D13" s="1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</row>
    <row r="14" spans="1:256" ht="12.75" customHeight="1" x14ac:dyDescent="0.2">
      <c r="A14" s="1" t="s">
        <v>44</v>
      </c>
      <c r="B14" s="1"/>
      <c r="C14" s="1"/>
      <c r="D14" s="1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</row>
    <row r="15" spans="1:256" ht="12.75" customHeight="1" x14ac:dyDescent="0.2">
      <c r="A15" s="1"/>
      <c r="B15" s="1" t="s">
        <v>54</v>
      </c>
      <c r="C15" s="1"/>
      <c r="D15" s="1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</row>
    <row r="16" spans="1:256" ht="12.75" customHeight="1" x14ac:dyDescent="0.2">
      <c r="A16" s="1"/>
      <c r="B16" s="1"/>
      <c r="C16" s="1" t="s">
        <v>71</v>
      </c>
      <c r="D16" s="19"/>
      <c r="E16" s="188">
        <v>0</v>
      </c>
      <c r="F16" s="188">
        <v>0</v>
      </c>
      <c r="G16" s="188">
        <v>0</v>
      </c>
      <c r="H16" s="188">
        <v>0</v>
      </c>
      <c r="I16" s="188">
        <v>0</v>
      </c>
      <c r="J16" s="188">
        <v>0</v>
      </c>
      <c r="K16" s="188">
        <v>0</v>
      </c>
      <c r="L16" s="188">
        <v>0</v>
      </c>
      <c r="M16" s="188">
        <v>0</v>
      </c>
      <c r="N16" s="188">
        <v>0</v>
      </c>
      <c r="O16" s="188">
        <v>0</v>
      </c>
      <c r="P16" s="188">
        <v>0</v>
      </c>
      <c r="Q16" s="179">
        <f>SUM(E16:P16)</f>
        <v>0</v>
      </c>
    </row>
    <row r="17" spans="1:17" ht="12.75" customHeight="1" x14ac:dyDescent="0.2">
      <c r="A17" s="1"/>
      <c r="B17" s="1"/>
      <c r="C17" s="1" t="s">
        <v>126</v>
      </c>
      <c r="D17" s="19"/>
      <c r="E17" s="188">
        <v>0</v>
      </c>
      <c r="F17" s="188">
        <v>0</v>
      </c>
      <c r="G17" s="188">
        <v>0</v>
      </c>
      <c r="H17" s="188">
        <v>0</v>
      </c>
      <c r="I17" s="188">
        <v>0</v>
      </c>
      <c r="J17" s="188">
        <v>0</v>
      </c>
      <c r="K17" s="188">
        <v>0</v>
      </c>
      <c r="L17" s="188">
        <v>0</v>
      </c>
      <c r="M17" s="188">
        <v>0</v>
      </c>
      <c r="N17" s="188">
        <v>0</v>
      </c>
      <c r="O17" s="188">
        <v>0</v>
      </c>
      <c r="P17" s="188">
        <v>0</v>
      </c>
      <c r="Q17" s="179">
        <f>SUM(E17:P17)</f>
        <v>0</v>
      </c>
    </row>
    <row r="18" spans="1:17" ht="12.75" customHeight="1" x14ac:dyDescent="0.2">
      <c r="A18" s="1"/>
      <c r="B18" s="1" t="s">
        <v>45</v>
      </c>
      <c r="C18" s="1"/>
      <c r="D18" s="1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</row>
    <row r="19" spans="1:17" ht="12.75" customHeight="1" x14ac:dyDescent="0.2">
      <c r="A19" s="1"/>
      <c r="B19" s="1"/>
      <c r="C19" s="1" t="s">
        <v>35</v>
      </c>
      <c r="D19" s="19"/>
      <c r="E19" s="191">
        <f>'2. Projected Income Statement'!E16</f>
        <v>18.843</v>
      </c>
      <c r="F19" s="191">
        <f>'2. Projected Income Statement'!F16</f>
        <v>20.79</v>
      </c>
      <c r="G19" s="191">
        <f>'2. Projected Income Statement'!G16</f>
        <v>40.677999999999997</v>
      </c>
      <c r="H19" s="191">
        <f>'2. Projected Income Statement'!H16</f>
        <v>81.355999999999995</v>
      </c>
      <c r="I19" s="191">
        <f>'2. Projected Income Statement'!I16</f>
        <v>446.98500000000001</v>
      </c>
      <c r="J19" s="191">
        <f>'2. Projected Income Statement'!J16</f>
        <v>731.11500000000001</v>
      </c>
      <c r="K19" s="191">
        <f>'2. Projected Income Statement'!K16</f>
        <v>893.97</v>
      </c>
      <c r="L19" s="191">
        <f>'2. Projected Income Statement'!L16</f>
        <v>893.97</v>
      </c>
      <c r="M19" s="191">
        <f>'2. Projected Income Statement'!M16</f>
        <v>690.29399999999998</v>
      </c>
      <c r="N19" s="191">
        <f>'2. Projected Income Statement'!N16</f>
        <v>162.85500000000002</v>
      </c>
      <c r="O19" s="191">
        <f>'2. Projected Income Statement'!O16</f>
        <v>59.620000000000005</v>
      </c>
      <c r="P19" s="191">
        <f>'2. Projected Income Statement'!P16</f>
        <v>37.972000000000001</v>
      </c>
      <c r="Q19" s="179">
        <f>SUM(E19:P19)</f>
        <v>4078.4480000000003</v>
      </c>
    </row>
    <row r="20" spans="1:17" ht="12.75" customHeight="1" x14ac:dyDescent="0.2">
      <c r="A20" s="1"/>
      <c r="B20" s="1"/>
      <c r="C20" s="1" t="s">
        <v>16</v>
      </c>
      <c r="D20" s="19"/>
      <c r="E20" s="191">
        <f>'2. Projected Income Statement'!E23</f>
        <v>15.503462748687502</v>
      </c>
      <c r="F20" s="191">
        <f>'2. Projected Income Statement'!F23</f>
        <v>16.744758751187501</v>
      </c>
      <c r="G20" s="191">
        <f>'2. Projected Income Statement'!G23</f>
        <v>32.380722502375001</v>
      </c>
      <c r="H20" s="191">
        <f>'2. Projected Income Statement'!H23</f>
        <v>64.761445004750001</v>
      </c>
      <c r="I20" s="191">
        <f>'2. Projected Income Statement'!I23</f>
        <v>354.91283327612507</v>
      </c>
      <c r="J20" s="191">
        <f>'2. Projected Income Statement'!J23</f>
        <v>580.35821629275006</v>
      </c>
      <c r="K20" s="191">
        <f>'2. Projected Income Statement'!K23</f>
        <v>709.82566655225014</v>
      </c>
      <c r="L20" s="191">
        <f>'2. Projected Income Statement'!L23</f>
        <v>709.82566655225014</v>
      </c>
      <c r="M20" s="191">
        <f>'2. Projected Income Statement'!M23</f>
        <v>548.03293354037498</v>
      </c>
      <c r="N20" s="191">
        <f>'2. Projected Income Statement'!N23</f>
        <v>129.46745025949997</v>
      </c>
      <c r="O20" s="191">
        <f>'2. Projected Income Statement'!O23</f>
        <v>46.419175997374992</v>
      </c>
      <c r="P20" s="191">
        <f>'2. Projected Income Statement'!P23</f>
        <v>30.674286997375003</v>
      </c>
      <c r="Q20" s="179">
        <f>SUM(E20:P20)</f>
        <v>3238.9066184750004</v>
      </c>
    </row>
    <row r="21" spans="1:17" ht="12.75" customHeight="1" x14ac:dyDescent="0.2">
      <c r="A21" s="1"/>
      <c r="B21" s="1"/>
      <c r="C21" s="1" t="s">
        <v>123</v>
      </c>
      <c r="D21" s="19"/>
      <c r="E21" s="191">
        <f>'2. Projected Income Statement'!E32</f>
        <v>48.694211333333328</v>
      </c>
      <c r="F21" s="191">
        <f>'2. Projected Income Statement'!F32</f>
        <v>48.694211333333328</v>
      </c>
      <c r="G21" s="191">
        <f>'2. Projected Income Statement'!G32</f>
        <v>48.694211333333328</v>
      </c>
      <c r="H21" s="191">
        <f>'2. Projected Income Statement'!H32</f>
        <v>48.694211333333328</v>
      </c>
      <c r="I21" s="191">
        <f>'2. Projected Income Statement'!I32</f>
        <v>48.694211333333328</v>
      </c>
      <c r="J21" s="191">
        <f>'2. Projected Income Statement'!J32</f>
        <v>48.694211333333328</v>
      </c>
      <c r="K21" s="191">
        <f>'2. Projected Income Statement'!K32</f>
        <v>48.694211333333328</v>
      </c>
      <c r="L21" s="191">
        <f>'2. Projected Income Statement'!L32</f>
        <v>48.694211333333328</v>
      </c>
      <c r="M21" s="191">
        <f>'2. Projected Income Statement'!M32</f>
        <v>48.694211333333328</v>
      </c>
      <c r="N21" s="191">
        <f>'2. Projected Income Statement'!N32</f>
        <v>48.694211333333328</v>
      </c>
      <c r="O21" s="191">
        <f>'2. Projected Income Statement'!O32</f>
        <v>48.694211333333328</v>
      </c>
      <c r="P21" s="191">
        <f>'2. Projected Income Statement'!P32</f>
        <v>48.694211333333328</v>
      </c>
      <c r="Q21" s="179">
        <f>SUM(E21:P21)</f>
        <v>584.33053599999994</v>
      </c>
    </row>
    <row r="22" spans="1:17" ht="12.75" customHeight="1" x14ac:dyDescent="0.2">
      <c r="A22" s="1"/>
      <c r="B22" s="1" t="s">
        <v>46</v>
      </c>
      <c r="C22" s="1"/>
      <c r="D22" s="1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</row>
    <row r="23" spans="1:17" ht="12.75" customHeight="1" x14ac:dyDescent="0.2">
      <c r="A23" s="1"/>
      <c r="B23" s="1"/>
      <c r="C23" s="1" t="s">
        <v>125</v>
      </c>
      <c r="D23" s="19"/>
      <c r="E23" s="191">
        <f>INDEX('8. Business Loan'!$I$3:$L$62,MATCH(E$7,'8. Business Loan'!$H$3:$H$62,0),3)</f>
        <v>15.668182730715428</v>
      </c>
      <c r="F23" s="191">
        <f>INDEX('8. Business Loan'!$I$3:$L$62,MATCH(F$7,'8. Business Loan'!$H$3:$H$62,0),3)</f>
        <v>15.668182730715428</v>
      </c>
      <c r="G23" s="191">
        <f>INDEX('8. Business Loan'!$I$3:$L$62,MATCH(G$7,'8. Business Loan'!$H$3:$H$62,0),3)</f>
        <v>15.668182730715426</v>
      </c>
      <c r="H23" s="191">
        <f>INDEX('8. Business Loan'!$I$3:$L$62,MATCH(H$7,'8. Business Loan'!$H$3:$H$62,0),3)</f>
        <v>15.668182730715428</v>
      </c>
      <c r="I23" s="191">
        <f>INDEX('8. Business Loan'!$I$3:$L$62,MATCH(I$7,'8. Business Loan'!$H$3:$H$62,0),3)</f>
        <v>15.668182730715426</v>
      </c>
      <c r="J23" s="191">
        <f>INDEX('8. Business Loan'!$I$3:$L$62,MATCH(J$7,'8. Business Loan'!$H$3:$H$62,0),3)</f>
        <v>15.668182730715426</v>
      </c>
      <c r="K23" s="191">
        <f>INDEX('8. Business Loan'!$I$3:$L$62,MATCH(K$7,'8. Business Loan'!$H$3:$H$62,0),3)</f>
        <v>15.668182730715428</v>
      </c>
      <c r="L23" s="191">
        <f>INDEX('8. Business Loan'!$I$3:$L$62,MATCH(L$7,'8. Business Loan'!$H$3:$H$62,0),3)</f>
        <v>15.668182730715428</v>
      </c>
      <c r="M23" s="191">
        <f>INDEX('8. Business Loan'!$I$3:$L$62,MATCH(M$7,'8. Business Loan'!$H$3:$H$62,0),3)</f>
        <v>15.668182730715428</v>
      </c>
      <c r="N23" s="191">
        <f>INDEX('8. Business Loan'!$I$3:$L$62,MATCH(N$7,'8. Business Loan'!$H$3:$H$62,0),3)</f>
        <v>15.668182730715428</v>
      </c>
      <c r="O23" s="191">
        <f>INDEX('8. Business Loan'!$I$3:$L$62,MATCH(O$7,'8. Business Loan'!$H$3:$H$62,0),3)</f>
        <v>15.668182730715426</v>
      </c>
      <c r="P23" s="191">
        <f>INDEX('8. Business Loan'!$I$3:$L$62,MATCH(P$7,'8. Business Loan'!$H$3:$H$62,0),3)</f>
        <v>15.668182730715426</v>
      </c>
      <c r="Q23" s="179">
        <f>SUM(E23:P23)</f>
        <v>188.0181927685851</v>
      </c>
    </row>
    <row r="24" spans="1:17" ht="12.75" customHeight="1" thickBot="1" x14ac:dyDescent="0.25">
      <c r="A24" s="1"/>
      <c r="B24" s="1"/>
      <c r="C24" s="1" t="s">
        <v>47</v>
      </c>
      <c r="D24" s="19"/>
      <c r="E24" s="192">
        <v>0</v>
      </c>
      <c r="F24" s="192">
        <v>0</v>
      </c>
      <c r="G24" s="192">
        <v>0</v>
      </c>
      <c r="H24" s="192">
        <v>0</v>
      </c>
      <c r="I24" s="192">
        <v>0</v>
      </c>
      <c r="J24" s="192">
        <v>0</v>
      </c>
      <c r="K24" s="192">
        <v>0</v>
      </c>
      <c r="L24" s="192">
        <v>300</v>
      </c>
      <c r="M24" s="192">
        <v>0</v>
      </c>
      <c r="N24" s="192">
        <v>0</v>
      </c>
      <c r="O24" s="192">
        <v>0</v>
      </c>
      <c r="P24" s="192">
        <v>0</v>
      </c>
      <c r="Q24" s="180">
        <f>SUM(E24:P24)</f>
        <v>300</v>
      </c>
    </row>
    <row r="25" spans="1:17" ht="12.75" customHeight="1" x14ac:dyDescent="0.2">
      <c r="A25" s="1" t="s">
        <v>48</v>
      </c>
      <c r="B25" s="1"/>
      <c r="C25" s="1"/>
      <c r="D25" s="19"/>
      <c r="E25" s="181">
        <f>SUM(E16:E24)</f>
        <v>98.708856812736258</v>
      </c>
      <c r="F25" s="181">
        <f t="shared" ref="F25:P25" si="2">SUM(F16:F24)</f>
        <v>101.89715281523625</v>
      </c>
      <c r="G25" s="181">
        <f t="shared" si="2"/>
        <v>137.42111656642373</v>
      </c>
      <c r="H25" s="181">
        <f t="shared" si="2"/>
        <v>210.47983906879873</v>
      </c>
      <c r="I25" s="181">
        <f t="shared" si="2"/>
        <v>866.26022734017386</v>
      </c>
      <c r="J25" s="181">
        <f t="shared" si="2"/>
        <v>1375.8356103567987</v>
      </c>
      <c r="K25" s="181">
        <f t="shared" si="2"/>
        <v>1668.1580606162991</v>
      </c>
      <c r="L25" s="181">
        <f t="shared" si="2"/>
        <v>1968.1580606162991</v>
      </c>
      <c r="M25" s="181">
        <f t="shared" si="2"/>
        <v>1302.6893276044236</v>
      </c>
      <c r="N25" s="181">
        <f t="shared" si="2"/>
        <v>356.68484432354876</v>
      </c>
      <c r="O25" s="181">
        <f t="shared" si="2"/>
        <v>170.40157006142374</v>
      </c>
      <c r="P25" s="181">
        <f t="shared" si="2"/>
        <v>133.00868106142374</v>
      </c>
      <c r="Q25" s="179">
        <f>SUM(E25:P25)</f>
        <v>8389.7033472435851</v>
      </c>
    </row>
    <row r="26" spans="1:17" ht="12.75" customHeight="1" x14ac:dyDescent="0.2">
      <c r="A26" s="1"/>
      <c r="B26" s="1"/>
      <c r="C26" s="1"/>
      <c r="D26" s="19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</row>
    <row r="27" spans="1:17" ht="12.75" customHeight="1" x14ac:dyDescent="0.2">
      <c r="A27" s="1" t="s">
        <v>50</v>
      </c>
      <c r="B27" s="1"/>
      <c r="C27" s="1"/>
      <c r="D27" s="19"/>
      <c r="E27" s="181">
        <f>E12-E25</f>
        <v>-47.596356812736261</v>
      </c>
      <c r="F27" s="181">
        <f t="shared" ref="F27:P27" si="3">F12-F25</f>
        <v>-46.772152815236254</v>
      </c>
      <c r="G27" s="181">
        <f t="shared" si="3"/>
        <v>-29.371116566423737</v>
      </c>
      <c r="H27" s="181">
        <f t="shared" si="3"/>
        <v>5.6201609312012692</v>
      </c>
      <c r="I27" s="181">
        <f t="shared" si="3"/>
        <v>318.92727265982614</v>
      </c>
      <c r="J27" s="181">
        <f t="shared" si="3"/>
        <v>562.72688964320128</v>
      </c>
      <c r="K27" s="181">
        <f t="shared" si="3"/>
        <v>702.21693938370095</v>
      </c>
      <c r="L27" s="181">
        <f t="shared" si="3"/>
        <v>402.21693938370095</v>
      </c>
      <c r="M27" s="181">
        <f t="shared" si="3"/>
        <v>528.21067239557647</v>
      </c>
      <c r="N27" s="181">
        <f t="shared" si="3"/>
        <v>75.127655676451297</v>
      </c>
      <c r="O27" s="181">
        <f t="shared" si="3"/>
        <v>-16.15157006142374</v>
      </c>
      <c r="P27" s="181">
        <f t="shared" si="3"/>
        <v>-31.558681061423741</v>
      </c>
      <c r="Q27" s="181">
        <f>SUM(E27:P27)</f>
        <v>2423.5966527564151</v>
      </c>
    </row>
    <row r="28" spans="1:17" ht="12.75" customHeight="1" x14ac:dyDescent="0.2">
      <c r="A28" s="1"/>
      <c r="B28" s="1"/>
      <c r="C28" s="1"/>
      <c r="D28" s="19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</row>
    <row r="29" spans="1:17" ht="12.75" customHeight="1" thickBot="1" x14ac:dyDescent="0.25">
      <c r="A29" s="1" t="s">
        <v>49</v>
      </c>
      <c r="B29" s="1"/>
      <c r="C29" s="1"/>
      <c r="D29" s="19"/>
      <c r="E29" s="180">
        <f>E8+E27</f>
        <v>266.40364318726375</v>
      </c>
      <c r="F29" s="180">
        <f t="shared" ref="F29:P29" si="4">F8+F27</f>
        <v>219.63149037202749</v>
      </c>
      <c r="G29" s="180">
        <f t="shared" si="4"/>
        <v>190.26037380560376</v>
      </c>
      <c r="H29" s="180">
        <f t="shared" si="4"/>
        <v>195.88053473680503</v>
      </c>
      <c r="I29" s="180">
        <f t="shared" si="4"/>
        <v>514.80780739663123</v>
      </c>
      <c r="J29" s="180">
        <f t="shared" si="4"/>
        <v>1077.5346970398325</v>
      </c>
      <c r="K29" s="180">
        <f t="shared" si="4"/>
        <v>1779.7516364235335</v>
      </c>
      <c r="L29" s="180">
        <f t="shared" si="4"/>
        <v>2181.9685758072346</v>
      </c>
      <c r="M29" s="180">
        <f t="shared" si="4"/>
        <v>2710.1792482028113</v>
      </c>
      <c r="N29" s="180">
        <f t="shared" si="4"/>
        <v>2785.3069038792628</v>
      </c>
      <c r="O29" s="180">
        <f t="shared" si="4"/>
        <v>2769.1553338178392</v>
      </c>
      <c r="P29" s="180">
        <f t="shared" si="4"/>
        <v>2737.5966527564156</v>
      </c>
      <c r="Q29" s="180"/>
    </row>
    <row r="30" spans="1:17" ht="12.75" customHeight="1" x14ac:dyDescent="0.2">
      <c r="A30" s="1"/>
      <c r="B30" s="1"/>
      <c r="C30" s="1"/>
      <c r="D30" s="19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1:17" ht="12.75" customHeight="1" x14ac:dyDescent="0.2">
      <c r="A31" s="1"/>
      <c r="B31" s="1"/>
      <c r="C31" s="1"/>
      <c r="D31" s="19"/>
      <c r="E31" s="30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 ht="12.75" customHeight="1" x14ac:dyDescent="0.2">
      <c r="A32" s="1"/>
      <c r="B32" s="1"/>
      <c r="C32" s="1"/>
      <c r="D32" s="19"/>
      <c r="E32" s="19"/>
      <c r="F32" s="15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ht="12.75" customHeight="1" x14ac:dyDescent="0.2">
      <c r="A33" s="1"/>
      <c r="B33" s="1"/>
      <c r="C33" s="1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ht="12.75" customHeight="1" x14ac:dyDescent="0.2">
      <c r="A34" s="1"/>
      <c r="B34" s="1"/>
      <c r="C34" s="1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ht="12.75" customHeight="1" x14ac:dyDescent="0.2">
      <c r="A35" s="1"/>
      <c r="B35" s="1"/>
      <c r="C35" s="1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 ht="12.75" customHeight="1" x14ac:dyDescent="0.2">
      <c r="A36" s="1"/>
      <c r="B36" s="1"/>
      <c r="C36" s="1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</row>
    <row r="37" spans="1:17" ht="12.75" customHeight="1" x14ac:dyDescent="0.2">
      <c r="A37" s="1"/>
      <c r="B37" s="1"/>
      <c r="C37" s="1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</row>
    <row r="38" spans="1:17" ht="12.75" customHeight="1" x14ac:dyDescent="0.2">
      <c r="A38" s="1"/>
      <c r="B38" s="1"/>
      <c r="C38" s="1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</row>
    <row r="39" spans="1:17" ht="12.75" customHeight="1" x14ac:dyDescent="0.2">
      <c r="A39" s="1"/>
      <c r="B39" s="1"/>
      <c r="C39" s="1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1:17" ht="12.75" customHeight="1" x14ac:dyDescent="0.2"/>
    <row r="41" spans="1:17" ht="12.75" customHeight="1" x14ac:dyDescent="0.2"/>
    <row r="42" spans="1:17" ht="12.75" customHeight="1" x14ac:dyDescent="0.2"/>
    <row r="43" spans="1:17" ht="12.75" customHeight="1" x14ac:dyDescent="0.2"/>
    <row r="44" spans="1:17" ht="12.75" customHeight="1" x14ac:dyDescent="0.2">
      <c r="D44" s="5"/>
    </row>
    <row r="45" spans="1:17" ht="12.75" customHeight="1" x14ac:dyDescent="0.2">
      <c r="D45" s="5"/>
    </row>
    <row r="46" spans="1:17" ht="12.75" customHeight="1" x14ac:dyDescent="0.2">
      <c r="D46" s="5"/>
    </row>
    <row r="47" spans="1:17" ht="12.75" customHeight="1" x14ac:dyDescent="0.2">
      <c r="D47" s="5"/>
    </row>
    <row r="48" spans="1:17" ht="12.75" customHeight="1" x14ac:dyDescent="0.2">
      <c r="D48" s="5"/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</sheetData>
  <phoneticPr fontId="5" type="noConversion"/>
  <pageMargins left="0.75" right="0.75" top="1" bottom="0.75" header="0.5" footer="0.5"/>
  <pageSetup scale="73" orientation="landscape" blackAndWhite="1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>
    <tabColor theme="7" tint="0.39997558519241921"/>
  </sheetPr>
  <dimension ref="A1:L76"/>
  <sheetViews>
    <sheetView showGridLines="0" zoomScaleNormal="100" workbookViewId="0">
      <selection activeCell="K9" sqref="K9"/>
    </sheetView>
  </sheetViews>
  <sheetFormatPr defaultRowHeight="12" x14ac:dyDescent="0.2"/>
  <cols>
    <col min="1" max="3" width="3" style="4" customWidth="1"/>
    <col min="4" max="4" width="22.7109375" customWidth="1"/>
    <col min="5" max="5" width="10.7109375" customWidth="1"/>
    <col min="6" max="6" width="20.7109375" customWidth="1"/>
    <col min="7" max="7" width="6.7109375" customWidth="1"/>
    <col min="8" max="8" width="20.7109375" customWidth="1"/>
    <col min="9" max="11" width="10.7109375" customWidth="1"/>
    <col min="12" max="12" width="15.7109375" customWidth="1"/>
  </cols>
  <sheetData>
    <row r="1" spans="1:12" ht="15.75" x14ac:dyDescent="0.25">
      <c r="A1" s="3" t="s">
        <v>88</v>
      </c>
    </row>
    <row r="2" spans="1:12" ht="15.75" x14ac:dyDescent="0.25">
      <c r="A2" s="3" t="s">
        <v>130</v>
      </c>
    </row>
    <row r="3" spans="1:12" ht="12.75" customHeight="1" x14ac:dyDescent="0.2">
      <c r="A3" s="1"/>
      <c r="B3" s="1"/>
      <c r="C3" s="1"/>
      <c r="D3" s="19"/>
      <c r="E3" s="19"/>
      <c r="F3" s="19"/>
      <c r="G3" s="19"/>
      <c r="H3" s="19"/>
      <c r="I3" s="19"/>
      <c r="J3" s="19"/>
      <c r="K3" s="5"/>
      <c r="L3" s="5"/>
    </row>
    <row r="4" spans="1:12" ht="12.75" customHeight="1" thickBot="1" x14ac:dyDescent="0.25">
      <c r="A4" s="1"/>
      <c r="B4" s="1"/>
      <c r="C4" s="1"/>
      <c r="D4" s="19"/>
      <c r="E4" s="20"/>
      <c r="F4" s="215" t="str">
        <f>'10. 2015 Balance Sheet'!F4</f>
        <v>12/31/2015</v>
      </c>
      <c r="G4" s="19"/>
      <c r="H4" s="68" t="s">
        <v>152</v>
      </c>
      <c r="I4" s="19"/>
      <c r="J4" s="19"/>
      <c r="K4" s="5"/>
      <c r="L4" s="5"/>
    </row>
    <row r="5" spans="1:12" ht="12.75" customHeight="1" thickTop="1" x14ac:dyDescent="0.2">
      <c r="A5" s="1"/>
      <c r="B5" s="1"/>
      <c r="C5" s="1"/>
      <c r="D5" s="19"/>
      <c r="E5" s="19"/>
      <c r="F5" s="22"/>
      <c r="G5" s="19"/>
      <c r="H5" s="19"/>
      <c r="I5" s="19"/>
      <c r="J5" s="19"/>
      <c r="K5" s="5"/>
      <c r="L5" s="5"/>
    </row>
    <row r="6" spans="1:12" ht="12.75" customHeight="1" x14ac:dyDescent="0.2">
      <c r="A6" s="1" t="s">
        <v>51</v>
      </c>
      <c r="B6" s="1"/>
      <c r="C6" s="1"/>
      <c r="D6" s="19"/>
      <c r="E6" s="19"/>
      <c r="F6" s="67"/>
      <c r="G6" s="20"/>
      <c r="H6" s="20"/>
      <c r="I6" s="20"/>
      <c r="J6" s="20"/>
      <c r="K6" s="11"/>
      <c r="L6" s="11"/>
    </row>
    <row r="7" spans="1:12" ht="12.75" customHeight="1" x14ac:dyDescent="0.2">
      <c r="A7" s="1"/>
      <c r="B7" s="1" t="s">
        <v>52</v>
      </c>
      <c r="C7" s="1"/>
      <c r="D7" s="19"/>
      <c r="E7" s="19"/>
      <c r="F7" s="67"/>
      <c r="G7" s="19"/>
      <c r="H7" s="19"/>
      <c r="I7" s="19"/>
      <c r="J7" s="19"/>
      <c r="K7" s="5"/>
      <c r="L7" s="5"/>
    </row>
    <row r="8" spans="1:12" ht="12.75" customHeight="1" x14ac:dyDescent="0.2">
      <c r="A8" s="1"/>
      <c r="B8" s="1"/>
      <c r="C8" s="1" t="s">
        <v>53</v>
      </c>
      <c r="D8" s="19"/>
      <c r="E8" s="19"/>
      <c r="F8" s="154">
        <f>'10. 2015 Balance Sheet'!F8</f>
        <v>314</v>
      </c>
      <c r="G8" s="19"/>
      <c r="H8" s="154">
        <f>'3. Projected Cash Flows'!P29</f>
        <v>2737.5966527564156</v>
      </c>
      <c r="I8" s="19"/>
      <c r="J8" s="19"/>
      <c r="K8" s="5"/>
      <c r="L8" s="5"/>
    </row>
    <row r="9" spans="1:12" ht="12.75" customHeight="1" thickBot="1" x14ac:dyDescent="0.25">
      <c r="A9" s="1"/>
      <c r="B9" s="1"/>
      <c r="C9" s="1" t="s">
        <v>55</v>
      </c>
      <c r="D9" s="19"/>
      <c r="E9" s="19"/>
      <c r="F9" s="212">
        <f>'10. 2015 Balance Sheet'!F9</f>
        <v>132</v>
      </c>
      <c r="G9" s="19"/>
      <c r="H9" s="155">
        <v>132</v>
      </c>
      <c r="I9" s="19"/>
      <c r="J9" s="19"/>
      <c r="K9" s="5"/>
      <c r="L9" s="5"/>
    </row>
    <row r="10" spans="1:12" ht="12.75" customHeight="1" x14ac:dyDescent="0.2">
      <c r="A10" s="1"/>
      <c r="B10" s="1" t="s">
        <v>56</v>
      </c>
      <c r="C10" s="1"/>
      <c r="D10" s="19"/>
      <c r="E10" s="44"/>
      <c r="F10" s="101">
        <f>SUM(F8:F9)</f>
        <v>446</v>
      </c>
      <c r="G10" s="19"/>
      <c r="H10" s="101">
        <f>SUM(H8:H9)</f>
        <v>2869.5966527564156</v>
      </c>
      <c r="I10" s="19"/>
      <c r="J10" s="19"/>
      <c r="K10" s="5"/>
      <c r="L10" s="5"/>
    </row>
    <row r="11" spans="1:12" ht="12.75" customHeight="1" x14ac:dyDescent="0.2">
      <c r="A11" s="1"/>
      <c r="B11" s="1"/>
      <c r="C11" s="1"/>
      <c r="D11" s="19"/>
      <c r="E11" s="44"/>
      <c r="F11" s="101"/>
      <c r="G11" s="19"/>
      <c r="H11" s="94"/>
      <c r="I11" s="19"/>
      <c r="J11" s="19"/>
      <c r="K11" s="5"/>
      <c r="L11" s="5"/>
    </row>
    <row r="12" spans="1:12" ht="12.75" customHeight="1" x14ac:dyDescent="0.2">
      <c r="A12" s="1"/>
      <c r="B12" s="1" t="s">
        <v>2</v>
      </c>
      <c r="C12" s="1"/>
      <c r="D12" s="19"/>
      <c r="E12" s="30"/>
      <c r="F12" s="101"/>
      <c r="G12" s="44"/>
      <c r="H12" s="94"/>
      <c r="I12" s="44"/>
      <c r="J12" s="44"/>
      <c r="K12" s="12"/>
      <c r="L12" s="12"/>
    </row>
    <row r="13" spans="1:12" ht="12.75" customHeight="1" thickBot="1" x14ac:dyDescent="0.25">
      <c r="A13" s="1"/>
      <c r="B13" s="1"/>
      <c r="C13" s="1" t="s">
        <v>79</v>
      </c>
      <c r="D13" s="19"/>
      <c r="E13" s="30"/>
      <c r="F13" s="155">
        <f>'10. 2015 Balance Sheet'!F13</f>
        <v>500</v>
      </c>
      <c r="G13" s="44"/>
      <c r="H13" s="155">
        <f>F13+'3. Projected Cash Flows'!Q16</f>
        <v>500</v>
      </c>
      <c r="I13" s="44"/>
      <c r="J13" s="44"/>
      <c r="K13" s="12"/>
      <c r="L13" s="12"/>
    </row>
    <row r="14" spans="1:12" ht="12.75" customHeight="1" x14ac:dyDescent="0.2">
      <c r="A14" s="1"/>
      <c r="B14" s="1" t="s">
        <v>3</v>
      </c>
      <c r="C14" s="1"/>
      <c r="D14" s="19"/>
      <c r="E14" s="44"/>
      <c r="F14" s="157">
        <f>F13</f>
        <v>500</v>
      </c>
      <c r="G14" s="30"/>
      <c r="H14" s="157">
        <f>H13</f>
        <v>500</v>
      </c>
      <c r="I14" s="30"/>
      <c r="J14" s="30"/>
      <c r="K14" s="13"/>
      <c r="L14" s="13"/>
    </row>
    <row r="15" spans="1:12" ht="12.75" customHeight="1" x14ac:dyDescent="0.2">
      <c r="A15" s="1"/>
      <c r="B15" s="1"/>
      <c r="C15" s="1"/>
      <c r="D15" s="19"/>
      <c r="E15" s="30"/>
      <c r="F15" s="157"/>
      <c r="G15" s="30"/>
      <c r="H15" s="160"/>
      <c r="I15" s="30"/>
      <c r="J15" s="30"/>
      <c r="K15" s="13"/>
      <c r="L15" s="13"/>
    </row>
    <row r="16" spans="1:12" ht="12.75" customHeight="1" x14ac:dyDescent="0.2">
      <c r="A16" s="1"/>
      <c r="B16" s="1" t="s">
        <v>57</v>
      </c>
      <c r="C16" s="1"/>
      <c r="D16" s="19"/>
      <c r="E16" s="19"/>
      <c r="F16" s="213">
        <f>'10. 2015 Balance Sheet'!F16</f>
        <v>100</v>
      </c>
      <c r="G16" s="44"/>
      <c r="H16" s="165">
        <f>F16+'2. Projected Income Statement'!Q35</f>
        <v>169.99599999999998</v>
      </c>
      <c r="I16" s="44"/>
      <c r="J16" s="44"/>
      <c r="K16" s="12"/>
      <c r="L16" s="12"/>
    </row>
    <row r="17" spans="1:12" ht="12.75" customHeight="1" thickBot="1" x14ac:dyDescent="0.25">
      <c r="A17" s="1"/>
      <c r="B17" s="1"/>
      <c r="C17" s="1"/>
      <c r="D17" s="19"/>
      <c r="E17" s="19"/>
      <c r="F17" s="102"/>
      <c r="G17" s="44"/>
      <c r="H17" s="161"/>
      <c r="I17" s="44"/>
      <c r="J17" s="44"/>
      <c r="K17" s="12"/>
      <c r="L17" s="12"/>
    </row>
    <row r="18" spans="1:12" ht="12.75" customHeight="1" thickBot="1" x14ac:dyDescent="0.25">
      <c r="A18" s="1" t="s">
        <v>58</v>
      </c>
      <c r="B18" s="1"/>
      <c r="C18" s="1"/>
      <c r="D18" s="19"/>
      <c r="E18" s="19"/>
      <c r="F18" s="158">
        <f>F10+F14-F16</f>
        <v>846</v>
      </c>
      <c r="G18" s="30"/>
      <c r="H18" s="158">
        <f>ROUND(H10+H14-H16,0)</f>
        <v>3200</v>
      </c>
      <c r="I18" s="30"/>
      <c r="J18" s="30"/>
      <c r="K18" s="13"/>
      <c r="L18" s="13"/>
    </row>
    <row r="19" spans="1:12" ht="12.75" customHeight="1" thickTop="1" x14ac:dyDescent="0.2">
      <c r="A19" s="1"/>
      <c r="B19" s="1"/>
      <c r="C19" s="1"/>
      <c r="D19" s="19"/>
      <c r="E19" s="19"/>
      <c r="F19" s="157"/>
      <c r="G19" s="30"/>
      <c r="H19" s="160"/>
      <c r="I19" s="30"/>
      <c r="J19" s="30"/>
      <c r="K19" s="13"/>
      <c r="L19" s="13"/>
    </row>
    <row r="20" spans="1:12" ht="12.75" customHeight="1" x14ac:dyDescent="0.2">
      <c r="A20" s="1" t="s">
        <v>59</v>
      </c>
      <c r="B20" s="1"/>
      <c r="C20" s="1"/>
      <c r="D20" s="19"/>
      <c r="E20" s="19"/>
      <c r="F20" s="157"/>
      <c r="G20" s="44"/>
      <c r="H20" s="160"/>
      <c r="I20" s="30"/>
      <c r="J20" s="30"/>
      <c r="K20" s="13"/>
      <c r="L20" s="13"/>
    </row>
    <row r="21" spans="1:12" ht="12.75" customHeight="1" x14ac:dyDescent="0.2">
      <c r="A21" s="1"/>
      <c r="B21" s="1" t="s">
        <v>60</v>
      </c>
      <c r="C21" s="1"/>
      <c r="D21" s="19"/>
      <c r="E21" s="19"/>
      <c r="F21" s="157"/>
      <c r="G21" s="30"/>
      <c r="H21" s="160"/>
      <c r="I21" s="44"/>
      <c r="J21" s="44"/>
      <c r="K21" s="12"/>
      <c r="L21" s="12"/>
    </row>
    <row r="22" spans="1:12" ht="12.75" customHeight="1" thickBot="1" x14ac:dyDescent="0.25">
      <c r="A22" s="1"/>
      <c r="B22" s="1"/>
      <c r="C22" s="1" t="s">
        <v>4</v>
      </c>
      <c r="D22" s="19"/>
      <c r="E22" s="30"/>
      <c r="F22" s="212">
        <f>'10. 2015 Balance Sheet'!F24</f>
        <v>346</v>
      </c>
      <c r="G22" s="19"/>
      <c r="H22" s="155">
        <f>-'8. Business Loan'!L27</f>
        <v>180.1180098945062</v>
      </c>
      <c r="I22" s="44"/>
      <c r="J22" s="44"/>
      <c r="K22" s="12"/>
      <c r="L22" s="12"/>
    </row>
    <row r="23" spans="1:12" ht="12.75" customHeight="1" x14ac:dyDescent="0.2">
      <c r="A23" s="1"/>
      <c r="B23" s="1" t="s">
        <v>61</v>
      </c>
      <c r="C23" s="1"/>
      <c r="D23" s="19"/>
      <c r="E23" s="19"/>
      <c r="F23" s="157">
        <f>F22</f>
        <v>346</v>
      </c>
      <c r="G23" s="95"/>
      <c r="H23" s="157">
        <f>H22</f>
        <v>180.1180098945062</v>
      </c>
      <c r="I23" s="30"/>
      <c r="J23" s="30"/>
      <c r="K23" s="13"/>
      <c r="L23" s="13"/>
    </row>
    <row r="24" spans="1:12" ht="12.75" customHeight="1" x14ac:dyDescent="0.2">
      <c r="A24" s="1"/>
      <c r="B24" s="1"/>
      <c r="C24" s="1"/>
      <c r="D24" s="19"/>
      <c r="E24" s="19"/>
      <c r="F24" s="159"/>
      <c r="G24" s="19"/>
      <c r="H24" s="162"/>
      <c r="I24" s="19"/>
      <c r="J24" s="19"/>
      <c r="K24" s="5"/>
      <c r="L24" s="5"/>
    </row>
    <row r="25" spans="1:12" ht="12.75" customHeight="1" x14ac:dyDescent="0.2">
      <c r="A25" s="1"/>
      <c r="B25" s="1" t="s">
        <v>62</v>
      </c>
      <c r="C25" s="1"/>
      <c r="D25" s="19"/>
      <c r="E25" s="19"/>
      <c r="F25" s="159"/>
      <c r="G25" s="19"/>
      <c r="H25" s="162"/>
      <c r="I25" s="19"/>
      <c r="J25" s="19"/>
      <c r="K25" s="5"/>
      <c r="L25" s="5"/>
    </row>
    <row r="26" spans="1:12" ht="15.95" customHeight="1" x14ac:dyDescent="0.2">
      <c r="A26" s="1"/>
      <c r="B26" s="1"/>
      <c r="C26" s="1" t="s">
        <v>63</v>
      </c>
      <c r="D26" s="19"/>
      <c r="E26" s="19"/>
      <c r="F26" s="214">
        <f>'10. 2015 Balance Sheet'!F28</f>
        <v>200</v>
      </c>
      <c r="G26" s="19"/>
      <c r="H26" s="163">
        <f>F26</f>
        <v>200</v>
      </c>
      <c r="I26" s="19"/>
      <c r="J26" s="19"/>
      <c r="K26" s="5"/>
      <c r="L26" s="5"/>
    </row>
    <row r="27" spans="1:12" ht="12.75" customHeight="1" x14ac:dyDescent="0.2">
      <c r="A27" s="1"/>
      <c r="B27" s="1"/>
      <c r="C27" s="1" t="s">
        <v>64</v>
      </c>
      <c r="D27" s="19"/>
      <c r="E27" s="19"/>
      <c r="F27" s="214">
        <f>'10. 2015 Balance Sheet'!F29</f>
        <v>957</v>
      </c>
      <c r="G27" s="19"/>
      <c r="H27" s="166">
        <f>F27+'2. Projected Income Statement'!Q39</f>
        <v>3776.9146803827639</v>
      </c>
      <c r="I27" s="19"/>
      <c r="J27" s="19"/>
      <c r="K27" s="5"/>
      <c r="L27" s="5"/>
    </row>
    <row r="28" spans="1:12" ht="12.75" customHeight="1" thickBot="1" x14ac:dyDescent="0.25">
      <c r="A28" s="1"/>
      <c r="B28" s="1"/>
      <c r="C28" s="1" t="s">
        <v>65</v>
      </c>
      <c r="D28" s="19"/>
      <c r="E28" s="19"/>
      <c r="F28" s="212">
        <f>'10. 2015 Balance Sheet'!F30</f>
        <v>657</v>
      </c>
      <c r="G28" s="19"/>
      <c r="H28" s="155">
        <f>F28+'3. Projected Cash Flows'!Q24</f>
        <v>957</v>
      </c>
      <c r="I28" s="19"/>
      <c r="J28" s="19"/>
      <c r="K28" s="5"/>
      <c r="L28" s="5"/>
    </row>
    <row r="29" spans="1:12" ht="12.75" customHeight="1" x14ac:dyDescent="0.2">
      <c r="A29" s="1"/>
      <c r="B29" s="1" t="s">
        <v>66</v>
      </c>
      <c r="C29" s="1"/>
      <c r="D29" s="19"/>
      <c r="E29" s="19"/>
      <c r="F29" s="159">
        <f>F26+F27-F28</f>
        <v>500</v>
      </c>
      <c r="G29" s="19"/>
      <c r="H29" s="159">
        <f>H26+H27-H28</f>
        <v>3019.9146803827639</v>
      </c>
      <c r="I29" s="19"/>
      <c r="J29" s="19"/>
      <c r="K29" s="5"/>
      <c r="L29" s="5"/>
    </row>
    <row r="30" spans="1:12" ht="12.75" customHeight="1" thickBot="1" x14ac:dyDescent="0.25">
      <c r="A30" s="1"/>
      <c r="B30" s="1"/>
      <c r="C30" s="1"/>
      <c r="D30" s="19"/>
      <c r="E30" s="19"/>
      <c r="F30" s="102"/>
      <c r="G30" s="44"/>
      <c r="H30" s="161"/>
      <c r="I30" s="19"/>
      <c r="J30" s="19"/>
      <c r="K30" s="5"/>
      <c r="L30" s="5"/>
    </row>
    <row r="31" spans="1:12" ht="12.75" customHeight="1" thickBot="1" x14ac:dyDescent="0.25">
      <c r="A31" s="1" t="s">
        <v>67</v>
      </c>
      <c r="B31" s="1"/>
      <c r="C31" s="1"/>
      <c r="D31" s="19"/>
      <c r="E31" s="19"/>
      <c r="F31" s="156">
        <f>F23+F29</f>
        <v>846</v>
      </c>
      <c r="G31" s="30"/>
      <c r="H31" s="156">
        <f>ROUND(H23+H29,0)</f>
        <v>3200</v>
      </c>
      <c r="I31" s="19"/>
      <c r="J31" s="19"/>
      <c r="K31" s="5"/>
      <c r="L31" s="5"/>
    </row>
    <row r="32" spans="1:12" ht="12.75" customHeight="1" thickTop="1" x14ac:dyDescent="0.2">
      <c r="I32" s="44"/>
      <c r="J32" s="44"/>
      <c r="K32" s="12"/>
      <c r="L32" s="12"/>
    </row>
    <row r="33" spans="1:12" ht="12.75" customHeight="1" x14ac:dyDescent="0.2">
      <c r="I33" s="30"/>
      <c r="J33" s="30"/>
      <c r="K33" s="13"/>
      <c r="L33" s="5"/>
    </row>
    <row r="34" spans="1:12" ht="12.75" customHeight="1" x14ac:dyDescent="0.2">
      <c r="A34" s="1"/>
      <c r="B34" s="1"/>
      <c r="C34" s="1"/>
      <c r="D34" s="19"/>
      <c r="E34" s="19"/>
      <c r="F34" s="44"/>
      <c r="G34" s="19"/>
      <c r="H34" s="19"/>
      <c r="I34" s="19"/>
      <c r="J34" s="19"/>
      <c r="K34" s="5"/>
      <c r="L34" s="5"/>
    </row>
    <row r="35" spans="1:12" ht="12.75" customHeight="1" x14ac:dyDescent="0.2">
      <c r="A35" s="1"/>
      <c r="B35" s="1"/>
      <c r="C35" s="1"/>
      <c r="D35" s="19"/>
      <c r="E35" s="19"/>
      <c r="F35" s="19"/>
      <c r="G35" s="19"/>
      <c r="H35" s="19"/>
      <c r="I35" s="19"/>
      <c r="J35" s="19"/>
    </row>
    <row r="36" spans="1:12" ht="12.75" customHeight="1" x14ac:dyDescent="0.2">
      <c r="A36" s="1"/>
      <c r="B36" s="1"/>
      <c r="C36" s="1"/>
      <c r="D36" s="19"/>
      <c r="E36" s="19"/>
      <c r="F36" s="19"/>
      <c r="G36" s="19"/>
      <c r="H36" s="19"/>
      <c r="I36" s="19"/>
      <c r="J36" s="19"/>
    </row>
    <row r="37" spans="1:12" ht="12.75" customHeight="1" x14ac:dyDescent="0.2">
      <c r="A37" s="1"/>
      <c r="B37" s="1"/>
      <c r="C37" s="1"/>
      <c r="D37" s="19"/>
      <c r="E37" s="19"/>
      <c r="F37" s="153" t="str">
        <f>IF(F18=F31,"","Does Not Balance")</f>
        <v/>
      </c>
      <c r="G37" s="19"/>
      <c r="H37" s="153" t="str">
        <f>IF(H18=H31,"","Does Not Balance")</f>
        <v/>
      </c>
      <c r="I37" s="19"/>
      <c r="J37" s="19"/>
    </row>
    <row r="38" spans="1:12" ht="12.75" customHeight="1" x14ac:dyDescent="0.2">
      <c r="A38" s="1"/>
      <c r="B38" s="1"/>
      <c r="C38" s="1"/>
      <c r="D38" s="19"/>
      <c r="E38" s="19"/>
      <c r="F38" s="19"/>
      <c r="G38" s="19"/>
      <c r="H38" s="19"/>
      <c r="I38" s="19"/>
      <c r="J38" s="19"/>
    </row>
    <row r="39" spans="1:12" ht="12.75" customHeight="1" x14ac:dyDescent="0.2">
      <c r="A39" s="1"/>
      <c r="B39" s="1"/>
      <c r="C39" s="1"/>
      <c r="D39" s="19"/>
      <c r="E39" s="19"/>
      <c r="F39" s="19"/>
      <c r="G39" s="19"/>
      <c r="H39" s="19"/>
      <c r="I39" s="19"/>
      <c r="J39" s="19"/>
    </row>
    <row r="40" spans="1:12" ht="12.75" customHeight="1" x14ac:dyDescent="0.2"/>
    <row r="41" spans="1:12" ht="12.75" customHeight="1" x14ac:dyDescent="0.2"/>
    <row r="42" spans="1:12" ht="12.75" customHeight="1" x14ac:dyDescent="0.2"/>
    <row r="43" spans="1:12" ht="12.75" customHeight="1" x14ac:dyDescent="0.2"/>
    <row r="44" spans="1:12" ht="12.75" customHeight="1" x14ac:dyDescent="0.2"/>
    <row r="45" spans="1:12" ht="12.75" customHeight="1" x14ac:dyDescent="0.2">
      <c r="D45" s="5"/>
    </row>
    <row r="46" spans="1:12" ht="12.75" customHeight="1" x14ac:dyDescent="0.2">
      <c r="D46" s="5"/>
    </row>
    <row r="47" spans="1:12" ht="12.75" customHeight="1" x14ac:dyDescent="0.2">
      <c r="D47" s="5"/>
    </row>
    <row r="48" spans="1:12" ht="12.75" customHeight="1" x14ac:dyDescent="0.2">
      <c r="D48" s="5"/>
    </row>
    <row r="49" spans="4:4" ht="12.75" customHeight="1" x14ac:dyDescent="0.2">
      <c r="D49" s="5"/>
    </row>
    <row r="50" spans="4:4" ht="12.75" customHeight="1" x14ac:dyDescent="0.2"/>
    <row r="51" spans="4:4" ht="12.75" customHeight="1" x14ac:dyDescent="0.2"/>
    <row r="52" spans="4:4" ht="12.75" customHeight="1" x14ac:dyDescent="0.2"/>
    <row r="53" spans="4:4" ht="12.75" customHeight="1" x14ac:dyDescent="0.2"/>
    <row r="54" spans="4:4" ht="12.75" customHeight="1" x14ac:dyDescent="0.2"/>
    <row r="55" spans="4:4" ht="12.75" customHeight="1" x14ac:dyDescent="0.2"/>
    <row r="56" spans="4:4" ht="12.75" customHeight="1" x14ac:dyDescent="0.2"/>
    <row r="57" spans="4:4" ht="12.75" customHeight="1" x14ac:dyDescent="0.2"/>
    <row r="58" spans="4:4" ht="12.75" customHeight="1" x14ac:dyDescent="0.2"/>
    <row r="59" spans="4:4" ht="12.75" customHeight="1" x14ac:dyDescent="0.2"/>
    <row r="60" spans="4:4" ht="12.75" customHeight="1" x14ac:dyDescent="0.2"/>
    <row r="61" spans="4:4" ht="12.75" customHeight="1" x14ac:dyDescent="0.2"/>
    <row r="62" spans="4:4" ht="12.75" customHeight="1" x14ac:dyDescent="0.2"/>
    <row r="63" spans="4:4" ht="12.75" customHeight="1" x14ac:dyDescent="0.2"/>
    <row r="64" spans="4: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</sheetData>
  <phoneticPr fontId="5" type="noConversion"/>
  <pageMargins left="0.75" right="0.75" top="1" bottom="0.75" header="0.5" footer="0.5"/>
  <pageSetup scale="7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>
    <tabColor theme="3" tint="0.59999389629810485"/>
  </sheetPr>
  <dimension ref="A1:R75"/>
  <sheetViews>
    <sheetView showGridLines="0" zoomScaleNormal="100" workbookViewId="0">
      <selection activeCell="F5" sqref="F5"/>
    </sheetView>
  </sheetViews>
  <sheetFormatPr defaultRowHeight="12" x14ac:dyDescent="0.2"/>
  <cols>
    <col min="1" max="3" width="3" style="4" customWidth="1"/>
    <col min="4" max="4" width="22.7109375" customWidth="1"/>
    <col min="5" max="5" width="10.7109375" customWidth="1"/>
    <col min="6" max="6" width="20.7109375" customWidth="1"/>
    <col min="7" max="7" width="8.7109375" customWidth="1"/>
    <col min="8" max="8" width="10.7109375" customWidth="1"/>
    <col min="9" max="9" width="20.7109375" customWidth="1"/>
    <col min="10" max="10" width="8.7109375" customWidth="1"/>
    <col min="11" max="17" width="10.7109375" customWidth="1"/>
    <col min="18" max="18" width="15.7109375" customWidth="1"/>
  </cols>
  <sheetData>
    <row r="1" spans="1:18" ht="15.75" x14ac:dyDescent="0.25">
      <c r="A1" s="3" t="s">
        <v>88</v>
      </c>
    </row>
    <row r="2" spans="1:18" ht="15.75" x14ac:dyDescent="0.25">
      <c r="A2" s="3" t="s">
        <v>112</v>
      </c>
    </row>
    <row r="3" spans="1:18" ht="12.75" customHeight="1" x14ac:dyDescent="0.2">
      <c r="A3" s="1"/>
      <c r="B3" s="1"/>
      <c r="C3" s="1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5"/>
      <c r="R3" s="5"/>
    </row>
    <row r="4" spans="1:18" ht="12.75" customHeight="1" thickBot="1" x14ac:dyDescent="0.25">
      <c r="A4" s="1"/>
      <c r="B4" s="1"/>
      <c r="C4" s="1"/>
      <c r="D4" s="19"/>
      <c r="E4" s="20"/>
      <c r="F4" s="196" t="s">
        <v>151</v>
      </c>
      <c r="G4" s="43"/>
      <c r="H4" s="20"/>
      <c r="I4" s="20"/>
      <c r="J4" s="43"/>
      <c r="K4" s="20"/>
      <c r="L4" s="20"/>
      <c r="M4" s="20"/>
      <c r="N4" s="20"/>
      <c r="O4" s="20"/>
      <c r="P4" s="20"/>
      <c r="Q4" s="11"/>
      <c r="R4" s="11"/>
    </row>
    <row r="5" spans="1:18" ht="12.75" customHeight="1" thickTop="1" x14ac:dyDescent="0.2">
      <c r="A5" s="1"/>
      <c r="B5" s="1"/>
      <c r="C5" s="1"/>
      <c r="D5" s="19"/>
      <c r="E5" s="19"/>
      <c r="F5" s="22"/>
      <c r="G5" s="19"/>
      <c r="H5" s="19"/>
      <c r="I5" s="19"/>
      <c r="J5" s="19"/>
      <c r="K5" s="19"/>
      <c r="L5" s="19"/>
      <c r="M5" s="19"/>
      <c r="N5" s="19"/>
      <c r="O5" s="19"/>
      <c r="P5" s="19"/>
      <c r="Q5" s="5"/>
      <c r="R5" s="5"/>
    </row>
    <row r="6" spans="1:18" ht="12.75" customHeight="1" x14ac:dyDescent="0.2">
      <c r="A6" s="1" t="s">
        <v>51</v>
      </c>
      <c r="B6" s="1"/>
      <c r="C6" s="1"/>
      <c r="D6" s="19"/>
      <c r="E6" s="19"/>
      <c r="F6" s="67"/>
      <c r="G6" s="44"/>
      <c r="H6" s="44"/>
      <c r="I6" s="44"/>
      <c r="J6" s="19"/>
      <c r="K6" s="19"/>
      <c r="L6" s="19"/>
      <c r="M6" s="19"/>
      <c r="N6" s="19"/>
      <c r="O6" s="19"/>
      <c r="P6" s="19"/>
      <c r="Q6" s="5"/>
      <c r="R6" s="5"/>
    </row>
    <row r="7" spans="1:18" ht="12.75" customHeight="1" x14ac:dyDescent="0.2">
      <c r="A7" s="1"/>
      <c r="B7" s="1" t="s">
        <v>52</v>
      </c>
      <c r="C7" s="1"/>
      <c r="D7" s="19"/>
      <c r="E7" s="19"/>
      <c r="F7" s="67"/>
      <c r="G7" s="44"/>
      <c r="H7" s="44"/>
      <c r="I7" s="44"/>
      <c r="J7" s="19"/>
      <c r="K7" s="19"/>
      <c r="L7" s="19"/>
      <c r="M7" s="19"/>
      <c r="N7" s="19"/>
      <c r="O7" s="19"/>
      <c r="P7" s="19"/>
      <c r="Q7" s="5"/>
      <c r="R7" s="5"/>
    </row>
    <row r="8" spans="1:18" ht="12.75" customHeight="1" x14ac:dyDescent="0.2">
      <c r="A8" s="1"/>
      <c r="B8" s="1"/>
      <c r="C8" s="1" t="s">
        <v>53</v>
      </c>
      <c r="D8" s="19"/>
      <c r="E8" s="19"/>
      <c r="F8" s="193">
        <v>314</v>
      </c>
      <c r="G8" s="44"/>
      <c r="H8" s="44"/>
      <c r="I8" s="44"/>
      <c r="J8" s="19"/>
      <c r="K8" s="19"/>
      <c r="L8" s="19"/>
      <c r="M8" s="19"/>
      <c r="N8" s="19"/>
      <c r="O8" s="19"/>
      <c r="P8" s="19"/>
      <c r="Q8" s="5"/>
      <c r="R8" s="5"/>
    </row>
    <row r="9" spans="1:18" ht="12.75" customHeight="1" thickBot="1" x14ac:dyDescent="0.25">
      <c r="A9" s="1"/>
      <c r="B9" s="1"/>
      <c r="C9" s="1" t="s">
        <v>55</v>
      </c>
      <c r="D9" s="19"/>
      <c r="E9" s="19"/>
      <c r="F9" s="194">
        <v>132</v>
      </c>
      <c r="G9" s="44"/>
      <c r="H9" s="44"/>
      <c r="I9" s="44"/>
      <c r="J9" s="19"/>
      <c r="K9" s="19"/>
      <c r="L9" s="19"/>
      <c r="M9" s="19"/>
      <c r="N9" s="19"/>
      <c r="O9" s="19"/>
      <c r="P9" s="19"/>
      <c r="Q9" s="5"/>
      <c r="R9" s="5"/>
    </row>
    <row r="10" spans="1:18" ht="12.75" customHeight="1" x14ac:dyDescent="0.2">
      <c r="A10" s="1"/>
      <c r="B10" s="1" t="s">
        <v>56</v>
      </c>
      <c r="C10" s="1"/>
      <c r="D10" s="19"/>
      <c r="E10" s="44"/>
      <c r="F10" s="94">
        <f>SUM(F8:F9)</f>
        <v>446</v>
      </c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12"/>
      <c r="R10" s="12"/>
    </row>
    <row r="11" spans="1:18" ht="12.75" customHeight="1" x14ac:dyDescent="0.2">
      <c r="A11" s="1"/>
      <c r="B11" s="1"/>
      <c r="C11" s="1"/>
      <c r="D11" s="19"/>
      <c r="E11" s="44"/>
      <c r="F11" s="9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12"/>
      <c r="R11" s="12"/>
    </row>
    <row r="12" spans="1:18" ht="12.75" customHeight="1" x14ac:dyDescent="0.2">
      <c r="A12" s="1"/>
      <c r="B12" s="1" t="s">
        <v>2</v>
      </c>
      <c r="C12" s="1"/>
      <c r="D12" s="19"/>
      <c r="E12" s="30"/>
      <c r="F12" s="94"/>
      <c r="G12" s="44"/>
      <c r="H12" s="44"/>
      <c r="I12" s="44"/>
      <c r="J12" s="30"/>
      <c r="K12" s="30"/>
      <c r="L12" s="30"/>
      <c r="M12" s="30"/>
      <c r="N12" s="30"/>
      <c r="O12" s="30"/>
      <c r="P12" s="30"/>
      <c r="Q12" s="13"/>
      <c r="R12" s="13"/>
    </row>
    <row r="13" spans="1:18" ht="12.75" customHeight="1" thickBot="1" x14ac:dyDescent="0.25">
      <c r="A13" s="1"/>
      <c r="B13" s="1"/>
      <c r="C13" s="1" t="s">
        <v>79</v>
      </c>
      <c r="D13" s="19"/>
      <c r="E13" s="30"/>
      <c r="F13" s="194">
        <v>500</v>
      </c>
      <c r="G13" s="44"/>
      <c r="H13" s="44"/>
      <c r="I13" s="44"/>
      <c r="J13" s="30"/>
      <c r="K13" s="30"/>
      <c r="L13" s="30"/>
      <c r="M13" s="30"/>
      <c r="N13" s="30"/>
      <c r="O13" s="30"/>
      <c r="P13" s="30"/>
      <c r="Q13" s="13"/>
      <c r="R13" s="13"/>
    </row>
    <row r="14" spans="1:18" ht="12.75" customHeight="1" x14ac:dyDescent="0.2">
      <c r="A14" s="1"/>
      <c r="B14" s="1" t="s">
        <v>3</v>
      </c>
      <c r="C14" s="1"/>
      <c r="D14" s="19"/>
      <c r="E14" s="44"/>
      <c r="F14" s="95">
        <f>SUM(F13:F13)</f>
        <v>500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12"/>
      <c r="R14" s="12"/>
    </row>
    <row r="15" spans="1:18" ht="12.75" customHeight="1" x14ac:dyDescent="0.2">
      <c r="A15" s="1"/>
      <c r="B15" s="1"/>
      <c r="C15" s="1"/>
      <c r="D15" s="19"/>
      <c r="E15" s="30"/>
      <c r="F15" s="95"/>
      <c r="G15" s="44"/>
      <c r="H15" s="44"/>
      <c r="I15" s="44"/>
      <c r="J15" s="30"/>
      <c r="K15" s="30"/>
      <c r="L15" s="30"/>
      <c r="M15" s="30"/>
      <c r="N15" s="30"/>
      <c r="O15" s="30"/>
      <c r="P15" s="30"/>
      <c r="Q15" s="13"/>
      <c r="R15" s="13"/>
    </row>
    <row r="16" spans="1:18" ht="12.75" customHeight="1" x14ac:dyDescent="0.2">
      <c r="A16" s="1"/>
      <c r="B16" s="1" t="s">
        <v>57</v>
      </c>
      <c r="C16" s="1"/>
      <c r="D16" s="19"/>
      <c r="E16" s="19"/>
      <c r="F16" s="195">
        <v>100</v>
      </c>
      <c r="G16" s="44"/>
      <c r="H16" s="44"/>
      <c r="I16" s="44"/>
      <c r="J16" s="19"/>
      <c r="K16" s="19"/>
      <c r="L16" s="19"/>
      <c r="M16" s="19"/>
      <c r="N16" s="19"/>
      <c r="O16" s="19"/>
      <c r="P16" s="19"/>
      <c r="Q16" s="5"/>
      <c r="R16" s="5"/>
    </row>
    <row r="17" spans="1:18" ht="12.75" customHeight="1" thickBot="1" x14ac:dyDescent="0.25">
      <c r="A17" s="1"/>
      <c r="B17" s="1"/>
      <c r="C17" s="1"/>
      <c r="D17" s="19"/>
      <c r="E17" s="19"/>
      <c r="F17" s="96"/>
      <c r="G17" s="44"/>
      <c r="H17" s="44"/>
      <c r="I17" s="44"/>
      <c r="J17" s="19"/>
      <c r="K17" s="19"/>
      <c r="L17" s="19"/>
      <c r="M17" s="19"/>
      <c r="N17" s="19"/>
      <c r="O17" s="19"/>
      <c r="P17" s="19"/>
      <c r="Q17" s="5"/>
      <c r="R17" s="5"/>
    </row>
    <row r="18" spans="1:18" ht="15.95" customHeight="1" thickBot="1" x14ac:dyDescent="0.25">
      <c r="A18" s="1" t="s">
        <v>58</v>
      </c>
      <c r="B18" s="1"/>
      <c r="C18" s="1"/>
      <c r="D18" s="19"/>
      <c r="E18" s="19"/>
      <c r="F18" s="97">
        <f>INT(F10+F14-F16)</f>
        <v>846</v>
      </c>
      <c r="G18" s="44"/>
      <c r="H18" s="44"/>
      <c r="I18" s="44"/>
      <c r="J18" s="19"/>
      <c r="K18" s="19"/>
      <c r="L18" s="19"/>
      <c r="M18" s="19"/>
      <c r="N18" s="19"/>
      <c r="O18" s="19"/>
      <c r="P18" s="19"/>
      <c r="Q18" s="5"/>
      <c r="R18" s="5"/>
    </row>
    <row r="19" spans="1:18" ht="12.75" customHeight="1" thickTop="1" x14ac:dyDescent="0.2">
      <c r="A19" s="1"/>
      <c r="B19" s="1"/>
      <c r="C19" s="1"/>
      <c r="D19" s="19"/>
      <c r="E19" s="19"/>
      <c r="F19" s="95"/>
      <c r="G19" s="44"/>
      <c r="H19" s="44"/>
      <c r="I19" s="44"/>
      <c r="J19" s="19"/>
      <c r="K19" s="19"/>
      <c r="L19" s="19"/>
      <c r="M19" s="19"/>
      <c r="N19" s="19"/>
      <c r="O19" s="19"/>
      <c r="P19" s="19"/>
      <c r="Q19" s="5"/>
      <c r="R19" s="5"/>
    </row>
    <row r="20" spans="1:18" ht="12.75" customHeight="1" x14ac:dyDescent="0.2">
      <c r="A20" s="1"/>
      <c r="B20" s="1"/>
      <c r="C20" s="1"/>
      <c r="D20" s="19"/>
      <c r="E20" s="19"/>
      <c r="F20" s="95"/>
      <c r="G20" s="44"/>
      <c r="H20" s="44"/>
      <c r="I20" s="44"/>
      <c r="J20" s="19"/>
      <c r="K20" s="19"/>
      <c r="L20" s="19"/>
      <c r="M20" s="19"/>
      <c r="N20" s="19"/>
      <c r="O20" s="19"/>
      <c r="P20" s="19"/>
      <c r="Q20" s="5"/>
      <c r="R20" s="5"/>
    </row>
    <row r="21" spans="1:18" ht="12.75" customHeight="1" x14ac:dyDescent="0.2">
      <c r="A21" s="1"/>
      <c r="B21" s="1"/>
      <c r="C21" s="1"/>
      <c r="D21" s="19"/>
      <c r="E21" s="19"/>
      <c r="F21" s="95"/>
      <c r="G21" s="44"/>
      <c r="H21" s="44"/>
      <c r="I21" s="44"/>
      <c r="J21" s="19"/>
      <c r="K21" s="19"/>
      <c r="L21" s="19"/>
      <c r="M21" s="19"/>
      <c r="N21" s="19"/>
      <c r="O21" s="19"/>
      <c r="P21" s="19"/>
      <c r="Q21" s="5"/>
      <c r="R21" s="5"/>
    </row>
    <row r="22" spans="1:18" ht="12.75" customHeight="1" x14ac:dyDescent="0.2">
      <c r="A22" s="1" t="s">
        <v>59</v>
      </c>
      <c r="B22" s="1"/>
      <c r="C22" s="1"/>
      <c r="D22" s="19"/>
      <c r="E22" s="19"/>
      <c r="F22" s="95"/>
      <c r="G22" s="44"/>
      <c r="H22" s="44"/>
      <c r="I22" s="44"/>
      <c r="J22" s="19"/>
      <c r="K22" s="19"/>
      <c r="L22" s="19"/>
      <c r="M22" s="19"/>
      <c r="N22" s="19"/>
      <c r="O22" s="19"/>
      <c r="P22" s="19"/>
      <c r="Q22" s="5"/>
      <c r="R22" s="5"/>
    </row>
    <row r="23" spans="1:18" ht="12.75" customHeight="1" x14ac:dyDescent="0.2">
      <c r="A23" s="1"/>
      <c r="B23" s="1" t="s">
        <v>60</v>
      </c>
      <c r="C23" s="1"/>
      <c r="D23" s="19"/>
      <c r="E23" s="19"/>
      <c r="F23" s="95"/>
      <c r="G23" s="44"/>
      <c r="H23" s="44"/>
      <c r="I23" s="44"/>
      <c r="J23" s="19"/>
      <c r="K23" s="19"/>
      <c r="L23" s="19"/>
      <c r="M23" s="19"/>
      <c r="N23" s="19"/>
      <c r="O23" s="19"/>
      <c r="P23" s="19"/>
      <c r="Q23" s="5"/>
      <c r="R23" s="5"/>
    </row>
    <row r="24" spans="1:18" ht="12.75" customHeight="1" thickBot="1" x14ac:dyDescent="0.25">
      <c r="A24" s="1"/>
      <c r="B24" s="1"/>
      <c r="C24" s="1" t="s">
        <v>4</v>
      </c>
      <c r="D24" s="19"/>
      <c r="E24" s="30"/>
      <c r="F24" s="194">
        <v>346</v>
      </c>
      <c r="G24" s="44"/>
      <c r="H24" s="44"/>
      <c r="I24" s="44"/>
      <c r="J24" s="30"/>
      <c r="K24" s="30"/>
      <c r="L24" s="30"/>
      <c r="M24" s="30"/>
      <c r="N24" s="30"/>
      <c r="O24" s="30"/>
      <c r="P24" s="30"/>
      <c r="Q24" s="13"/>
      <c r="R24" s="5"/>
    </row>
    <row r="25" spans="1:18" ht="12.75" customHeight="1" x14ac:dyDescent="0.2">
      <c r="A25" s="1"/>
      <c r="B25" s="1" t="s">
        <v>61</v>
      </c>
      <c r="C25" s="1"/>
      <c r="D25" s="19"/>
      <c r="E25" s="19"/>
      <c r="F25" s="95">
        <f>SUM(F24:F24)</f>
        <v>346</v>
      </c>
      <c r="G25" s="44"/>
      <c r="H25" s="44"/>
      <c r="I25" s="44"/>
      <c r="J25" s="19"/>
      <c r="K25" s="19"/>
      <c r="L25" s="19"/>
      <c r="M25" s="19"/>
      <c r="N25" s="19"/>
      <c r="O25" s="19"/>
      <c r="P25" s="19"/>
      <c r="Q25" s="5"/>
      <c r="R25" s="5"/>
    </row>
    <row r="26" spans="1:18" ht="12.75" customHeight="1" x14ac:dyDescent="0.2">
      <c r="A26" s="1"/>
      <c r="B26" s="1"/>
      <c r="C26" s="1"/>
      <c r="D26" s="19"/>
      <c r="E26" s="19"/>
      <c r="F26" s="98"/>
      <c r="G26" s="24"/>
      <c r="H26" s="24"/>
      <c r="I26" s="44"/>
      <c r="J26" s="19"/>
      <c r="K26" s="19"/>
      <c r="L26" s="19"/>
      <c r="M26" s="19"/>
      <c r="N26" s="19"/>
      <c r="O26" s="19"/>
      <c r="P26" s="19"/>
      <c r="Q26" s="5"/>
      <c r="R26" s="5"/>
    </row>
    <row r="27" spans="1:18" ht="12.75" customHeight="1" x14ac:dyDescent="0.2">
      <c r="A27" s="1"/>
      <c r="B27" s="1" t="s">
        <v>62</v>
      </c>
      <c r="C27" s="1"/>
      <c r="D27" s="19"/>
      <c r="E27" s="19"/>
      <c r="F27" s="98"/>
      <c r="G27" s="24"/>
      <c r="H27" s="24"/>
      <c r="I27" s="44"/>
      <c r="J27" s="19"/>
      <c r="K27" s="19"/>
      <c r="L27" s="19"/>
      <c r="M27" s="19"/>
      <c r="N27" s="19"/>
      <c r="O27" s="19"/>
      <c r="P27" s="19"/>
      <c r="Q27" s="5"/>
      <c r="R27" s="5"/>
    </row>
    <row r="28" spans="1:18" ht="12.75" customHeight="1" x14ac:dyDescent="0.2">
      <c r="A28" s="1"/>
      <c r="B28" s="1"/>
      <c r="C28" s="1" t="s">
        <v>63</v>
      </c>
      <c r="D28" s="19"/>
      <c r="E28" s="19"/>
      <c r="F28" s="197">
        <v>200</v>
      </c>
      <c r="G28" s="24"/>
      <c r="H28" s="24"/>
      <c r="I28" s="44"/>
      <c r="J28" s="19"/>
      <c r="K28" s="19"/>
      <c r="L28" s="19"/>
      <c r="M28" s="19"/>
      <c r="N28" s="19"/>
      <c r="O28" s="19"/>
      <c r="P28" s="19"/>
      <c r="Q28" s="5"/>
      <c r="R28" s="5"/>
    </row>
    <row r="29" spans="1:18" ht="12.75" customHeight="1" x14ac:dyDescent="0.2">
      <c r="A29" s="1"/>
      <c r="B29" s="1"/>
      <c r="C29" s="1" t="s">
        <v>64</v>
      </c>
      <c r="D29" s="19"/>
      <c r="E29" s="19"/>
      <c r="F29" s="197">
        <v>957</v>
      </c>
      <c r="G29" s="24"/>
      <c r="H29" s="24"/>
      <c r="I29" s="44"/>
      <c r="J29" s="19"/>
      <c r="K29" s="19"/>
      <c r="L29" s="19"/>
      <c r="M29" s="19"/>
      <c r="N29" s="19"/>
      <c r="O29" s="19"/>
      <c r="P29" s="19"/>
      <c r="Q29" s="5"/>
      <c r="R29" s="5"/>
    </row>
    <row r="30" spans="1:18" ht="12.75" customHeight="1" thickBot="1" x14ac:dyDescent="0.25">
      <c r="A30" s="1"/>
      <c r="B30" s="1"/>
      <c r="C30" s="1" t="s">
        <v>65</v>
      </c>
      <c r="D30" s="19"/>
      <c r="E30" s="19"/>
      <c r="F30" s="194">
        <v>657</v>
      </c>
      <c r="G30" s="44"/>
      <c r="H30" s="24"/>
      <c r="I30" s="44"/>
      <c r="J30" s="19"/>
      <c r="K30" s="19"/>
      <c r="L30" s="19"/>
      <c r="M30" s="19"/>
      <c r="N30" s="19"/>
      <c r="O30" s="19"/>
      <c r="P30" s="19"/>
      <c r="Q30" s="5"/>
      <c r="R30" s="5"/>
    </row>
    <row r="31" spans="1:18" ht="12.75" customHeight="1" x14ac:dyDescent="0.2">
      <c r="A31" s="1"/>
      <c r="B31" s="1" t="s">
        <v>66</v>
      </c>
      <c r="C31" s="1"/>
      <c r="D31" s="19"/>
      <c r="E31" s="19"/>
      <c r="F31" s="98">
        <f>F28+F29-F30</f>
        <v>500</v>
      </c>
      <c r="G31" s="24"/>
      <c r="H31" s="24"/>
      <c r="I31" s="44"/>
      <c r="J31" s="19"/>
      <c r="K31" s="19"/>
      <c r="L31" s="19"/>
      <c r="M31" s="19"/>
      <c r="N31" s="19"/>
      <c r="O31" s="19"/>
      <c r="P31" s="19"/>
    </row>
    <row r="32" spans="1:18" ht="12.75" customHeight="1" thickBot="1" x14ac:dyDescent="0.25">
      <c r="A32" s="1"/>
      <c r="B32" s="1"/>
      <c r="C32" s="1"/>
      <c r="D32" s="19"/>
      <c r="E32" s="19"/>
      <c r="F32" s="69"/>
      <c r="G32" s="44"/>
      <c r="H32" s="24"/>
      <c r="I32" s="44"/>
      <c r="J32" s="19"/>
      <c r="K32" s="19"/>
      <c r="L32" s="19"/>
      <c r="M32" s="19"/>
      <c r="N32" s="19"/>
      <c r="O32" s="19"/>
      <c r="P32" s="19"/>
    </row>
    <row r="33" spans="1:16" ht="15.95" customHeight="1" thickBot="1" x14ac:dyDescent="0.25">
      <c r="A33" s="1" t="s">
        <v>67</v>
      </c>
      <c r="B33" s="1"/>
      <c r="C33" s="1"/>
      <c r="D33" s="19"/>
      <c r="E33" s="19"/>
      <c r="F33" s="93">
        <f>INT(F25+F31)</f>
        <v>846</v>
      </c>
      <c r="G33" s="44"/>
      <c r="H33" s="24"/>
      <c r="I33" s="44"/>
      <c r="J33" s="19"/>
      <c r="K33" s="19"/>
      <c r="L33" s="19"/>
      <c r="M33" s="19"/>
      <c r="N33" s="19"/>
      <c r="O33" s="19"/>
      <c r="P33" s="19"/>
    </row>
    <row r="34" spans="1:16" ht="12.75" customHeight="1" thickTop="1" x14ac:dyDescent="0.2">
      <c r="A34" s="1"/>
      <c r="B34" s="1"/>
      <c r="C34" s="1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1:16" ht="12.75" customHeight="1" x14ac:dyDescent="0.2">
      <c r="A35" s="1"/>
      <c r="B35" s="1"/>
      <c r="C35" s="1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1:16" ht="12.75" customHeight="1" x14ac:dyDescent="0.2">
      <c r="A36" s="1"/>
      <c r="B36" s="1"/>
      <c r="C36" s="1"/>
      <c r="D36" s="19"/>
      <c r="E36" s="19"/>
      <c r="F36" s="22" t="str">
        <f>IF(F18&lt;&gt;F33,"Does Not Balance","")</f>
        <v/>
      </c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1:16" ht="12.75" customHeight="1" x14ac:dyDescent="0.2">
      <c r="A37" s="1"/>
      <c r="B37" s="1"/>
      <c r="C37" s="1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1:16" ht="12.75" customHeight="1" x14ac:dyDescent="0.2">
      <c r="A38" s="1"/>
      <c r="B38" s="1"/>
      <c r="C38" s="1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1:16" ht="12.75" customHeight="1" x14ac:dyDescent="0.2"/>
    <row r="40" spans="1:16" ht="12.75" customHeight="1" x14ac:dyDescent="0.2"/>
    <row r="41" spans="1:16" ht="12.75" customHeight="1" x14ac:dyDescent="0.2"/>
    <row r="42" spans="1:16" ht="12.75" customHeight="1" x14ac:dyDescent="0.2"/>
    <row r="43" spans="1:16" ht="12.75" customHeight="1" x14ac:dyDescent="0.2"/>
    <row r="44" spans="1:16" ht="12.75" customHeight="1" x14ac:dyDescent="0.2">
      <c r="D44" s="5"/>
    </row>
    <row r="45" spans="1:16" ht="12.75" customHeight="1" x14ac:dyDescent="0.2">
      <c r="D45" s="5"/>
    </row>
    <row r="46" spans="1:16" ht="12.75" customHeight="1" x14ac:dyDescent="0.2">
      <c r="D46" s="5"/>
    </row>
    <row r="47" spans="1:16" ht="12.75" customHeight="1" x14ac:dyDescent="0.2">
      <c r="D47" s="5"/>
    </row>
    <row r="48" spans="1:16" ht="12.75" customHeight="1" x14ac:dyDescent="0.2">
      <c r="D48" s="5"/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</sheetData>
  <phoneticPr fontId="5" type="noConversion"/>
  <conditionalFormatting sqref="F36">
    <cfRule type="cellIs" dxfId="0" priority="1" stopIfTrue="1" operator="equal">
      <formula>"Does Not Balance"</formula>
    </cfRule>
  </conditionalFormatting>
  <pageMargins left="0.75" right="0.75" top="1" bottom="0.75" header="0.5" footer="0.5"/>
  <pageSetup scale="75" orientation="landscape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FFFF99"/>
    <pageSetUpPr fitToPage="1"/>
  </sheetPr>
  <dimension ref="A1:T39"/>
  <sheetViews>
    <sheetView showGridLines="0" zoomScale="90" zoomScaleNormal="90" workbookViewId="0">
      <selection activeCell="I48" sqref="I48"/>
    </sheetView>
  </sheetViews>
  <sheetFormatPr defaultRowHeight="12" x14ac:dyDescent="0.2"/>
  <cols>
    <col min="1" max="1" width="3" customWidth="1"/>
    <col min="2" max="3" width="3" style="1" customWidth="1"/>
    <col min="4" max="4" width="15.7109375" customWidth="1"/>
    <col min="5" max="5" width="15.7109375" style="2" customWidth="1"/>
    <col min="6" max="6" width="10.7109375" style="2" customWidth="1"/>
    <col min="7" max="7" width="3" style="2" customWidth="1"/>
    <col min="8" max="19" width="11.7109375" customWidth="1"/>
    <col min="20" max="20" width="9.7109375" customWidth="1"/>
  </cols>
  <sheetData>
    <row r="1" spans="1:20" ht="15.75" x14ac:dyDescent="0.25">
      <c r="A1" s="3" t="s">
        <v>88</v>
      </c>
    </row>
    <row r="2" spans="1:20" ht="15.75" x14ac:dyDescent="0.25">
      <c r="A2" s="3" t="s">
        <v>127</v>
      </c>
    </row>
    <row r="3" spans="1:20" ht="12.75" customHeight="1" x14ac:dyDescent="0.2">
      <c r="A3" s="15"/>
      <c r="B3" s="16"/>
      <c r="C3" s="16"/>
      <c r="D3" s="17"/>
      <c r="E3" s="35"/>
      <c r="F3" s="35"/>
      <c r="G3" s="35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</row>
    <row r="4" spans="1:20" ht="12.75" customHeight="1" x14ac:dyDescent="0.2">
      <c r="A4" s="17"/>
      <c r="B4" s="16"/>
      <c r="C4" s="16"/>
      <c r="D4" s="17"/>
      <c r="E4" s="35"/>
      <c r="F4" s="35"/>
      <c r="G4" s="35"/>
      <c r="H4" s="48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20" ht="12.75" customHeight="1" x14ac:dyDescent="0.2">
      <c r="A5" s="17"/>
      <c r="B5" s="16"/>
      <c r="C5" s="16"/>
      <c r="D5" s="17"/>
      <c r="E5" s="35"/>
      <c r="F5" s="35"/>
      <c r="G5" s="3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s="1" customFormat="1" ht="12.75" customHeight="1" thickBot="1" x14ac:dyDescent="0.25">
      <c r="A6" s="16" t="s">
        <v>14</v>
      </c>
      <c r="B6" s="16"/>
      <c r="C6" s="16"/>
      <c r="D6" s="16"/>
      <c r="E6" s="33" t="s">
        <v>10</v>
      </c>
      <c r="F6" s="34" t="s">
        <v>15</v>
      </c>
      <c r="G6" s="33"/>
      <c r="H6" s="83" t="s">
        <v>95</v>
      </c>
      <c r="I6" s="83" t="s">
        <v>96</v>
      </c>
      <c r="J6" s="83" t="s">
        <v>97</v>
      </c>
      <c r="K6" s="83" t="s">
        <v>98</v>
      </c>
      <c r="L6" s="83" t="s">
        <v>70</v>
      </c>
      <c r="M6" s="83" t="s">
        <v>99</v>
      </c>
      <c r="N6" s="83" t="s">
        <v>100</v>
      </c>
      <c r="O6" s="83" t="s">
        <v>101</v>
      </c>
      <c r="P6" s="83" t="s">
        <v>102</v>
      </c>
      <c r="Q6" s="83" t="s">
        <v>103</v>
      </c>
      <c r="R6" s="83" t="s">
        <v>104</v>
      </c>
      <c r="S6" s="83" t="s">
        <v>105</v>
      </c>
      <c r="T6" s="49" t="s">
        <v>0</v>
      </c>
    </row>
    <row r="7" spans="1:20" ht="12.75" customHeight="1" thickTop="1" x14ac:dyDescent="0.2">
      <c r="A7" s="17"/>
      <c r="B7" s="16"/>
      <c r="C7" s="16"/>
      <c r="D7" s="17"/>
      <c r="E7" s="35"/>
      <c r="F7" s="35"/>
      <c r="G7" s="3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2.75" customHeight="1" x14ac:dyDescent="0.2">
      <c r="A8" s="51" t="s">
        <v>72</v>
      </c>
      <c r="B8" s="103"/>
      <c r="C8" s="103"/>
      <c r="D8" s="103"/>
      <c r="E8" s="35"/>
      <c r="F8" s="35"/>
      <c r="G8" s="35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ht="12.75" customHeight="1" x14ac:dyDescent="0.2">
      <c r="A9" s="16"/>
      <c r="B9" s="16" t="s">
        <v>5</v>
      </c>
      <c r="C9" s="16"/>
      <c r="D9" s="17"/>
      <c r="E9" s="121">
        <v>2</v>
      </c>
      <c r="F9" s="37">
        <v>1</v>
      </c>
      <c r="G9" s="36"/>
      <c r="H9" s="217">
        <f>H$14*$E9</f>
        <v>33</v>
      </c>
      <c r="I9" s="217">
        <f t="shared" ref="I9:S11" si="0">I$14*$E9</f>
        <v>39.6</v>
      </c>
      <c r="J9" s="217">
        <f t="shared" si="0"/>
        <v>77</v>
      </c>
      <c r="K9" s="217">
        <f t="shared" si="0"/>
        <v>154</v>
      </c>
      <c r="L9" s="217">
        <f t="shared" si="0"/>
        <v>851.40000000000009</v>
      </c>
      <c r="M9" s="217">
        <f t="shared" si="0"/>
        <v>1392.6000000000001</v>
      </c>
      <c r="N9" s="217">
        <f t="shared" si="0"/>
        <v>1702.8000000000002</v>
      </c>
      <c r="O9" s="217">
        <f t="shared" si="0"/>
        <v>1702.8000000000002</v>
      </c>
      <c r="P9" s="217">
        <f t="shared" si="0"/>
        <v>1313.4</v>
      </c>
      <c r="Q9" s="217">
        <f t="shared" si="0"/>
        <v>310.20000000000005</v>
      </c>
      <c r="R9" s="217">
        <f t="shared" si="0"/>
        <v>123.20000000000002</v>
      </c>
      <c r="S9" s="217">
        <f t="shared" si="0"/>
        <v>70.400000000000006</v>
      </c>
      <c r="T9" s="217">
        <f>SUM(H9:S9)</f>
        <v>7770.4</v>
      </c>
    </row>
    <row r="10" spans="1:20" ht="12.75" customHeight="1" x14ac:dyDescent="0.2">
      <c r="A10" s="16"/>
      <c r="B10" s="16" t="s">
        <v>6</v>
      </c>
      <c r="C10" s="16"/>
      <c r="D10" s="17"/>
      <c r="E10" s="122">
        <v>0.82</v>
      </c>
      <c r="F10" s="37">
        <f>E10/E9</f>
        <v>0.41</v>
      </c>
      <c r="G10" s="36"/>
      <c r="H10" s="217">
        <f t="shared" ref="H10:H11" si="1">H$14*$E10</f>
        <v>13.53</v>
      </c>
      <c r="I10" s="217">
        <f t="shared" si="0"/>
        <v>16.236000000000001</v>
      </c>
      <c r="J10" s="217">
        <f t="shared" si="0"/>
        <v>31.569999999999997</v>
      </c>
      <c r="K10" s="217">
        <f t="shared" si="0"/>
        <v>63.139999999999993</v>
      </c>
      <c r="L10" s="217">
        <f t="shared" si="0"/>
        <v>349.07400000000001</v>
      </c>
      <c r="M10" s="217">
        <f t="shared" si="0"/>
        <v>570.96600000000001</v>
      </c>
      <c r="N10" s="217">
        <f t="shared" si="0"/>
        <v>698.14800000000002</v>
      </c>
      <c r="O10" s="217">
        <f t="shared" si="0"/>
        <v>698.14800000000002</v>
      </c>
      <c r="P10" s="217">
        <f t="shared" si="0"/>
        <v>538.49400000000003</v>
      </c>
      <c r="Q10" s="217">
        <f t="shared" si="0"/>
        <v>127.18200000000002</v>
      </c>
      <c r="R10" s="217">
        <f t="shared" si="0"/>
        <v>50.512</v>
      </c>
      <c r="S10" s="217">
        <f t="shared" si="0"/>
        <v>28.864000000000001</v>
      </c>
      <c r="T10" s="217">
        <f>SUM(H10:S10)</f>
        <v>3185.8640000000005</v>
      </c>
    </row>
    <row r="11" spans="1:20" ht="12.75" customHeight="1" x14ac:dyDescent="0.2">
      <c r="A11" s="16"/>
      <c r="B11" s="16" t="s">
        <v>13</v>
      </c>
      <c r="C11" s="16"/>
      <c r="D11" s="17"/>
      <c r="E11" s="38">
        <f>E9-E10</f>
        <v>1.1800000000000002</v>
      </c>
      <c r="F11" s="36">
        <f>E11/E9</f>
        <v>0.59000000000000008</v>
      </c>
      <c r="G11" s="36"/>
      <c r="H11" s="217">
        <f t="shared" si="1"/>
        <v>19.470000000000002</v>
      </c>
      <c r="I11" s="217">
        <f t="shared" si="0"/>
        <v>23.364000000000004</v>
      </c>
      <c r="J11" s="217">
        <f t="shared" si="0"/>
        <v>45.430000000000007</v>
      </c>
      <c r="K11" s="217">
        <f t="shared" si="0"/>
        <v>90.860000000000014</v>
      </c>
      <c r="L11" s="217">
        <f t="shared" si="0"/>
        <v>502.32600000000014</v>
      </c>
      <c r="M11" s="217">
        <f t="shared" si="0"/>
        <v>821.63400000000024</v>
      </c>
      <c r="N11" s="217">
        <f t="shared" si="0"/>
        <v>1004.6520000000003</v>
      </c>
      <c r="O11" s="217">
        <f t="shared" si="0"/>
        <v>1004.6520000000003</v>
      </c>
      <c r="P11" s="217">
        <f t="shared" si="0"/>
        <v>774.90600000000018</v>
      </c>
      <c r="Q11" s="217">
        <f t="shared" si="0"/>
        <v>183.01800000000006</v>
      </c>
      <c r="R11" s="217">
        <f t="shared" si="0"/>
        <v>72.688000000000017</v>
      </c>
      <c r="S11" s="217">
        <f t="shared" si="0"/>
        <v>41.536000000000008</v>
      </c>
      <c r="T11" s="217">
        <f>SUM(H11:S11)</f>
        <v>4584.536000000001</v>
      </c>
    </row>
    <row r="12" spans="1:20" ht="12.75" customHeight="1" x14ac:dyDescent="0.2">
      <c r="A12" s="16"/>
      <c r="B12" s="16" t="s">
        <v>9</v>
      </c>
      <c r="C12" s="16"/>
      <c r="D12" s="17"/>
      <c r="E12" s="35"/>
      <c r="F12" s="35"/>
      <c r="G12" s="35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ht="12.75" customHeight="1" thickBot="1" x14ac:dyDescent="0.25">
      <c r="A13" s="16"/>
      <c r="B13" s="16"/>
      <c r="C13" s="16" t="s">
        <v>12</v>
      </c>
      <c r="D13" s="17"/>
      <c r="E13" s="35"/>
      <c r="F13" s="35"/>
      <c r="G13" s="35"/>
      <c r="H13" s="111">
        <f>H14/$T$14</f>
        <v>4.2468856172140435E-3</v>
      </c>
      <c r="I13" s="111">
        <f t="shared" ref="I13:S13" si="2">I14/$T$14</f>
        <v>5.0962627406568517E-3</v>
      </c>
      <c r="J13" s="111">
        <f t="shared" si="2"/>
        <v>9.9093997734994339E-3</v>
      </c>
      <c r="K13" s="111">
        <f t="shared" si="2"/>
        <v>1.9818799546998868E-2</v>
      </c>
      <c r="L13" s="111">
        <f t="shared" si="2"/>
        <v>0.10956964892412233</v>
      </c>
      <c r="M13" s="111">
        <f t="shared" si="2"/>
        <v>0.17921857304643266</v>
      </c>
      <c r="N13" s="111">
        <f t="shared" si="2"/>
        <v>0.21913929784824465</v>
      </c>
      <c r="O13" s="111">
        <f t="shared" si="2"/>
        <v>0.21913929784824465</v>
      </c>
      <c r="P13" s="111">
        <f t="shared" si="2"/>
        <v>0.16902604756511894</v>
      </c>
      <c r="Q13" s="111">
        <f t="shared" si="2"/>
        <v>3.992072480181201E-2</v>
      </c>
      <c r="R13" s="111">
        <f t="shared" si="2"/>
        <v>1.5855039637599096E-2</v>
      </c>
      <c r="S13" s="111">
        <f t="shared" si="2"/>
        <v>9.0600226500566258E-3</v>
      </c>
      <c r="T13" s="112">
        <f>SUM(H13:S13)</f>
        <v>1.0000000000000002</v>
      </c>
    </row>
    <row r="14" spans="1:20" ht="12.75" customHeight="1" x14ac:dyDescent="0.2">
      <c r="A14" s="16"/>
      <c r="B14" s="16"/>
      <c r="C14" s="1" t="s">
        <v>9</v>
      </c>
      <c r="D14" s="17"/>
      <c r="E14" s="35"/>
      <c r="F14" s="35"/>
      <c r="G14" s="35"/>
      <c r="H14" s="123">
        <f>H16*(1+H$17)</f>
        <v>16.5</v>
      </c>
      <c r="I14" s="123">
        <f t="shared" ref="I14:S14" si="3">I16*(1+I$17)</f>
        <v>19.8</v>
      </c>
      <c r="J14" s="123">
        <f t="shared" si="3"/>
        <v>38.5</v>
      </c>
      <c r="K14" s="123">
        <f t="shared" si="3"/>
        <v>77</v>
      </c>
      <c r="L14" s="123">
        <f t="shared" si="3"/>
        <v>425.70000000000005</v>
      </c>
      <c r="M14" s="123">
        <f t="shared" si="3"/>
        <v>696.30000000000007</v>
      </c>
      <c r="N14" s="123">
        <f t="shared" si="3"/>
        <v>851.40000000000009</v>
      </c>
      <c r="O14" s="123">
        <f t="shared" si="3"/>
        <v>851.40000000000009</v>
      </c>
      <c r="P14" s="123">
        <f t="shared" si="3"/>
        <v>656.7</v>
      </c>
      <c r="Q14" s="123">
        <f t="shared" si="3"/>
        <v>155.10000000000002</v>
      </c>
      <c r="R14" s="123">
        <f t="shared" si="3"/>
        <v>61.600000000000009</v>
      </c>
      <c r="S14" s="123">
        <f t="shared" si="3"/>
        <v>35.200000000000003</v>
      </c>
      <c r="T14" s="113">
        <f>SUM(H14:S14)</f>
        <v>3885.2</v>
      </c>
    </row>
    <row r="15" spans="1:20" ht="12.75" customHeight="1" x14ac:dyDescent="0.2">
      <c r="A15" s="17"/>
      <c r="B15" s="16"/>
      <c r="C15" s="16"/>
      <c r="D15" s="17"/>
      <c r="E15" s="35"/>
      <c r="F15" s="35"/>
      <c r="G15" s="35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</row>
    <row r="16" spans="1:20" ht="12.75" customHeight="1" x14ac:dyDescent="0.2">
      <c r="A16" s="17"/>
      <c r="B16" s="16"/>
      <c r="C16" s="70" t="s">
        <v>119</v>
      </c>
      <c r="D16" s="114"/>
      <c r="E16" s="115"/>
      <c r="F16" s="115"/>
      <c r="G16" s="115"/>
      <c r="H16" s="116">
        <f>INDEX('11. 2015 Sales Data'!$B$6:$B$17,MATCH('5. Projected Sales'!H$6,'11. 2015 Sales Data'!$A$6:$A$17,0),1)</f>
        <v>15</v>
      </c>
      <c r="I16" s="116">
        <f>INDEX('11. 2015 Sales Data'!$B$6:$B$17,MATCH('5. Projected Sales'!I$6,'11. 2015 Sales Data'!$A$6:$A$17,0),1)</f>
        <v>18</v>
      </c>
      <c r="J16" s="116">
        <f>INDEX('11. 2015 Sales Data'!$B$6:$B$17,MATCH('5. Projected Sales'!J$6,'11. 2015 Sales Data'!$A$6:$A$17,0),1)</f>
        <v>35</v>
      </c>
      <c r="K16" s="116">
        <f>INDEX('11. 2015 Sales Data'!$B$6:$B$17,MATCH('5. Projected Sales'!K$6,'11. 2015 Sales Data'!$A$6:$A$17,0),1)</f>
        <v>70</v>
      </c>
      <c r="L16" s="116">
        <f>INDEX('11. 2015 Sales Data'!$B$6:$B$17,MATCH('5. Projected Sales'!L$6,'11. 2015 Sales Data'!$A$6:$A$17,0),1)</f>
        <v>387</v>
      </c>
      <c r="M16" s="116">
        <f>INDEX('11. 2015 Sales Data'!$B$6:$B$17,MATCH('5. Projected Sales'!M$6,'11. 2015 Sales Data'!$A$6:$A$17,0),1)</f>
        <v>633</v>
      </c>
      <c r="N16" s="116">
        <f>INDEX('11. 2015 Sales Data'!$B$6:$B$17,MATCH('5. Projected Sales'!N$6,'11. 2015 Sales Data'!$A$6:$A$17,0),1)</f>
        <v>774</v>
      </c>
      <c r="O16" s="116">
        <f>INDEX('11. 2015 Sales Data'!$B$6:$B$17,MATCH('5. Projected Sales'!O$6,'11. 2015 Sales Data'!$A$6:$A$17,0),1)</f>
        <v>774</v>
      </c>
      <c r="P16" s="116">
        <f>INDEX('11. 2015 Sales Data'!$B$6:$B$17,MATCH('5. Projected Sales'!P$6,'11. 2015 Sales Data'!$A$6:$A$17,0),1)</f>
        <v>597</v>
      </c>
      <c r="Q16" s="116">
        <f>INDEX('11. 2015 Sales Data'!$B$6:$B$17,MATCH('5. Projected Sales'!Q$6,'11. 2015 Sales Data'!$A$6:$A$17,0),1)</f>
        <v>141</v>
      </c>
      <c r="R16" s="116">
        <f>INDEX('11. 2015 Sales Data'!$B$6:$B$17,MATCH('5. Projected Sales'!R$6,'11. 2015 Sales Data'!$A$6:$A$17,0),1)</f>
        <v>56</v>
      </c>
      <c r="S16" s="116">
        <f>INDEX('11. 2015 Sales Data'!$B$6:$B$17,MATCH('5. Projected Sales'!S$6,'11. 2015 Sales Data'!$A$6:$A$17,0),1)</f>
        <v>32</v>
      </c>
      <c r="T16" s="117">
        <f>SUM(H16:S16)</f>
        <v>3532</v>
      </c>
    </row>
    <row r="17" spans="1:20" ht="12.75" customHeight="1" x14ac:dyDescent="0.2">
      <c r="A17" s="17"/>
      <c r="B17" s="16"/>
      <c r="C17" s="77" t="s">
        <v>120</v>
      </c>
      <c r="D17" s="53"/>
      <c r="E17" s="118"/>
      <c r="F17" s="118"/>
      <c r="G17" s="118"/>
      <c r="H17" s="119">
        <v>0.1</v>
      </c>
      <c r="I17" s="119">
        <v>0.1</v>
      </c>
      <c r="J17" s="119">
        <v>0.1</v>
      </c>
      <c r="K17" s="119">
        <v>0.1</v>
      </c>
      <c r="L17" s="119">
        <v>0.1</v>
      </c>
      <c r="M17" s="119">
        <v>0.1</v>
      </c>
      <c r="N17" s="119">
        <v>0.1</v>
      </c>
      <c r="O17" s="119">
        <v>0.1</v>
      </c>
      <c r="P17" s="119">
        <v>0.1</v>
      </c>
      <c r="Q17" s="119">
        <v>0.1</v>
      </c>
      <c r="R17" s="119">
        <v>0.1</v>
      </c>
      <c r="S17" s="119">
        <v>0.1</v>
      </c>
      <c r="T17" s="120">
        <v>0.1</v>
      </c>
    </row>
    <row r="18" spans="1:20" ht="12.75" customHeight="1" x14ac:dyDescent="0.2">
      <c r="A18" s="17"/>
      <c r="B18" s="16"/>
      <c r="C18" s="16"/>
      <c r="D18" s="17"/>
      <c r="E18" s="35"/>
      <c r="F18" s="35"/>
      <c r="G18" s="35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20" ht="12.75" customHeight="1" x14ac:dyDescent="0.2">
      <c r="A19" s="17"/>
      <c r="B19" s="16"/>
      <c r="C19" s="16"/>
      <c r="D19" s="17"/>
      <c r="E19" s="35"/>
      <c r="F19" s="35"/>
      <c r="G19" s="35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ht="12.75" customHeight="1" x14ac:dyDescent="0.2">
      <c r="A20" s="17"/>
      <c r="B20" s="16" t="s">
        <v>11</v>
      </c>
      <c r="C20" s="16"/>
      <c r="D20" s="17"/>
      <c r="E20" s="39">
        <f>T9</f>
        <v>7770.4</v>
      </c>
      <c r="F20" s="36">
        <v>1</v>
      </c>
      <c r="G20" s="35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ht="12.75" customHeight="1" x14ac:dyDescent="0.2">
      <c r="A21" s="17"/>
      <c r="B21" s="16" t="s">
        <v>7</v>
      </c>
      <c r="C21" s="16"/>
      <c r="D21" s="17"/>
      <c r="E21" s="40">
        <f>T10</f>
        <v>3185.8640000000005</v>
      </c>
      <c r="F21" s="36">
        <f>E21/E20</f>
        <v>0.41000000000000009</v>
      </c>
      <c r="G21" s="3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spans="1:20" ht="12.75" customHeight="1" x14ac:dyDescent="0.2">
      <c r="A22" s="16"/>
      <c r="B22" s="16" t="s">
        <v>8</v>
      </c>
      <c r="C22" s="16"/>
      <c r="D22" s="17"/>
      <c r="E22" s="41">
        <f>T11</f>
        <v>4584.536000000001</v>
      </c>
      <c r="F22" s="36">
        <f>E22/E20</f>
        <v>0.59000000000000019</v>
      </c>
      <c r="G22" s="3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spans="1:20" ht="12.75" customHeight="1" x14ac:dyDescent="0.2">
      <c r="A23" s="17"/>
      <c r="B23" s="16"/>
      <c r="C23" s="16"/>
      <c r="D23" s="17"/>
      <c r="E23" s="39"/>
      <c r="F23" s="35"/>
      <c r="G23" s="3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1:20" ht="12.75" customHeight="1" x14ac:dyDescent="0.2">
      <c r="A24" s="51" t="s">
        <v>73</v>
      </c>
      <c r="B24" s="103"/>
      <c r="C24" s="103"/>
      <c r="D24" s="103"/>
      <c r="E24" s="35"/>
      <c r="F24" s="35"/>
      <c r="G24" s="3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spans="1:20" ht="12.75" customHeight="1" x14ac:dyDescent="0.2">
      <c r="A25" s="16"/>
      <c r="B25" s="16" t="s">
        <v>5</v>
      </c>
      <c r="C25" s="16"/>
      <c r="D25" s="17"/>
      <c r="E25" s="121">
        <v>2.25</v>
      </c>
      <c r="F25" s="37">
        <v>1</v>
      </c>
      <c r="G25" s="36"/>
      <c r="H25" s="217">
        <f>H$30*$E25</f>
        <v>18.112499999999997</v>
      </c>
      <c r="I25" s="17">
        <f t="shared" ref="I25:S25" si="4">I$30*$E25</f>
        <v>15.524999999999999</v>
      </c>
      <c r="J25" s="17">
        <f t="shared" si="4"/>
        <v>31.049999999999997</v>
      </c>
      <c r="K25" s="17">
        <f t="shared" si="4"/>
        <v>62.099999999999994</v>
      </c>
      <c r="L25" s="17">
        <f t="shared" si="4"/>
        <v>333.78749999999997</v>
      </c>
      <c r="M25" s="17">
        <f t="shared" si="4"/>
        <v>545.96249999999998</v>
      </c>
      <c r="N25" s="17">
        <f t="shared" si="4"/>
        <v>667.57499999999993</v>
      </c>
      <c r="O25" s="17">
        <f t="shared" si="4"/>
        <v>667.57499999999993</v>
      </c>
      <c r="P25" s="17">
        <f t="shared" si="4"/>
        <v>517.49999999999989</v>
      </c>
      <c r="Q25" s="17">
        <f t="shared" si="4"/>
        <v>121.6125</v>
      </c>
      <c r="R25" s="17">
        <f t="shared" si="4"/>
        <v>31.049999999999997</v>
      </c>
      <c r="S25" s="17">
        <f t="shared" si="4"/>
        <v>31.049999999999997</v>
      </c>
      <c r="T25" s="217">
        <f>SUM(H25:S25)</f>
        <v>3042.9</v>
      </c>
    </row>
    <row r="26" spans="1:20" ht="12.75" customHeight="1" x14ac:dyDescent="0.2">
      <c r="A26" s="16"/>
      <c r="B26" s="16" t="s">
        <v>6</v>
      </c>
      <c r="C26" s="16"/>
      <c r="D26" s="17"/>
      <c r="E26" s="122">
        <v>0.66</v>
      </c>
      <c r="F26" s="37">
        <f>E26/E25</f>
        <v>0.29333333333333333</v>
      </c>
      <c r="G26" s="36"/>
      <c r="H26" s="217">
        <f t="shared" ref="H26:S27" si="5">H$30*$E26</f>
        <v>5.3129999999999997</v>
      </c>
      <c r="I26" s="17">
        <f t="shared" si="5"/>
        <v>4.5540000000000003</v>
      </c>
      <c r="J26" s="17">
        <f t="shared" si="5"/>
        <v>9.1080000000000005</v>
      </c>
      <c r="K26" s="17">
        <f t="shared" si="5"/>
        <v>18.216000000000001</v>
      </c>
      <c r="L26" s="17">
        <f t="shared" si="5"/>
        <v>97.911000000000001</v>
      </c>
      <c r="M26" s="17">
        <f t="shared" si="5"/>
        <v>160.149</v>
      </c>
      <c r="N26" s="17">
        <f t="shared" si="5"/>
        <v>195.822</v>
      </c>
      <c r="O26" s="17">
        <f t="shared" si="5"/>
        <v>195.822</v>
      </c>
      <c r="P26" s="17">
        <f t="shared" si="5"/>
        <v>151.79999999999998</v>
      </c>
      <c r="Q26" s="17">
        <f t="shared" si="5"/>
        <v>35.673000000000002</v>
      </c>
      <c r="R26" s="17">
        <f t="shared" si="5"/>
        <v>9.1080000000000005</v>
      </c>
      <c r="S26" s="17">
        <f t="shared" si="5"/>
        <v>9.1080000000000005</v>
      </c>
      <c r="T26" s="217">
        <f t="shared" ref="T26:T27" si="6">SUM(H26:S26)</f>
        <v>892.58399999999983</v>
      </c>
    </row>
    <row r="27" spans="1:20" ht="12.75" customHeight="1" x14ac:dyDescent="0.2">
      <c r="A27" s="16"/>
      <c r="B27" s="16" t="s">
        <v>13</v>
      </c>
      <c r="C27" s="16"/>
      <c r="D27" s="17"/>
      <c r="E27" s="38">
        <f>E25-E26</f>
        <v>1.5899999999999999</v>
      </c>
      <c r="F27" s="36">
        <f>E27/E25</f>
        <v>0.70666666666666655</v>
      </c>
      <c r="G27" s="36"/>
      <c r="H27" s="217">
        <f t="shared" si="5"/>
        <v>12.799499999999997</v>
      </c>
      <c r="I27" s="17">
        <f t="shared" si="5"/>
        <v>10.970999999999998</v>
      </c>
      <c r="J27" s="17">
        <f t="shared" si="5"/>
        <v>21.941999999999997</v>
      </c>
      <c r="K27" s="17">
        <f t="shared" si="5"/>
        <v>43.883999999999993</v>
      </c>
      <c r="L27" s="17">
        <f t="shared" si="5"/>
        <v>235.87649999999996</v>
      </c>
      <c r="M27" s="17">
        <f t="shared" si="5"/>
        <v>385.81349999999992</v>
      </c>
      <c r="N27" s="17">
        <f t="shared" si="5"/>
        <v>471.75299999999993</v>
      </c>
      <c r="O27" s="17">
        <f t="shared" si="5"/>
        <v>471.75299999999993</v>
      </c>
      <c r="P27" s="17">
        <f t="shared" si="5"/>
        <v>365.69999999999993</v>
      </c>
      <c r="Q27" s="17">
        <f t="shared" si="5"/>
        <v>85.939499999999981</v>
      </c>
      <c r="R27" s="17">
        <f t="shared" si="5"/>
        <v>21.941999999999997</v>
      </c>
      <c r="S27" s="17">
        <f t="shared" si="5"/>
        <v>21.941999999999997</v>
      </c>
      <c r="T27" s="217">
        <f t="shared" si="6"/>
        <v>2150.3159999999998</v>
      </c>
    </row>
    <row r="28" spans="1:20" ht="12.75" customHeight="1" x14ac:dyDescent="0.2">
      <c r="A28" s="16"/>
      <c r="B28" s="16" t="s">
        <v>9</v>
      </c>
      <c r="C28" s="16"/>
      <c r="D28" s="17"/>
      <c r="E28" s="35"/>
      <c r="F28" s="35"/>
      <c r="G28" s="3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1:20" ht="12.75" customHeight="1" thickBot="1" x14ac:dyDescent="0.25">
      <c r="A29" s="16"/>
      <c r="B29" s="16"/>
      <c r="C29" s="16" t="s">
        <v>12</v>
      </c>
      <c r="D29" s="17"/>
      <c r="E29" s="35"/>
      <c r="F29" s="35"/>
      <c r="G29" s="35"/>
      <c r="H29" s="111">
        <f>H30/$T$30</f>
        <v>5.9523809523809521E-3</v>
      </c>
      <c r="I29" s="111">
        <f t="shared" ref="I29:S29" si="7">I30/$T$30</f>
        <v>5.1020408163265311E-3</v>
      </c>
      <c r="J29" s="111">
        <f t="shared" si="7"/>
        <v>1.0204081632653062E-2</v>
      </c>
      <c r="K29" s="111">
        <f t="shared" si="7"/>
        <v>2.0408163265306124E-2</v>
      </c>
      <c r="L29" s="111">
        <f t="shared" si="7"/>
        <v>0.10969387755102042</v>
      </c>
      <c r="M29" s="111">
        <f t="shared" si="7"/>
        <v>0.179421768707483</v>
      </c>
      <c r="N29" s="111">
        <f t="shared" si="7"/>
        <v>0.21938775510204084</v>
      </c>
      <c r="O29" s="111">
        <f t="shared" si="7"/>
        <v>0.21938775510204084</v>
      </c>
      <c r="P29" s="111">
        <f t="shared" si="7"/>
        <v>0.17006802721088435</v>
      </c>
      <c r="Q29" s="111">
        <f t="shared" si="7"/>
        <v>3.9965986394557826E-2</v>
      </c>
      <c r="R29" s="111">
        <f t="shared" si="7"/>
        <v>1.0204081632653062E-2</v>
      </c>
      <c r="S29" s="111">
        <f t="shared" si="7"/>
        <v>1.0204081632653062E-2</v>
      </c>
      <c r="T29" s="112"/>
    </row>
    <row r="30" spans="1:20" ht="12.75" customHeight="1" x14ac:dyDescent="0.2">
      <c r="A30" s="16"/>
      <c r="B30" s="16"/>
      <c r="C30" s="1" t="s">
        <v>9</v>
      </c>
      <c r="D30" s="17"/>
      <c r="E30" s="35"/>
      <c r="F30" s="35"/>
      <c r="G30" s="35"/>
      <c r="H30" s="123">
        <f>H32*(1+H33)</f>
        <v>8.0499999999999989</v>
      </c>
      <c r="I30" s="123">
        <f t="shared" ref="I30:S30" si="8">I32*(1+I33)</f>
        <v>6.8999999999999995</v>
      </c>
      <c r="J30" s="123">
        <f t="shared" si="8"/>
        <v>13.799999999999999</v>
      </c>
      <c r="K30" s="123">
        <f t="shared" si="8"/>
        <v>27.599999999999998</v>
      </c>
      <c r="L30" s="123">
        <f t="shared" si="8"/>
        <v>148.35</v>
      </c>
      <c r="M30" s="123">
        <f t="shared" si="8"/>
        <v>242.64999999999998</v>
      </c>
      <c r="N30" s="123">
        <f t="shared" si="8"/>
        <v>296.7</v>
      </c>
      <c r="O30" s="123">
        <f t="shared" si="8"/>
        <v>296.7</v>
      </c>
      <c r="P30" s="123">
        <f t="shared" si="8"/>
        <v>229.99999999999997</v>
      </c>
      <c r="Q30" s="123">
        <f t="shared" si="8"/>
        <v>54.05</v>
      </c>
      <c r="R30" s="123">
        <f t="shared" si="8"/>
        <v>13.799999999999999</v>
      </c>
      <c r="S30" s="123">
        <f t="shared" si="8"/>
        <v>13.799999999999999</v>
      </c>
      <c r="T30" s="113">
        <f>SUM(H30:S30)</f>
        <v>1352.3999999999999</v>
      </c>
    </row>
    <row r="31" spans="1:20" ht="12.75" customHeight="1" x14ac:dyDescent="0.2">
      <c r="A31" s="17"/>
      <c r="B31" s="16"/>
      <c r="C31" s="16"/>
      <c r="D31" s="17"/>
      <c r="E31" s="35"/>
      <c r="F31" s="35"/>
      <c r="G31" s="35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spans="1:20" x14ac:dyDescent="0.2">
      <c r="C32" s="70" t="s">
        <v>119</v>
      </c>
      <c r="D32" s="114"/>
      <c r="E32" s="115"/>
      <c r="F32" s="115"/>
      <c r="G32" s="115"/>
      <c r="H32" s="116">
        <f>INDEX('11. 2015 Sales Data'!$C$6:$C$17,MATCH('5. Projected Sales'!H$6,'11. 2015 Sales Data'!$A$6:$A$17,0),1)</f>
        <v>7</v>
      </c>
      <c r="I32" s="116">
        <f>INDEX('11. 2015 Sales Data'!$C$6:$C$17,MATCH('5. Projected Sales'!I$6,'11. 2015 Sales Data'!$A$6:$A$17,0),1)</f>
        <v>6</v>
      </c>
      <c r="J32" s="116">
        <f>INDEX('11. 2015 Sales Data'!$C$6:$C$17,MATCH('5. Projected Sales'!J$6,'11. 2015 Sales Data'!$A$6:$A$17,0),1)</f>
        <v>12</v>
      </c>
      <c r="K32" s="116">
        <f>INDEX('11. 2015 Sales Data'!$C$6:$C$17,MATCH('5. Projected Sales'!K$6,'11. 2015 Sales Data'!$A$6:$A$17,0),1)</f>
        <v>24</v>
      </c>
      <c r="L32" s="116">
        <f>INDEX('11. 2015 Sales Data'!$C$6:$C$17,MATCH('5. Projected Sales'!L$6,'11. 2015 Sales Data'!$A$6:$A$17,0),1)</f>
        <v>129</v>
      </c>
      <c r="M32" s="116">
        <f>INDEX('11. 2015 Sales Data'!$C$6:$C$17,MATCH('5. Projected Sales'!M$6,'11. 2015 Sales Data'!$A$6:$A$17,0),1)</f>
        <v>211</v>
      </c>
      <c r="N32" s="116">
        <f>INDEX('11. 2015 Sales Data'!$C$6:$C$17,MATCH('5. Projected Sales'!N$6,'11. 2015 Sales Data'!$A$6:$A$17,0),1)</f>
        <v>258</v>
      </c>
      <c r="O32" s="116">
        <f>INDEX('11. 2015 Sales Data'!$C$6:$C$17,MATCH('5. Projected Sales'!O$6,'11. 2015 Sales Data'!$A$6:$A$17,0),1)</f>
        <v>258</v>
      </c>
      <c r="P32" s="116">
        <f>INDEX('11. 2015 Sales Data'!$C$6:$C$17,MATCH('5. Projected Sales'!P$6,'11. 2015 Sales Data'!$A$6:$A$17,0),1)</f>
        <v>200</v>
      </c>
      <c r="Q32" s="116">
        <f>INDEX('11. 2015 Sales Data'!$C$6:$C$17,MATCH('5. Projected Sales'!Q$6,'11. 2015 Sales Data'!$A$6:$A$17,0),1)</f>
        <v>47</v>
      </c>
      <c r="R32" s="116">
        <f>INDEX('11. 2015 Sales Data'!$C$6:$C$17,MATCH('5. Projected Sales'!R$6,'11. 2015 Sales Data'!$A$6:$A$17,0),1)</f>
        <v>12</v>
      </c>
      <c r="S32" s="116">
        <f>INDEX('11. 2015 Sales Data'!$C$6:$C$17,MATCH('5. Projected Sales'!S$6,'11. 2015 Sales Data'!$A$6:$A$17,0),1)</f>
        <v>12</v>
      </c>
      <c r="T32" s="117">
        <f>SUM(H32:S32)</f>
        <v>1176</v>
      </c>
    </row>
    <row r="33" spans="1:20" x14ac:dyDescent="0.2">
      <c r="C33" s="77" t="s">
        <v>120</v>
      </c>
      <c r="D33" s="53"/>
      <c r="E33" s="118"/>
      <c r="F33" s="118"/>
      <c r="G33" s="118"/>
      <c r="H33" s="119">
        <v>0.15</v>
      </c>
      <c r="I33" s="119">
        <v>0.15</v>
      </c>
      <c r="J33" s="119">
        <v>0.15</v>
      </c>
      <c r="K33" s="119">
        <v>0.15</v>
      </c>
      <c r="L33" s="119">
        <v>0.15</v>
      </c>
      <c r="M33" s="119">
        <v>0.15</v>
      </c>
      <c r="N33" s="119">
        <v>0.15</v>
      </c>
      <c r="O33" s="119">
        <v>0.15</v>
      </c>
      <c r="P33" s="119">
        <v>0.15</v>
      </c>
      <c r="Q33" s="119">
        <v>0.15</v>
      </c>
      <c r="R33" s="119">
        <v>0.15</v>
      </c>
      <c r="S33" s="119">
        <v>0.15</v>
      </c>
      <c r="T33" s="120">
        <v>0.15</v>
      </c>
    </row>
    <row r="35" spans="1:20" ht="12.75" customHeight="1" x14ac:dyDescent="0.2">
      <c r="A35" s="17"/>
      <c r="B35" s="16" t="s">
        <v>11</v>
      </c>
      <c r="C35" s="16"/>
      <c r="D35" s="17"/>
      <c r="E35" s="39">
        <f>T25</f>
        <v>3042.9</v>
      </c>
      <c r="F35" s="37">
        <v>1</v>
      </c>
      <c r="G35" s="35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2.75" customHeight="1" x14ac:dyDescent="0.2">
      <c r="A36" s="17"/>
      <c r="B36" s="16" t="s">
        <v>7</v>
      </c>
      <c r="C36" s="16"/>
      <c r="D36" s="17"/>
      <c r="E36" s="40">
        <f>T26</f>
        <v>892.58399999999983</v>
      </c>
      <c r="F36" s="37">
        <f>E36/E35</f>
        <v>0.29333333333333328</v>
      </c>
      <c r="G36" s="35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spans="1:20" ht="12.75" customHeight="1" x14ac:dyDescent="0.2">
      <c r="A37" s="16"/>
      <c r="B37" s="16" t="s">
        <v>8</v>
      </c>
      <c r="C37" s="16"/>
      <c r="D37" s="17"/>
      <c r="E37" s="41">
        <f>E35-E36</f>
        <v>2150.3160000000003</v>
      </c>
      <c r="F37" s="36">
        <f>IF(E35&gt;0,E37/E35,0)</f>
        <v>0.70666666666666678</v>
      </c>
      <c r="G37" s="35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spans="1:20" ht="12.75" customHeight="1" x14ac:dyDescent="0.2">
      <c r="A38" s="5"/>
      <c r="B38" s="6"/>
      <c r="C38" s="6"/>
      <c r="D38" s="5"/>
      <c r="E38" s="8"/>
      <c r="F38" s="7"/>
      <c r="G38" s="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ht="12.75" customHeight="1" x14ac:dyDescent="0.2">
      <c r="A39" s="5"/>
      <c r="B39" s="6"/>
      <c r="C39" s="6"/>
      <c r="D39" s="5"/>
      <c r="E39" s="9"/>
      <c r="F39" s="7"/>
      <c r="G39" s="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</sheetData>
  <phoneticPr fontId="5" type="noConversion"/>
  <pageMargins left="0.75" right="0.75" top="1" bottom="1" header="0.5" footer="0.5"/>
  <pageSetup scale="65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tabColor rgb="FFFFFF99"/>
    <pageSetUpPr fitToPage="1"/>
  </sheetPr>
  <dimension ref="A1:X40"/>
  <sheetViews>
    <sheetView showGridLines="0" zoomScaleNormal="100" workbookViewId="0">
      <selection activeCell="K13" sqref="K13"/>
    </sheetView>
  </sheetViews>
  <sheetFormatPr defaultRowHeight="12" x14ac:dyDescent="0.2"/>
  <cols>
    <col min="1" max="4" width="3" style="1" customWidth="1"/>
    <col min="5" max="5" width="18.7109375" customWidth="1"/>
    <col min="6" max="6" width="6.7109375" style="10" customWidth="1"/>
    <col min="7" max="7" width="15.42578125" customWidth="1"/>
    <col min="8" max="8" width="3" customWidth="1"/>
    <col min="9" max="9" width="3.7109375" customWidth="1"/>
    <col min="10" max="10" width="22.42578125" bestFit="1" customWidth="1"/>
    <col min="11" max="24" width="9.140625" style="10"/>
  </cols>
  <sheetData>
    <row r="1" spans="1:23" ht="15.75" x14ac:dyDescent="0.25">
      <c r="A1" s="3" t="s">
        <v>88</v>
      </c>
    </row>
    <row r="2" spans="1:23" ht="15.75" x14ac:dyDescent="0.25">
      <c r="A2" s="3" t="s">
        <v>128</v>
      </c>
    </row>
    <row r="3" spans="1:23" x14ac:dyDescent="0.2">
      <c r="E3" s="1"/>
      <c r="F3" s="22"/>
      <c r="G3" s="19"/>
      <c r="H3" s="19"/>
      <c r="I3" s="19"/>
      <c r="J3" s="48"/>
    </row>
    <row r="4" spans="1:23" x14ac:dyDescent="0.2">
      <c r="E4" s="19"/>
      <c r="F4" s="22"/>
      <c r="G4" s="19"/>
      <c r="H4" s="19"/>
      <c r="I4" s="19"/>
    </row>
    <row r="5" spans="1:23" ht="12.75" customHeight="1" x14ac:dyDescent="0.2">
      <c r="E5" s="19"/>
      <c r="F5" s="22"/>
      <c r="G5" s="19"/>
      <c r="H5" s="19"/>
      <c r="I5" s="19"/>
    </row>
    <row r="6" spans="1:23" ht="12.75" customHeight="1" thickBot="1" x14ac:dyDescent="0.25">
      <c r="A6" s="70" t="s">
        <v>122</v>
      </c>
      <c r="B6" s="71"/>
      <c r="C6" s="71"/>
      <c r="D6" s="71"/>
      <c r="E6" s="72"/>
      <c r="F6" s="73"/>
      <c r="G6" s="74"/>
      <c r="H6" s="20"/>
      <c r="I6" s="20"/>
      <c r="K6" s="83" t="s">
        <v>95</v>
      </c>
      <c r="L6" s="83" t="s">
        <v>96</v>
      </c>
      <c r="M6" s="83" t="s">
        <v>97</v>
      </c>
      <c r="N6" s="83" t="s">
        <v>98</v>
      </c>
      <c r="O6" s="83" t="s">
        <v>70</v>
      </c>
      <c r="P6" s="83" t="s">
        <v>99</v>
      </c>
      <c r="Q6" s="83" t="s">
        <v>100</v>
      </c>
      <c r="R6" s="83" t="s">
        <v>101</v>
      </c>
      <c r="S6" s="83" t="s">
        <v>102</v>
      </c>
      <c r="T6" s="83" t="s">
        <v>103</v>
      </c>
      <c r="U6" s="83" t="s">
        <v>104</v>
      </c>
      <c r="V6" s="83" t="s">
        <v>105</v>
      </c>
      <c r="W6" s="49" t="s">
        <v>0</v>
      </c>
    </row>
    <row r="7" spans="1:23" ht="12.75" customHeight="1" thickTop="1" x14ac:dyDescent="0.2">
      <c r="A7" s="75"/>
      <c r="E7" s="19"/>
      <c r="F7" s="22"/>
      <c r="G7" s="76"/>
      <c r="H7" s="19"/>
      <c r="I7" s="19"/>
    </row>
    <row r="8" spans="1:23" ht="12.75" customHeight="1" x14ac:dyDescent="0.2">
      <c r="A8" s="75" t="s">
        <v>117</v>
      </c>
      <c r="E8" s="19"/>
      <c r="F8" s="22"/>
      <c r="G8" s="85" t="s">
        <v>150</v>
      </c>
      <c r="H8" s="19"/>
      <c r="I8" s="19"/>
      <c r="J8" s="20" t="s">
        <v>115</v>
      </c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79"/>
    </row>
    <row r="9" spans="1:23" ht="12.75" customHeight="1" x14ac:dyDescent="0.2">
      <c r="A9" s="75"/>
      <c r="B9" s="1" t="s">
        <v>118</v>
      </c>
      <c r="E9" s="19"/>
      <c r="F9" s="22"/>
      <c r="G9" s="84">
        <v>0.03</v>
      </c>
      <c r="H9" s="19"/>
      <c r="I9" s="19"/>
      <c r="J9" s="20"/>
    </row>
    <row r="10" spans="1:23" ht="12.75" customHeight="1" x14ac:dyDescent="0.2">
      <c r="A10" s="75"/>
      <c r="G10" s="65"/>
      <c r="H10" s="19"/>
      <c r="I10" s="19"/>
      <c r="J10" s="20" t="s">
        <v>80</v>
      </c>
      <c r="K10" s="54">
        <f>IF($G$8="Manual Forecast",K$8*$G$13,K$15*(1+$G$9))</f>
        <v>14.401730375000001</v>
      </c>
      <c r="L10" s="54">
        <f t="shared" ref="L10:V10" si="0">IF($G$8="Manual Forecast",L$8*$G$13,L$15*(1+$G$9))</f>
        <v>15.554815375</v>
      </c>
      <c r="M10" s="54">
        <f t="shared" si="0"/>
        <v>30.07963075</v>
      </c>
      <c r="N10" s="54">
        <f t="shared" si="0"/>
        <v>60.1592615</v>
      </c>
      <c r="O10" s="54">
        <f t="shared" si="0"/>
        <v>329.69143825000009</v>
      </c>
      <c r="P10" s="54">
        <f t="shared" si="0"/>
        <v>539.11585350000007</v>
      </c>
      <c r="Q10" s="54">
        <f t="shared" si="0"/>
        <v>659.38287650000018</v>
      </c>
      <c r="R10" s="54">
        <f t="shared" si="0"/>
        <v>659.38287650000018</v>
      </c>
      <c r="S10" s="54">
        <f t="shared" si="0"/>
        <v>509.08772274999995</v>
      </c>
      <c r="T10" s="54">
        <f t="shared" si="0"/>
        <v>120.26702299999998</v>
      </c>
      <c r="U10" s="54">
        <f t="shared" si="0"/>
        <v>43.120460749999992</v>
      </c>
      <c r="V10" s="54">
        <f t="shared" si="0"/>
        <v>28.494460750000002</v>
      </c>
      <c r="W10" s="54">
        <f>SUM(K10:V10)</f>
        <v>3008.7381500000006</v>
      </c>
    </row>
    <row r="11" spans="1:23" ht="12.75" customHeight="1" x14ac:dyDescent="0.2">
      <c r="A11" s="75"/>
      <c r="G11" s="65"/>
      <c r="H11" s="27"/>
      <c r="I11" s="27"/>
      <c r="J11" s="20" t="s">
        <v>113</v>
      </c>
      <c r="K11" s="58">
        <f>K$10*SUM($G$16:$G$17)</f>
        <v>1.1017323736875</v>
      </c>
      <c r="L11" s="58">
        <f t="shared" ref="L11:V11" si="1">L$10*SUM($G$16:$G$17)</f>
        <v>1.1899433761875</v>
      </c>
      <c r="M11" s="58">
        <f t="shared" si="1"/>
        <v>2.3010917523750001</v>
      </c>
      <c r="N11" s="58">
        <f t="shared" si="1"/>
        <v>4.6021835047500002</v>
      </c>
      <c r="O11" s="58">
        <f t="shared" si="1"/>
        <v>25.221395026125006</v>
      </c>
      <c r="P11" s="58">
        <f t="shared" si="1"/>
        <v>41.242362792750008</v>
      </c>
      <c r="Q11" s="58">
        <f t="shared" si="1"/>
        <v>50.442790052250011</v>
      </c>
      <c r="R11" s="58">
        <f t="shared" si="1"/>
        <v>50.442790052250011</v>
      </c>
      <c r="S11" s="58">
        <f t="shared" si="1"/>
        <v>38.945210790374993</v>
      </c>
      <c r="T11" s="58">
        <f t="shared" si="1"/>
        <v>9.2004272594999978</v>
      </c>
      <c r="U11" s="58">
        <f t="shared" si="1"/>
        <v>3.2987152473749992</v>
      </c>
      <c r="V11" s="58">
        <f t="shared" si="1"/>
        <v>2.1798262473750003</v>
      </c>
      <c r="W11" s="58">
        <f t="shared" ref="W11" si="2">SUM(K11:V11)</f>
        <v>230.16846847500003</v>
      </c>
    </row>
    <row r="12" spans="1:23" ht="12.75" customHeight="1" x14ac:dyDescent="0.2">
      <c r="A12" s="75" t="s">
        <v>121</v>
      </c>
      <c r="E12" s="19"/>
      <c r="F12" s="22"/>
      <c r="G12" s="76"/>
      <c r="H12" s="19"/>
      <c r="I12" s="19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</row>
    <row r="13" spans="1:23" ht="12.75" customHeight="1" x14ac:dyDescent="0.2">
      <c r="A13" s="75"/>
      <c r="B13" s="1" t="s">
        <v>17</v>
      </c>
      <c r="E13" s="19"/>
      <c r="F13" s="22"/>
      <c r="G13" s="92">
        <v>9</v>
      </c>
      <c r="H13" s="19"/>
      <c r="I13" s="19"/>
      <c r="J13" s="20" t="s">
        <v>116</v>
      </c>
      <c r="K13" s="54">
        <f>SUM(K10:K11)</f>
        <v>15.503462748687502</v>
      </c>
      <c r="L13" s="54">
        <f t="shared" ref="L13:V13" si="3">SUM(L10:L11)</f>
        <v>16.744758751187501</v>
      </c>
      <c r="M13" s="54">
        <f t="shared" si="3"/>
        <v>32.380722502375001</v>
      </c>
      <c r="N13" s="54">
        <f t="shared" si="3"/>
        <v>64.761445004750001</v>
      </c>
      <c r="O13" s="54">
        <f t="shared" si="3"/>
        <v>354.91283327612507</v>
      </c>
      <c r="P13" s="54">
        <f t="shared" si="3"/>
        <v>580.35821629275006</v>
      </c>
      <c r="Q13" s="54">
        <f t="shared" si="3"/>
        <v>709.82566655225014</v>
      </c>
      <c r="R13" s="54">
        <f t="shared" si="3"/>
        <v>709.82566655225014</v>
      </c>
      <c r="S13" s="54">
        <f t="shared" si="3"/>
        <v>548.03293354037498</v>
      </c>
      <c r="T13" s="54">
        <f t="shared" si="3"/>
        <v>129.46745025949997</v>
      </c>
      <c r="U13" s="54">
        <f t="shared" si="3"/>
        <v>46.419175997374992</v>
      </c>
      <c r="V13" s="54">
        <f t="shared" si="3"/>
        <v>30.674286997375003</v>
      </c>
      <c r="W13" s="54">
        <f>SUM(K13:V13)</f>
        <v>3238.9066184750004</v>
      </c>
    </row>
    <row r="14" spans="1:23" ht="12.75" customHeight="1" x14ac:dyDescent="0.2">
      <c r="A14" s="75"/>
      <c r="E14" s="19"/>
      <c r="F14" s="22"/>
      <c r="G14" s="76"/>
      <c r="H14" s="29"/>
      <c r="I14" s="19"/>
    </row>
    <row r="15" spans="1:23" ht="12.75" customHeight="1" x14ac:dyDescent="0.2">
      <c r="A15" s="75" t="s">
        <v>114</v>
      </c>
      <c r="E15" s="19"/>
      <c r="F15" s="22"/>
      <c r="G15" s="76"/>
      <c r="H15" s="29"/>
      <c r="I15" s="19"/>
      <c r="J15" s="104" t="s">
        <v>149</v>
      </c>
      <c r="K15" s="170">
        <f>INDEX('9. 2015 Income Statement'!$E$20:$P$20,1,MATCH(K$6,'9. 2015 Income Statement'!$E$5:$P$5,0))</f>
        <v>13.982262500000001</v>
      </c>
      <c r="L15" s="170">
        <f>INDEX('9. 2015 Income Statement'!$E$20:$P$20,1,MATCH(L$6,'9. 2015 Income Statement'!$E$5:$P$5,0))</f>
        <v>15.1017625</v>
      </c>
      <c r="M15" s="170">
        <f>INDEX('9. 2015 Income Statement'!$E$20:$P$20,1,MATCH(M$6,'9. 2015 Income Statement'!$E$5:$P$5,0))</f>
        <v>29.203524999999999</v>
      </c>
      <c r="N15" s="170">
        <f>INDEX('9. 2015 Income Statement'!$E$20:$P$20,1,MATCH(N$6,'9. 2015 Income Statement'!$E$5:$P$5,0))</f>
        <v>58.407049999999998</v>
      </c>
      <c r="O15" s="170">
        <f>INDEX('9. 2015 Income Statement'!$E$20:$P$20,1,MATCH(O$6,'9. 2015 Income Statement'!$E$5:$P$5,0))</f>
        <v>320.08877500000006</v>
      </c>
      <c r="P15" s="170">
        <f>INDEX('9. 2015 Income Statement'!$E$20:$P$20,1,MATCH(P$6,'9. 2015 Income Statement'!$E$5:$P$5,0))</f>
        <v>523.41345000000001</v>
      </c>
      <c r="Q15" s="170">
        <f>INDEX('9. 2015 Income Statement'!$E$20:$P$20,1,MATCH(Q$6,'9. 2015 Income Statement'!$E$5:$P$5,0))</f>
        <v>640.17755000000011</v>
      </c>
      <c r="R15" s="170">
        <f>INDEX('9. 2015 Income Statement'!$E$20:$P$20,1,MATCH(R$6,'9. 2015 Income Statement'!$E$5:$P$5,0))</f>
        <v>640.17755000000011</v>
      </c>
      <c r="S15" s="170">
        <f>INDEX('9. 2015 Income Statement'!$E$20:$P$20,1,MATCH(S$6,'9. 2015 Income Statement'!$E$5:$P$5,0))</f>
        <v>494.25992499999995</v>
      </c>
      <c r="T15" s="170">
        <f>INDEX('9. 2015 Income Statement'!$E$20:$P$20,1,MATCH(T$6,'9. 2015 Income Statement'!$E$5:$P$5,0))</f>
        <v>116.76409999999998</v>
      </c>
      <c r="U15" s="170">
        <f>INDEX('9. 2015 Income Statement'!$E$20:$P$20,1,MATCH(U$6,'9. 2015 Income Statement'!$E$5:$P$5,0))</f>
        <v>41.864524999999993</v>
      </c>
      <c r="V15" s="170">
        <f>INDEX('9. 2015 Income Statement'!$E$20:$P$20,1,MATCH(V$6,'9. 2015 Income Statement'!$E$5:$P$5,0))</f>
        <v>27.664525000000001</v>
      </c>
      <c r="W15" s="171">
        <f>SUM(K15:V15)</f>
        <v>2921.105</v>
      </c>
    </row>
    <row r="16" spans="1:23" ht="12.75" customHeight="1" x14ac:dyDescent="0.2">
      <c r="A16" s="75"/>
      <c r="B16" s="1" t="s">
        <v>18</v>
      </c>
      <c r="E16" s="19"/>
      <c r="F16" s="22"/>
      <c r="G16" s="86">
        <v>6.2E-2</v>
      </c>
      <c r="H16" s="29"/>
      <c r="I16" s="19"/>
      <c r="J16" s="183" t="s">
        <v>148</v>
      </c>
      <c r="K16" s="185">
        <f>INDEX('9. 2015 Income Statement'!$E$21:$P$21,1,MATCH(K$6,'9. 2015 Income Statement'!$E$5:$P$5,0))</f>
        <v>1.06964308125</v>
      </c>
      <c r="L16" s="185">
        <f>INDEX('9. 2015 Income Statement'!$E$21:$P$21,1,MATCH(L$6,'9. 2015 Income Statement'!$E$5:$P$5,0))</f>
        <v>1.1552848312499999</v>
      </c>
      <c r="M16" s="185">
        <f>INDEX('9. 2015 Income Statement'!$E$21:$P$21,1,MATCH(M$6,'9. 2015 Income Statement'!$E$5:$P$5,0))</f>
        <v>2.2340696625000001</v>
      </c>
      <c r="N16" s="185">
        <f>INDEX('9. 2015 Income Statement'!$E$21:$P$21,1,MATCH(N$6,'9. 2015 Income Statement'!$E$5:$P$5,0))</f>
        <v>4.4681393250000001</v>
      </c>
      <c r="O16" s="185">
        <f>INDEX('9. 2015 Income Statement'!$E$21:$P$21,1,MATCH(O$6,'9. 2015 Income Statement'!$E$5:$P$5,0))</f>
        <v>24.486791287500004</v>
      </c>
      <c r="P16" s="185">
        <f>INDEX('9. 2015 Income Statement'!$E$21:$P$21,1,MATCH(P$6,'9. 2015 Income Statement'!$E$5:$P$5,0))</f>
        <v>40.041128925000002</v>
      </c>
      <c r="Q16" s="185">
        <f>INDEX('9. 2015 Income Statement'!$E$21:$P$21,1,MATCH(Q$6,'9. 2015 Income Statement'!$E$5:$P$5,0))</f>
        <v>48.973582575000009</v>
      </c>
      <c r="R16" s="185">
        <f>INDEX('9. 2015 Income Statement'!$E$21:$P$21,1,MATCH(R$6,'9. 2015 Income Statement'!$E$5:$P$5,0))</f>
        <v>48.973582575000009</v>
      </c>
      <c r="S16" s="185">
        <f>INDEX('9. 2015 Income Statement'!$E$21:$P$21,1,MATCH(S$6,'9. 2015 Income Statement'!$E$5:$P$5,0))</f>
        <v>37.810884262499997</v>
      </c>
      <c r="T16" s="185">
        <f>INDEX('9. 2015 Income Statement'!$E$21:$P$21,1,MATCH(T$6,'9. 2015 Income Statement'!$E$5:$P$5,0))</f>
        <v>8.9324536499999994</v>
      </c>
      <c r="U16" s="185">
        <f>INDEX('9. 2015 Income Statement'!$E$21:$P$21,1,MATCH(U$6,'9. 2015 Income Statement'!$E$5:$P$5,0))</f>
        <v>3.2026361624999993</v>
      </c>
      <c r="V16" s="185">
        <f>INDEX('9. 2015 Income Statement'!$E$21:$P$21,1,MATCH(V$6,'9. 2015 Income Statement'!$E$5:$P$5,0))</f>
        <v>2.1163361625000001</v>
      </c>
      <c r="W16" s="186">
        <f t="shared" ref="W16:W17" si="4">SUM(K16:V16)</f>
        <v>223.46453250000002</v>
      </c>
    </row>
    <row r="17" spans="1:23" ht="12.75" customHeight="1" x14ac:dyDescent="0.2">
      <c r="A17" s="75"/>
      <c r="B17" s="1" t="s">
        <v>19</v>
      </c>
      <c r="E17" s="19"/>
      <c r="F17" s="22"/>
      <c r="G17" s="86">
        <v>1.4500000000000001E-2</v>
      </c>
      <c r="H17" s="29"/>
      <c r="I17" s="19"/>
      <c r="J17" s="183" t="s">
        <v>147</v>
      </c>
      <c r="K17" s="182">
        <f>INDEX('9. 2015 Income Statement'!$E$22:$P$22,1,MATCH(K$6,'9. 2015 Income Statement'!$E$5:$P$5,0))</f>
        <v>15.051905581250001</v>
      </c>
      <c r="L17" s="182">
        <f>INDEX('9. 2015 Income Statement'!$E$22:$P$22,1,MATCH(L$6,'9. 2015 Income Statement'!$E$5:$P$5,0))</f>
        <v>16.25704733125</v>
      </c>
      <c r="M17" s="182">
        <f>INDEX('9. 2015 Income Statement'!$E$22:$P$22,1,MATCH(M$6,'9. 2015 Income Statement'!$E$5:$P$5,0))</f>
        <v>31.4375946625</v>
      </c>
      <c r="N17" s="182">
        <f>INDEX('9. 2015 Income Statement'!$E$22:$P$22,1,MATCH(N$6,'9. 2015 Income Statement'!$E$5:$P$5,0))</f>
        <v>62.875189325000001</v>
      </c>
      <c r="O17" s="182">
        <f>INDEX('9. 2015 Income Statement'!$E$22:$P$22,1,MATCH(O$6,'9. 2015 Income Statement'!$E$5:$P$5,0))</f>
        <v>344.57556628750007</v>
      </c>
      <c r="P17" s="182">
        <f>INDEX('9. 2015 Income Statement'!$E$22:$P$22,1,MATCH(P$6,'9. 2015 Income Statement'!$E$5:$P$5,0))</f>
        <v>563.45457892499996</v>
      </c>
      <c r="Q17" s="182">
        <f>INDEX('9. 2015 Income Statement'!$E$22:$P$22,1,MATCH(Q$6,'9. 2015 Income Statement'!$E$5:$P$5,0))</f>
        <v>689.15113257500013</v>
      </c>
      <c r="R17" s="182">
        <f>INDEX('9. 2015 Income Statement'!$E$22:$P$22,1,MATCH(R$6,'9. 2015 Income Statement'!$E$5:$P$5,0))</f>
        <v>689.15113257500013</v>
      </c>
      <c r="S17" s="182">
        <f>INDEX('9. 2015 Income Statement'!$E$22:$P$22,1,MATCH(S$6,'9. 2015 Income Statement'!$E$5:$P$5,0))</f>
        <v>532.07080926250001</v>
      </c>
      <c r="T17" s="182">
        <f>INDEX('9. 2015 Income Statement'!$E$22:$P$22,1,MATCH(T$6,'9. 2015 Income Statement'!$E$5:$P$5,0))</f>
        <v>125.69655364999998</v>
      </c>
      <c r="U17" s="182">
        <f>INDEX('9. 2015 Income Statement'!$E$22:$P$22,1,MATCH(U$6,'9. 2015 Income Statement'!$E$5:$P$5,0))</f>
        <v>45.067161162499993</v>
      </c>
      <c r="V17" s="182">
        <f>INDEX('9. 2015 Income Statement'!$E$22:$P$22,1,MATCH(V$6,'9. 2015 Income Statement'!$E$5:$P$5,0))</f>
        <v>29.780861162500003</v>
      </c>
      <c r="W17" s="184">
        <f t="shared" si="4"/>
        <v>3144.5695325000006</v>
      </c>
    </row>
    <row r="18" spans="1:23" ht="12.75" customHeight="1" x14ac:dyDescent="0.2">
      <c r="A18" s="77"/>
      <c r="B18" s="78"/>
      <c r="C18" s="78"/>
      <c r="D18" s="78"/>
      <c r="E18" s="79"/>
      <c r="F18" s="80"/>
      <c r="G18" s="81"/>
      <c r="H18" s="19"/>
      <c r="I18" s="19"/>
      <c r="J18" s="105"/>
      <c r="W18" s="106"/>
    </row>
    <row r="19" spans="1:23" ht="12.75" customHeight="1" x14ac:dyDescent="0.2">
      <c r="E19" s="19"/>
      <c r="F19" s="22"/>
      <c r="G19" s="19"/>
      <c r="H19" s="19"/>
      <c r="I19" s="19"/>
      <c r="J19" s="107" t="s">
        <v>111</v>
      </c>
      <c r="K19" s="108">
        <f>(K$13/K$17)-1</f>
        <v>3.0000000000000027E-2</v>
      </c>
      <c r="L19" s="108">
        <f t="shared" ref="L19:W19" si="5">(L$13/L$17)-1</f>
        <v>3.0000000000000027E-2</v>
      </c>
      <c r="M19" s="108">
        <f t="shared" si="5"/>
        <v>3.0000000000000027E-2</v>
      </c>
      <c r="N19" s="108">
        <f t="shared" si="5"/>
        <v>3.0000000000000027E-2</v>
      </c>
      <c r="O19" s="108">
        <f t="shared" si="5"/>
        <v>3.0000000000000027E-2</v>
      </c>
      <c r="P19" s="108">
        <f t="shared" si="5"/>
        <v>3.0000000000000249E-2</v>
      </c>
      <c r="Q19" s="108">
        <f t="shared" si="5"/>
        <v>3.0000000000000027E-2</v>
      </c>
      <c r="R19" s="108">
        <f t="shared" si="5"/>
        <v>3.0000000000000027E-2</v>
      </c>
      <c r="S19" s="108">
        <f t="shared" si="5"/>
        <v>3.0000000000000027E-2</v>
      </c>
      <c r="T19" s="108">
        <f t="shared" si="5"/>
        <v>2.9999999999999805E-2</v>
      </c>
      <c r="U19" s="108">
        <f t="shared" si="5"/>
        <v>3.0000000000000027E-2</v>
      </c>
      <c r="V19" s="108">
        <f t="shared" si="5"/>
        <v>3.0000000000000027E-2</v>
      </c>
      <c r="W19" s="109">
        <f t="shared" si="5"/>
        <v>3.0000000000000027E-2</v>
      </c>
    </row>
    <row r="20" spans="1:23" ht="12.75" customHeight="1" x14ac:dyDescent="0.2">
      <c r="E20" s="19"/>
      <c r="F20" s="22"/>
      <c r="G20" s="19"/>
      <c r="H20" s="19"/>
      <c r="I20" s="19"/>
    </row>
    <row r="21" spans="1:23" ht="12.75" customHeight="1" x14ac:dyDescent="0.2">
      <c r="E21" s="19"/>
      <c r="F21" s="22"/>
      <c r="G21" s="19"/>
      <c r="H21" s="19"/>
      <c r="I21" s="19"/>
    </row>
    <row r="22" spans="1:23" ht="12.75" customHeight="1" x14ac:dyDescent="0.2">
      <c r="E22" s="19"/>
      <c r="F22" s="22"/>
      <c r="G22" s="19"/>
      <c r="H22" s="19"/>
      <c r="I22" s="19"/>
    </row>
    <row r="23" spans="1:23" ht="12.75" customHeight="1" x14ac:dyDescent="0.2">
      <c r="E23" s="19"/>
      <c r="F23" s="22"/>
      <c r="G23" s="19"/>
      <c r="H23" s="19"/>
      <c r="I23" s="19"/>
    </row>
    <row r="24" spans="1:23" ht="12.75" customHeight="1" x14ac:dyDescent="0.2">
      <c r="E24" s="19"/>
      <c r="F24" s="22"/>
      <c r="G24" s="19"/>
      <c r="H24" s="19"/>
      <c r="I24" s="19"/>
    </row>
    <row r="25" spans="1:23" ht="12.75" customHeight="1" x14ac:dyDescent="0.2">
      <c r="E25" s="19"/>
      <c r="F25" s="22"/>
      <c r="G25" s="19"/>
      <c r="H25" s="19"/>
      <c r="I25" s="19"/>
    </row>
    <row r="26" spans="1:23" ht="12.75" customHeight="1" x14ac:dyDescent="0.2">
      <c r="E26" s="19"/>
      <c r="F26" s="22"/>
      <c r="G26" s="19"/>
      <c r="H26" s="19"/>
      <c r="I26" s="19"/>
    </row>
    <row r="27" spans="1:23" ht="12.75" customHeight="1" x14ac:dyDescent="0.2">
      <c r="E27" s="19"/>
      <c r="F27" s="22"/>
      <c r="G27" s="19"/>
      <c r="H27" s="19"/>
      <c r="I27" s="19"/>
    </row>
    <row r="28" spans="1:23" ht="12.75" customHeight="1" x14ac:dyDescent="0.2">
      <c r="E28" s="19"/>
      <c r="F28" s="22"/>
      <c r="G28" s="19"/>
      <c r="H28" s="19"/>
      <c r="I28" s="19"/>
    </row>
    <row r="29" spans="1:23" ht="12.75" customHeight="1" x14ac:dyDescent="0.2">
      <c r="E29" s="19"/>
      <c r="F29" s="22"/>
      <c r="G29" s="19"/>
      <c r="H29" s="19"/>
      <c r="I29" s="19"/>
    </row>
    <row r="30" spans="1:23" ht="12.75" customHeight="1" x14ac:dyDescent="0.2">
      <c r="E30" s="19"/>
      <c r="F30" s="22"/>
      <c r="G30" s="19"/>
      <c r="H30" s="19"/>
      <c r="I30" s="19"/>
    </row>
    <row r="31" spans="1:23" ht="12.75" customHeight="1" x14ac:dyDescent="0.2">
      <c r="E31" s="19"/>
      <c r="F31" s="22"/>
      <c r="G31" s="19"/>
      <c r="H31" s="19"/>
      <c r="I31" s="19"/>
    </row>
    <row r="32" spans="1:23" ht="12.75" customHeight="1" x14ac:dyDescent="0.2">
      <c r="E32" s="19"/>
      <c r="F32" s="22"/>
      <c r="G32" s="19"/>
      <c r="H32" s="19"/>
      <c r="I32" s="19"/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</sheetData>
  <phoneticPr fontId="5" type="noConversion"/>
  <dataValidations count="1">
    <dataValidation type="list" allowBlank="1" showInputMessage="1" showErrorMessage="1" promptTitle="Payroll Forecast Method" prompt="Choose &quot;Monthly Forecast&quot; to manually forecast the wages every month or &quot;% Increase&quot; to use just a % increase based on actual payroll expense from the previous year." sqref="G8" xr:uid="{00000000-0002-0000-0600-000000000000}">
      <formula1>"Manual Forecast, % Increase"</formula1>
    </dataValidation>
  </dataValidations>
  <pageMargins left="0.75" right="0.75" top="1" bottom="1" header="0.5" footer="0.5"/>
  <pageSetup scale="67" orientation="landscape" blackAndWhite="1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tabColor rgb="FFFFFF99"/>
  </sheetPr>
  <dimension ref="A1:M45"/>
  <sheetViews>
    <sheetView showGridLines="0" zoomScaleNormal="100" workbookViewId="0">
      <selection activeCell="G10" sqref="G10"/>
    </sheetView>
  </sheetViews>
  <sheetFormatPr defaultRowHeight="12" x14ac:dyDescent="0.2"/>
  <cols>
    <col min="1" max="4" width="3" style="1" customWidth="1"/>
    <col min="5" max="5" width="20.7109375" customWidth="1"/>
    <col min="6" max="6" width="5.7109375" customWidth="1"/>
    <col min="7" max="7" width="18.7109375" customWidth="1"/>
    <col min="8" max="8" width="5.7109375" customWidth="1"/>
    <col min="9" max="9" width="18.7109375" customWidth="1"/>
    <col min="10" max="10" width="5.7109375" customWidth="1"/>
    <col min="11" max="11" width="18.7109375" customWidth="1"/>
    <col min="12" max="12" width="6" customWidth="1"/>
    <col min="13" max="13" width="7.28515625" customWidth="1"/>
  </cols>
  <sheetData>
    <row r="1" spans="1:13" ht="15.75" x14ac:dyDescent="0.25">
      <c r="A1" s="3" t="s">
        <v>88</v>
      </c>
    </row>
    <row r="2" spans="1:13" ht="15.75" x14ac:dyDescent="0.25">
      <c r="A2" s="3" t="s">
        <v>129</v>
      </c>
    </row>
    <row r="3" spans="1:13" x14ac:dyDescent="0.2">
      <c r="E3" s="1"/>
      <c r="F3" s="19"/>
      <c r="G3" s="19"/>
      <c r="H3" s="19"/>
      <c r="I3" s="19"/>
      <c r="J3" s="19"/>
      <c r="K3" s="19"/>
      <c r="L3" s="19"/>
    </row>
    <row r="4" spans="1:13" x14ac:dyDescent="0.2">
      <c r="E4" s="19"/>
      <c r="F4" s="19"/>
      <c r="G4" s="19"/>
      <c r="H4" s="19"/>
      <c r="I4" s="19"/>
      <c r="J4" s="19"/>
      <c r="K4" s="19"/>
      <c r="L4" s="19"/>
    </row>
    <row r="5" spans="1:13" ht="12.75" customHeight="1" x14ac:dyDescent="0.2">
      <c r="E5" s="19"/>
      <c r="F5" s="19"/>
      <c r="G5" s="19"/>
      <c r="H5" s="19"/>
      <c r="I5" s="19"/>
      <c r="J5" s="19"/>
      <c r="K5" s="19"/>
      <c r="L5" s="19"/>
    </row>
    <row r="6" spans="1:13" ht="12.75" customHeight="1" thickBot="1" x14ac:dyDescent="0.25">
      <c r="A6" s="1" t="s">
        <v>20</v>
      </c>
      <c r="E6" s="19"/>
      <c r="F6" s="20"/>
      <c r="G6" s="47" t="s">
        <v>74</v>
      </c>
      <c r="H6" s="20"/>
      <c r="I6" s="47" t="s">
        <v>106</v>
      </c>
      <c r="J6" s="20"/>
      <c r="K6" s="47" t="s">
        <v>81</v>
      </c>
      <c r="L6" s="20"/>
      <c r="M6" s="47" t="s">
        <v>111</v>
      </c>
    </row>
    <row r="7" spans="1:13" ht="12.75" customHeight="1" thickTop="1" x14ac:dyDescent="0.2">
      <c r="E7" s="19"/>
      <c r="F7" s="19"/>
      <c r="G7" s="19"/>
      <c r="H7" s="19"/>
      <c r="I7" s="19"/>
      <c r="J7" s="19"/>
      <c r="K7" s="19"/>
      <c r="L7" s="19"/>
    </row>
    <row r="8" spans="1:13" ht="12.75" customHeight="1" x14ac:dyDescent="0.2">
      <c r="E8" s="19"/>
      <c r="F8" s="19"/>
      <c r="G8" s="19"/>
      <c r="H8" s="19"/>
      <c r="I8" s="19"/>
      <c r="J8" s="19"/>
      <c r="K8" s="19"/>
      <c r="L8" s="19"/>
    </row>
    <row r="9" spans="1:13" ht="12.75" customHeight="1" x14ac:dyDescent="0.2">
      <c r="A9" s="1" t="s">
        <v>21</v>
      </c>
      <c r="E9" s="19"/>
      <c r="F9" s="19"/>
      <c r="G9" s="19"/>
      <c r="H9" s="19"/>
      <c r="I9" s="19"/>
      <c r="J9" s="19"/>
      <c r="K9" s="19"/>
      <c r="L9" s="19"/>
    </row>
    <row r="10" spans="1:13" ht="12.75" customHeight="1" x14ac:dyDescent="0.2">
      <c r="B10" s="51" t="s">
        <v>22</v>
      </c>
      <c r="E10" s="19"/>
      <c r="F10" s="19"/>
      <c r="G10" s="177">
        <f>I10/12</f>
        <v>14.334166666666667</v>
      </c>
      <c r="H10" s="19"/>
      <c r="I10" s="88">
        <f>K10*(M10+1)</f>
        <v>172.01</v>
      </c>
      <c r="J10" s="19"/>
      <c r="K10" s="88">
        <f>'9. 2015 Income Statement'!Q25</f>
        <v>167</v>
      </c>
      <c r="L10" s="23"/>
      <c r="M10" s="91">
        <v>0.03</v>
      </c>
    </row>
    <row r="11" spans="1:13" ht="12.75" customHeight="1" x14ac:dyDescent="0.2">
      <c r="B11" s="51" t="s">
        <v>69</v>
      </c>
      <c r="E11" s="19"/>
      <c r="F11" s="19"/>
      <c r="G11" s="169">
        <f t="shared" ref="G11:G15" si="0">I11/12</f>
        <v>3.09</v>
      </c>
      <c r="H11" s="19"/>
      <c r="I11" s="89">
        <f t="shared" ref="I11:I16" si="1">K11*(M11+1)</f>
        <v>37.08</v>
      </c>
      <c r="J11" s="19"/>
      <c r="K11" s="89">
        <f>'9. 2015 Income Statement'!Q26</f>
        <v>36</v>
      </c>
      <c r="L11" s="25"/>
      <c r="M11" s="91">
        <v>0.03</v>
      </c>
    </row>
    <row r="12" spans="1:13" ht="12.75" customHeight="1" x14ac:dyDescent="0.2">
      <c r="B12" s="51" t="s">
        <v>23</v>
      </c>
      <c r="E12" s="19"/>
      <c r="F12" s="19"/>
      <c r="G12" s="169">
        <f t="shared" si="0"/>
        <v>2.06</v>
      </c>
      <c r="H12" s="19"/>
      <c r="I12" s="89">
        <f t="shared" si="1"/>
        <v>24.72</v>
      </c>
      <c r="J12" s="19"/>
      <c r="K12" s="89">
        <f>'9. 2015 Income Statement'!Q27</f>
        <v>24</v>
      </c>
      <c r="L12" s="25"/>
      <c r="M12" s="91">
        <v>0.03</v>
      </c>
    </row>
    <row r="13" spans="1:13" ht="12.75" customHeight="1" x14ac:dyDescent="0.2">
      <c r="B13" s="51" t="s">
        <v>83</v>
      </c>
      <c r="E13" s="19"/>
      <c r="F13" s="19"/>
      <c r="G13" s="169">
        <f t="shared" si="0"/>
        <v>1.8025</v>
      </c>
      <c r="H13" s="19"/>
      <c r="I13" s="89">
        <f t="shared" si="1"/>
        <v>21.63</v>
      </c>
      <c r="J13" s="19"/>
      <c r="K13" s="89">
        <f>'9. 2015 Income Statement'!Q28</f>
        <v>21</v>
      </c>
      <c r="L13" s="25"/>
      <c r="M13" s="91">
        <v>0.03</v>
      </c>
    </row>
    <row r="14" spans="1:13" ht="12.75" customHeight="1" x14ac:dyDescent="0.2">
      <c r="B14" s="51" t="s">
        <v>87</v>
      </c>
      <c r="E14" s="19"/>
      <c r="F14" s="19"/>
      <c r="G14" s="169">
        <f t="shared" si="0"/>
        <v>25.347544666666668</v>
      </c>
      <c r="H14" s="19"/>
      <c r="I14" s="89">
        <f t="shared" si="1"/>
        <v>304.17053600000003</v>
      </c>
      <c r="J14" s="19"/>
      <c r="K14" s="89">
        <f>'9. 2015 Income Statement'!Q29</f>
        <v>295.31120000000004</v>
      </c>
      <c r="L14" s="25"/>
      <c r="M14" s="91">
        <v>0.03</v>
      </c>
    </row>
    <row r="15" spans="1:13" ht="12.75" customHeight="1" thickBot="1" x14ac:dyDescent="0.25">
      <c r="B15" s="51" t="s">
        <v>68</v>
      </c>
      <c r="E15" s="19"/>
      <c r="F15" s="31"/>
      <c r="G15" s="178">
        <f t="shared" si="0"/>
        <v>2.06</v>
      </c>
      <c r="H15" s="31"/>
      <c r="I15" s="90">
        <f t="shared" si="1"/>
        <v>24.72</v>
      </c>
      <c r="J15" s="31"/>
      <c r="K15" s="90">
        <f>'9. 2015 Income Statement'!Q30</f>
        <v>24</v>
      </c>
      <c r="L15" s="25"/>
      <c r="M15" s="91">
        <v>0.03</v>
      </c>
    </row>
    <row r="16" spans="1:13" ht="12.75" customHeight="1" x14ac:dyDescent="0.2">
      <c r="A16" s="1" t="s">
        <v>24</v>
      </c>
      <c r="E16" s="19"/>
      <c r="F16" s="19"/>
      <c r="G16" s="25">
        <f>SUM(G10:G15)</f>
        <v>48.694211333333328</v>
      </c>
      <c r="H16" s="19"/>
      <c r="I16" s="25">
        <f t="shared" si="1"/>
        <v>584.33053600000017</v>
      </c>
      <c r="J16" s="19"/>
      <c r="K16" s="89">
        <f>'9. 2015 Income Statement'!Q31</f>
        <v>567.3112000000001</v>
      </c>
      <c r="L16" s="25"/>
      <c r="M16" s="91">
        <v>0.03</v>
      </c>
    </row>
    <row r="17" spans="1:13" ht="12.75" customHeight="1" x14ac:dyDescent="0.2">
      <c r="E17" s="19"/>
      <c r="F17" s="19"/>
      <c r="G17" s="25"/>
      <c r="H17" s="19"/>
      <c r="I17" s="25"/>
      <c r="J17" s="19"/>
      <c r="K17" s="25"/>
      <c r="L17" s="25"/>
    </row>
    <row r="18" spans="1:13" ht="12.75" customHeight="1" x14ac:dyDescent="0.2">
      <c r="A18" s="1" t="s">
        <v>25</v>
      </c>
      <c r="E18" s="19"/>
      <c r="F18" s="19"/>
      <c r="G18" s="25"/>
      <c r="H18" s="19"/>
      <c r="I18" s="25"/>
      <c r="J18" s="19"/>
      <c r="K18" s="25"/>
      <c r="L18" s="25"/>
    </row>
    <row r="19" spans="1:13" ht="12.75" customHeight="1" x14ac:dyDescent="0.2">
      <c r="B19" s="1" t="s">
        <v>1</v>
      </c>
      <c r="E19" s="19"/>
      <c r="F19" s="19"/>
      <c r="G19" s="124">
        <f>I19/12</f>
        <v>5.8329999999999993</v>
      </c>
      <c r="H19" s="19"/>
      <c r="I19" s="25">
        <f>K19</f>
        <v>69.995999999999995</v>
      </c>
      <c r="J19" s="19"/>
      <c r="K19" s="25">
        <f>'9. 2015 Income Statement'!Q36</f>
        <v>69.995999999999995</v>
      </c>
      <c r="L19" s="25"/>
      <c r="M19" s="91">
        <f>(I19/K19)-1</f>
        <v>0</v>
      </c>
    </row>
    <row r="20" spans="1:13" ht="12.75" customHeight="1" thickBot="1" x14ac:dyDescent="0.25">
      <c r="B20" s="1" t="s">
        <v>84</v>
      </c>
      <c r="E20" s="19"/>
      <c r="F20" s="19"/>
      <c r="G20" s="125">
        <f>I20/12</f>
        <v>1.8086804285197109</v>
      </c>
      <c r="H20" s="19"/>
      <c r="I20" s="87">
        <f>SUMIFS('8. Business Loan'!J:J,'8. Business Loan'!H:H,"&gt;12",'8. Business Loan'!H:H,"&lt;=24")</f>
        <v>21.70416514223653</v>
      </c>
      <c r="J20" s="19"/>
      <c r="K20" s="87">
        <f>'9. 2015 Income Statement'!Q37</f>
        <v>34.450230289439901</v>
      </c>
      <c r="L20" s="25"/>
      <c r="M20" s="91">
        <f t="shared" ref="M20:M23" si="2">(I20/K20)-1</f>
        <v>-0.36998490402284623</v>
      </c>
    </row>
    <row r="21" spans="1:13" ht="12.75" customHeight="1" x14ac:dyDescent="0.2">
      <c r="A21" s="1" t="s">
        <v>26</v>
      </c>
      <c r="E21" s="19"/>
      <c r="F21" s="19"/>
      <c r="G21" s="30">
        <f>SUM(G19:G20)</f>
        <v>7.6416804285197104</v>
      </c>
      <c r="H21" s="19"/>
      <c r="I21" s="25">
        <f>SUM(I19:I20)</f>
        <v>91.700165142236528</v>
      </c>
      <c r="J21" s="19"/>
      <c r="K21" s="25">
        <f>'9. 2015 Income Statement'!Q38</f>
        <v>104.4462302894399</v>
      </c>
      <c r="L21" s="30"/>
      <c r="M21" s="91">
        <f t="shared" si="2"/>
        <v>-0.12203470735019972</v>
      </c>
    </row>
    <row r="22" spans="1:13" ht="18" customHeight="1" thickBot="1" x14ac:dyDescent="0.25">
      <c r="E22" s="19"/>
      <c r="F22" s="19"/>
      <c r="G22" s="32"/>
      <c r="H22" s="19"/>
      <c r="I22" s="32"/>
      <c r="J22" s="19"/>
      <c r="K22" s="32"/>
      <c r="L22" s="28"/>
    </row>
    <row r="23" spans="1:13" ht="18" customHeight="1" thickBot="1" x14ac:dyDescent="0.25">
      <c r="A23" s="1" t="s">
        <v>27</v>
      </c>
      <c r="E23" s="19"/>
      <c r="F23" s="19"/>
      <c r="G23" s="42">
        <f>G16+G21</f>
        <v>56.335891761853041</v>
      </c>
      <c r="H23" s="19"/>
      <c r="I23" s="42">
        <f>I16+I21</f>
        <v>676.03070114223669</v>
      </c>
      <c r="J23" s="19"/>
      <c r="K23" s="42">
        <f>K16+K21</f>
        <v>671.75743028943998</v>
      </c>
      <c r="L23" s="25"/>
      <c r="M23" s="91">
        <f t="shared" si="2"/>
        <v>6.3613302363554336E-3</v>
      </c>
    </row>
    <row r="24" spans="1:13" ht="12.75" customHeight="1" thickTop="1" x14ac:dyDescent="0.2">
      <c r="E24" s="19"/>
      <c r="F24" s="19"/>
      <c r="G24" s="19"/>
      <c r="H24" s="19"/>
      <c r="I24" s="19"/>
      <c r="J24" s="19"/>
      <c r="K24" s="19"/>
      <c r="L24" s="19"/>
    </row>
    <row r="25" spans="1:13" ht="12.75" customHeight="1" x14ac:dyDescent="0.2">
      <c r="E25" s="19"/>
      <c r="F25" s="19"/>
      <c r="G25" s="19"/>
      <c r="H25" s="19"/>
      <c r="I25" s="19"/>
      <c r="J25" s="19"/>
      <c r="K25" s="19"/>
      <c r="L25" s="19"/>
    </row>
    <row r="26" spans="1:13" ht="12.75" customHeight="1" x14ac:dyDescent="0.2">
      <c r="E26" s="19"/>
      <c r="F26" s="19"/>
      <c r="G26" s="19"/>
      <c r="H26" s="19"/>
      <c r="I26" s="19"/>
      <c r="J26" s="19"/>
      <c r="K26" s="19"/>
      <c r="L26" s="19"/>
    </row>
    <row r="27" spans="1:13" ht="12.75" customHeight="1" x14ac:dyDescent="0.2">
      <c r="E27" s="19"/>
      <c r="F27" s="19"/>
      <c r="G27" s="19"/>
      <c r="H27" s="19"/>
      <c r="I27" s="19"/>
      <c r="J27" s="19"/>
      <c r="K27" s="19"/>
      <c r="L27" s="19"/>
    </row>
    <row r="28" spans="1:13" ht="12.75" customHeight="1" x14ac:dyDescent="0.2">
      <c r="E28" s="19"/>
      <c r="F28" s="19"/>
      <c r="G28" s="19"/>
      <c r="H28" s="19"/>
      <c r="I28" s="19"/>
      <c r="J28" s="19"/>
      <c r="K28" s="19"/>
      <c r="L28" s="19"/>
    </row>
    <row r="29" spans="1:13" ht="12.75" customHeight="1" x14ac:dyDescent="0.2">
      <c r="E29" s="19"/>
      <c r="F29" s="19"/>
      <c r="G29" s="19"/>
      <c r="H29" s="19"/>
      <c r="I29" s="19"/>
      <c r="J29" s="19"/>
      <c r="K29" s="19"/>
      <c r="L29" s="19"/>
    </row>
    <row r="30" spans="1:13" ht="12.75" customHeight="1" x14ac:dyDescent="0.2">
      <c r="E30" s="19"/>
      <c r="F30" s="19"/>
      <c r="G30" s="19"/>
      <c r="H30" s="19"/>
      <c r="I30" s="19"/>
      <c r="J30" s="19"/>
      <c r="K30" s="19"/>
      <c r="L30" s="19"/>
    </row>
    <row r="31" spans="1:13" ht="12.75" customHeight="1" x14ac:dyDescent="0.2">
      <c r="E31" s="19"/>
      <c r="F31" s="19"/>
      <c r="G31" s="19"/>
      <c r="H31" s="19"/>
      <c r="I31" s="19"/>
      <c r="J31" s="19"/>
      <c r="K31" s="19"/>
      <c r="L31" s="19"/>
    </row>
    <row r="32" spans="1:13" ht="12.75" customHeight="1" x14ac:dyDescent="0.2">
      <c r="E32" s="19"/>
      <c r="F32" s="19"/>
      <c r="G32" s="19"/>
      <c r="H32" s="19"/>
      <c r="I32" s="19"/>
      <c r="J32" s="19"/>
      <c r="K32" s="19"/>
      <c r="L32" s="19"/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</sheetData>
  <phoneticPr fontId="5" type="noConversion"/>
  <pageMargins left="0.75" right="0.75" top="1" bottom="1" header="0.5" footer="0.5"/>
  <pageSetup scale="75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10</vt:i4>
      </vt:variant>
    </vt:vector>
  </HeadingPairs>
  <TitlesOfParts>
    <vt:vector size="22" baseType="lpstr">
      <vt:lpstr>Model Design</vt:lpstr>
      <vt:lpstr>1. Instructions</vt:lpstr>
      <vt:lpstr>2. Projected Income Statement</vt:lpstr>
      <vt:lpstr>3. Projected Cash Flows</vt:lpstr>
      <vt:lpstr>4. Projected Balance Sheet</vt:lpstr>
      <vt:lpstr>10. 2015 Balance Sheet</vt:lpstr>
      <vt:lpstr>5. Projected Sales</vt:lpstr>
      <vt:lpstr>6. Projected Payroll</vt:lpstr>
      <vt:lpstr>7. Projected Oper. Expenses</vt:lpstr>
      <vt:lpstr>8. Business Loan</vt:lpstr>
      <vt:lpstr>9. 2015 Income Statement</vt:lpstr>
      <vt:lpstr>11. 2015 Sales Data</vt:lpstr>
      <vt:lpstr>Amortization</vt:lpstr>
      <vt:lpstr>'1. Instructions'!Area_de_impressao</vt:lpstr>
      <vt:lpstr>'2. Projected Income Statement'!Area_de_impressao</vt:lpstr>
      <vt:lpstr>'4. Projected Balance Sheet'!Area_de_impressao</vt:lpstr>
      <vt:lpstr>'8. Business Loan'!Area_de_impressao</vt:lpstr>
      <vt:lpstr>'Model Design'!Area_de_impressao</vt:lpstr>
      <vt:lpstr>'10. 2015 Balance Sheet'!Titulos_de_impressao</vt:lpstr>
      <vt:lpstr>'2. Projected Income Statement'!Titulos_de_impressao</vt:lpstr>
      <vt:lpstr>'3. Projected Cash Flows'!Titulos_de_impressao</vt:lpstr>
      <vt:lpstr>'4. Projected Balance Sheet'!Titulos_de_impressao</vt:lpstr>
    </vt:vector>
  </TitlesOfParts>
  <Company>CEDC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Hess</dc:creator>
  <cp:lastModifiedBy>Luis Mo</cp:lastModifiedBy>
  <cp:lastPrinted>2016-08-10T15:07:19Z</cp:lastPrinted>
  <dcterms:created xsi:type="dcterms:W3CDTF">2006-04-19T18:37:42Z</dcterms:created>
  <dcterms:modified xsi:type="dcterms:W3CDTF">2023-01-17T13:23:07Z</dcterms:modified>
</cp:coreProperties>
</file>