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18" windowHeight="8192" windowWidth="16384" xWindow="0" yWindow="0"/>
  </bookViews>
  <sheets>
    <sheet name="Volume" sheetId="1" state="visible" r:id="rId2"/>
    <sheet name="Electrons" sheetId="2" state="visible" r:id="rId3"/>
    <sheet name="PeptideGaussian" sheetId="3" state="visible" r:id="rId4"/>
    <sheet name="Component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<sst xmlns="http://schemas.openxmlformats.org/spreadsheetml/2006/main" count="170" uniqueCount="73">
  <si>
    <t>DOPC</t>
  </si>
  <si>
    <t>DOPE</t>
  </si>
  <si>
    <t>DOPS</t>
  </si>
  <si>
    <t>Tat</t>
  </si>
  <si>
    <t>DOPC/DOPE(3:1)</t>
  </si>
  <si>
    <t>DOPC/DOPS(3:1)</t>
  </si>
  <si>
    <t>DOPC/DOPS/Tat</t>
  </si>
  <si>
    <t>molar mass [g/mol]</t>
  </si>
  <si>
    <t>sample mass (ms) [mg]</t>
  </si>
  <si>
    <t>water mass (mw) [mg]</t>
  </si>
  <si>
    <t>sample density (ρs) [g/cm^3]</t>
  </si>
  <si>
    <t>water density (ρw) [g/cm^3]</t>
  </si>
  <si>
    <t>molecular volume [A^3]</t>
  </si>
  <si>
    <t>*For DOPC/DOPS/Tat, lipid : peptide = 39.6 : 1 in molar ratio.</t>
  </si>
  <si>
    <t>C</t>
  </si>
  <si>
    <t>H</t>
  </si>
  <si>
    <t>N</t>
  </si>
  <si>
    <t>O</t>
  </si>
  <si>
    <t># of electrons</t>
  </si>
  <si>
    <t>e's</t>
  </si>
  <si>
    <t>e's in residual</t>
  </si>
  <si>
    <t># in Tat</t>
  </si>
  <si>
    <t>(e's-H20) in Tat</t>
  </si>
  <si>
    <t>Y</t>
  </si>
  <si>
    <t>C9H11NO3</t>
  </si>
  <si>
    <t>G</t>
  </si>
  <si>
    <t>C2H5NO2</t>
  </si>
  <si>
    <t>R</t>
  </si>
  <si>
    <t>C6H14N4O2</t>
  </si>
  <si>
    <t>K</t>
  </si>
  <si>
    <t>C6H14N2O2</t>
  </si>
  <si>
    <t>Q</t>
  </si>
  <si>
    <t>C5H10N2O3</t>
  </si>
  <si>
    <t>H2O</t>
  </si>
  <si>
    <t>Total e's in Tat *</t>
  </si>
  <si>
    <t>* This number is the sum of the values in the column called (e's-H2O) in Tat, plus 10, which is the number of electrons in a water molecule.</t>
  </si>
  <si>
    <t>residual form</t>
  </si>
  <si>
    <t>The only difference between DOPC and DOPE is in the Ph head group volume</t>
  </si>
  <si>
    <t>choline → ethanolamine</t>
  </si>
  <si>
    <t>DOPC (RCG=0.48, RPh=0.52)</t>
  </si>
  <si>
    <t>DOPC/DOPE (3:1) (RCG=, RPh=)</t>
  </si>
  <si>
    <t>L/P</t>
  </si>
  <si>
    <t>61.6</t>
  </si>
  <si>
    <t>28.4</t>
  </si>
  <si>
    <t>15.8</t>
  </si>
  <si>
    <t>Vpep</t>
  </si>
  <si>
    <t>Vlipid</t>
  </si>
  <si>
    <t>VCG</t>
  </si>
  <si>
    <t>VPH</t>
  </si>
  <si>
    <t>VME</t>
  </si>
  <si>
    <t>NePep</t>
  </si>
  <si>
    <t>volume per lipid</t>
  </si>
  <si>
    <t>volume per peptide</t>
  </si>
  <si>
    <t># of peptide e's</t>
  </si>
  <si>
    <t>DOPC (RCG=0.42, RPh=0.58)</t>
  </si>
  <si>
    <t>DOPC (RCG=0.41, RPh=0.59)</t>
  </si>
  <si>
    <t>DOPC/DOPE (3:1) (RCG=0.444, RPh=0.556)</t>
  </si>
  <si>
    <t>DOPC/DOPE (1:1) (RCG=0.484, RPh=0.516)</t>
  </si>
  <si>
    <t>V_CG</t>
  </si>
  <si>
    <t>V_Ph</t>
  </si>
  <si>
    <t>V_Me</t>
  </si>
  <si>
    <t>C44H84NO8P</t>
  </si>
  <si>
    <t>C41H78NO8P</t>
  </si>
  <si>
    <t>component</t>
  </si>
  <si>
    <t>P</t>
  </si>
  <si>
    <t>Ph+Ch</t>
  </si>
  <si>
    <t>Ph+Eth</t>
  </si>
  <si>
    <t>CG</t>
  </si>
  <si>
    <t>14*CH2 + 2*CH1</t>
  </si>
  <si>
    <t>CH3</t>
  </si>
  <si>
    <t>Ch</t>
  </si>
  <si>
    <t>Ph (=PCN)</t>
  </si>
  <si>
    <t>For CH2 and CH3, values are presented for a single chain, which is an input to SDP program.</t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</si>
</sst>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0.0" numFmtId="166"/>
    <numFmt formatCode="@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23FF23"/>
        <bgColor rgb="0033CC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true" applyFont="true" applyProtection="false" borderId="1" fillId="0" fontId="0" numFmtId="165" xfId="0"/>
    <xf applyAlignment="false" applyBorder="true" applyFont="true" applyProtection="false" borderId="1" fillId="0" fontId="0" numFmtId="164" xfId="0"/>
    <xf applyAlignment="true" applyBorder="true" applyFont="true" applyProtection="false" borderId="1" fillId="2" fontId="4" numFmtId="164" xfId="0">
      <alignment horizontal="left" indent="0" shrinkToFit="false" textRotation="0" vertical="bottom" wrapText="false"/>
    </xf>
    <xf applyAlignment="false" applyBorder="true" applyFont="true" applyProtection="false" borderId="1" fillId="2" fontId="0" numFmtId="166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0" numFmtId="167" xfId="0">
      <alignment horizontal="left" indent="0" shrinkToFit="false" textRotation="0" vertical="bottom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false" applyBorder="true" applyFont="false" applyProtection="false" borderId="4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false" applyBorder="true" applyFont="false" applyProtection="false" borderId="5" fillId="0" fontId="0" numFmtId="164" xfId="0"/>
    <xf applyAlignment="true" applyBorder="true" applyFont="true" applyProtection="false" borderId="6" fillId="0" fontId="4" numFmtId="164" xfId="0">
      <alignment horizontal="center" indent="0" shrinkToFit="false" textRotation="0" vertical="bottom" wrapText="false"/>
    </xf>
    <xf applyAlignment="false" applyBorder="true" applyFont="false" applyProtection="false" borderId="7" fillId="0" fontId="0" numFmtId="164" xfId="0"/>
    <xf applyAlignment="false" applyBorder="true" applyFont="false" applyProtection="false" borderId="6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E5" activeCellId="0" pane="topLeft" sqref="E5"/>
    </sheetView>
  </sheetViews>
  <cols>
    <col collapsed="false" hidden="false" max="1" min="1" style="0" width="26.843137254902"/>
    <col collapsed="false" hidden="false" max="2" min="2" style="0" width="16.2627450980392"/>
    <col collapsed="false" hidden="false" max="3" min="3" style="0" width="13.1490196078431"/>
    <col collapsed="false" hidden="false" max="4" min="4" style="0" width="11.5960784313726"/>
    <col collapsed="false" hidden="false" max="5" min="5" style="0" width="12.4549019607843"/>
    <col collapsed="false" hidden="false" max="7" min="6" style="0" width="16.2627450980392"/>
    <col collapsed="false" hidden="false" max="8" min="8" style="0" width="15.8470588235294"/>
    <col collapsed="false" hidden="false" max="1025" min="9" style="0" width="11.6941176470588"/>
  </cols>
  <sheetData>
    <row collapsed="false" customFormat="false" customHeight="true" hidden="false" ht="12.1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collapsed="false" customFormat="false" customHeight="true" hidden="false" ht="12.65" outlineLevel="0" r="2">
      <c r="A2" s="2" t="s">
        <v>7</v>
      </c>
      <c r="B2" s="3" t="n">
        <v>786.113</v>
      </c>
      <c r="C2" s="3" t="n">
        <v>744.034</v>
      </c>
      <c r="D2" s="3" t="n">
        <v>810.025</v>
      </c>
      <c r="E2" s="3" t="n">
        <v>1560</v>
      </c>
      <c r="F2" s="4" t="n">
        <f aca="false">0.75*$B$2+0.25*$C$2</f>
        <v>775.59325</v>
      </c>
      <c r="G2" s="4" t="n">
        <f aca="false">0.75*$B$2+0.25*$D$2</f>
        <v>792.091</v>
      </c>
      <c r="H2" s="4" t="n">
        <f aca="false">$G$2+1/39.6*$E$2</f>
        <v>831.484939393939</v>
      </c>
    </row>
    <row collapsed="false" customFormat="false" customHeight="true" hidden="false" ht="12.1" outlineLevel="0" r="3">
      <c r="A3" s="2" t="s">
        <v>8</v>
      </c>
      <c r="B3" s="5" t="n">
        <v>50.13</v>
      </c>
      <c r="C3" s="5"/>
      <c r="D3" s="5"/>
      <c r="E3" s="5" t="n">
        <v>3.73</v>
      </c>
      <c r="F3" s="5" t="n">
        <v>61.78</v>
      </c>
      <c r="G3" s="5"/>
      <c r="H3" s="5" t="n">
        <v>56.13</v>
      </c>
    </row>
    <row collapsed="false" customFormat="false" customHeight="true" hidden="false" ht="12.65" outlineLevel="0" r="4">
      <c r="A4" s="2" t="s">
        <v>9</v>
      </c>
      <c r="B4" s="5" t="n">
        <v>1198.86</v>
      </c>
      <c r="C4" s="5"/>
      <c r="D4" s="5"/>
      <c r="E4" s="5" t="n">
        <v>1212.6</v>
      </c>
      <c r="F4" s="5" t="n">
        <v>1202.33</v>
      </c>
      <c r="G4" s="5"/>
      <c r="H4" s="5" t="n">
        <v>1197.18</v>
      </c>
    </row>
    <row collapsed="false" customFormat="false" customHeight="true" hidden="false" ht="12.65" outlineLevel="0" r="5">
      <c r="A5" s="2" t="s">
        <v>10</v>
      </c>
      <c r="B5" s="5" t="n">
        <v>0.993346</v>
      </c>
      <c r="C5" s="5"/>
      <c r="D5" s="5"/>
      <c r="E5" s="5" t="n">
        <v>0.99418</v>
      </c>
      <c r="F5" s="5" t="n">
        <v>0.99364</v>
      </c>
      <c r="G5" s="5"/>
      <c r="H5" s="5" t="n">
        <v>0.99523</v>
      </c>
    </row>
    <row collapsed="false" customFormat="false" customHeight="true" hidden="false" ht="12.65" outlineLevel="0" r="6">
      <c r="A6" s="2" t="s">
        <v>11</v>
      </c>
      <c r="B6" s="5" t="n">
        <v>0.993325</v>
      </c>
      <c r="C6" s="5"/>
      <c r="D6" s="5"/>
      <c r="E6" s="5" t="n">
        <v>0.993325</v>
      </c>
      <c r="F6" s="5" t="n">
        <v>0.993325</v>
      </c>
      <c r="G6" s="5" t="n">
        <v>0.993325</v>
      </c>
      <c r="H6" s="5" t="n">
        <v>0.993325</v>
      </c>
    </row>
    <row collapsed="false" customFormat="false" customHeight="true" hidden="false" ht="12.1" outlineLevel="0" r="7">
      <c r="A7" s="6" t="s">
        <v>12</v>
      </c>
      <c r="B7" s="7" t="n">
        <f aca="false">B2/(0.6022*B5)*(1+(B4/B3)*(1-B5/B6))</f>
        <v>1313.48176907974</v>
      </c>
      <c r="C7" s="7" t="n">
        <f aca="false">(F7-0.75*B7)/0.25</f>
        <v>1212.26368074846</v>
      </c>
      <c r="D7" s="7"/>
      <c r="E7" s="7" t="n">
        <f aca="false">E2/(0.6022*E5)*(1+(E4/E3)*(1-E5/E6))</f>
        <v>1876.54094207646</v>
      </c>
      <c r="F7" s="7" t="n">
        <f aca="false">F2/(0.6022*F5)*(1+(F4/F3)*(1-F5/F6))</f>
        <v>1288.17724699692</v>
      </c>
      <c r="G7" s="7" t="e">
        <f aca="false">G2/(0.6022*G5)*(1+(G4/G3)*(1-G5/G6))</f>
        <v>#DIV/0!</v>
      </c>
      <c r="H7" s="7" t="n">
        <f aca="false">H2/(0.6022*H5)*(1+(H4/H3)*(1-H5/H6))</f>
        <v>1330.61422282323</v>
      </c>
    </row>
    <row collapsed="false" customFormat="false" customHeight="true" hidden="false" ht="12.1" outlineLevel="0" r="9">
      <c r="A9" s="0" t="s">
        <v>13</v>
      </c>
    </row>
    <row collapsed="false" customFormat="false" customHeight="true" hidden="false" ht="12.1" outlineLevel="0" r="10">
      <c r="E10" s="0" t="n">
        <v>2464</v>
      </c>
    </row>
    <row collapsed="false" customFormat="false" customHeight="true" hidden="false" ht="12.1" outlineLevel="0" r="11">
      <c r="E11" s="3" t="n">
        <v>1560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C8" activeCellId="0" pane="topLeft" sqref="C8"/>
    </sheetView>
  </sheetViews>
  <cols>
    <col collapsed="false" hidden="false" max="1" min="1" style="0" width="2.94117647058824"/>
    <col collapsed="false" hidden="false" max="2" min="2" style="0" width="13.8"/>
    <col collapsed="false" hidden="false" max="3" min="3" style="0" width="2.94117647058824"/>
    <col collapsed="false" hidden="false" max="4" min="4" style="0" width="3.65490196078431"/>
    <col collapsed="false" hidden="false" max="6" min="5" style="0" width="2.94117647058824"/>
    <col collapsed="false" hidden="false" max="7" min="7" style="0" width="4.12549019607843"/>
    <col collapsed="false" hidden="false" max="8" min="8" style="0" width="13.7019607843137"/>
    <col collapsed="false" hidden="false" max="9" min="9" style="0" width="5.83529411764706"/>
    <col collapsed="false" hidden="false" max="10" min="10" style="0" width="8.06666666666667"/>
    <col collapsed="false" hidden="false" max="11" min="11" style="0" width="17.5019607843137"/>
    <col collapsed="false" hidden="false" max="1025" min="12" style="0" width="11.6941176470588"/>
  </cols>
  <sheetData>
    <row collapsed="false" customFormat="false" customHeight="true" hidden="false" ht="12.1" outlineLevel="0" r="1">
      <c r="C1" s="1" t="s">
        <v>14</v>
      </c>
      <c r="D1" s="1" t="s">
        <v>15</v>
      </c>
      <c r="E1" s="1" t="s">
        <v>16</v>
      </c>
      <c r="F1" s="1" t="s">
        <v>17</v>
      </c>
    </row>
    <row collapsed="false" customFormat="false" customHeight="true" hidden="false" ht="12.1" outlineLevel="0" r="2">
      <c r="B2" s="2" t="s">
        <v>18</v>
      </c>
      <c r="C2" s="8" t="n">
        <v>6</v>
      </c>
      <c r="D2" s="8" t="n">
        <v>1</v>
      </c>
      <c r="E2" s="8" t="n">
        <v>7</v>
      </c>
      <c r="F2" s="8" t="n">
        <v>8</v>
      </c>
    </row>
    <row collapsed="false" customFormat="false" customHeight="true" hidden="false" ht="12.1" outlineLevel="0" r="3">
      <c r="C3" s="9"/>
      <c r="D3" s="9"/>
      <c r="E3" s="9"/>
      <c r="F3" s="9"/>
    </row>
    <row collapsed="false" customFormat="false" customHeight="true" hidden="false" ht="12.1" outlineLevel="0" r="4">
      <c r="C4" s="1" t="s">
        <v>14</v>
      </c>
      <c r="D4" s="1" t="s">
        <v>15</v>
      </c>
      <c r="E4" s="1" t="s">
        <v>16</v>
      </c>
      <c r="F4" s="1" t="s">
        <v>17</v>
      </c>
      <c r="G4" s="1" t="s">
        <v>19</v>
      </c>
      <c r="H4" s="1" t="s">
        <v>20</v>
      </c>
      <c r="J4" s="1" t="s">
        <v>21</v>
      </c>
      <c r="K4" s="1" t="s">
        <v>22</v>
      </c>
    </row>
    <row collapsed="false" customFormat="false" customHeight="true" hidden="false" ht="12.1" outlineLevel="0" r="5">
      <c r="A5" s="1" t="s">
        <v>23</v>
      </c>
      <c r="B5" s="2" t="s">
        <v>24</v>
      </c>
      <c r="C5" s="10" t="n">
        <v>9</v>
      </c>
      <c r="D5" s="10" t="n">
        <v>11</v>
      </c>
      <c r="E5" s="10" t="n">
        <v>1</v>
      </c>
      <c r="F5" s="10" t="n">
        <v>3</v>
      </c>
      <c r="G5" s="10" t="n">
        <f aca="false">$C$2*C5 + $D$2*D5 + $E$2*E5 + $F$2*F5</f>
        <v>96</v>
      </c>
      <c r="H5" s="11" t="n">
        <f aca="false">G5-$G$10</f>
        <v>86</v>
      </c>
      <c r="J5" s="11" t="n">
        <v>1</v>
      </c>
      <c r="K5" s="11" t="n">
        <f aca="false">H5*J5</f>
        <v>86</v>
      </c>
    </row>
    <row collapsed="false" customFormat="false" customHeight="true" hidden="false" ht="12.1" outlineLevel="0" r="6">
      <c r="A6" s="1" t="s">
        <v>25</v>
      </c>
      <c r="B6" s="2" t="s">
        <v>26</v>
      </c>
      <c r="C6" s="10" t="n">
        <v>2</v>
      </c>
      <c r="D6" s="10" t="n">
        <v>5</v>
      </c>
      <c r="E6" s="10" t="n">
        <v>1</v>
      </c>
      <c r="F6" s="10" t="n">
        <v>2</v>
      </c>
      <c r="G6" s="10" t="n">
        <f aca="false">$C$2*C6 + $D$2*D6 + $E$2*E6 + $F$2*F6</f>
        <v>40</v>
      </c>
      <c r="H6" s="11" t="n">
        <f aca="false">G6-$G$10</f>
        <v>30</v>
      </c>
      <c r="J6" s="11" t="n">
        <v>1</v>
      </c>
      <c r="K6" s="11" t="n">
        <f aca="false">H6*J6</f>
        <v>30</v>
      </c>
    </row>
    <row collapsed="false" customFormat="false" customHeight="true" hidden="false" ht="12.1" outlineLevel="0" r="7">
      <c r="A7" s="1" t="s">
        <v>27</v>
      </c>
      <c r="B7" s="2" t="s">
        <v>28</v>
      </c>
      <c r="C7" s="10" t="n">
        <v>6</v>
      </c>
      <c r="D7" s="10" t="n">
        <v>14</v>
      </c>
      <c r="E7" s="10" t="n">
        <v>4</v>
      </c>
      <c r="F7" s="10" t="n">
        <v>2</v>
      </c>
      <c r="G7" s="10" t="n">
        <f aca="false">$C$2*C7 + $D$2*D7 + $E$2*E7 + $F$2*F7</f>
        <v>94</v>
      </c>
      <c r="H7" s="11" t="n">
        <f aca="false">G7-$G$10</f>
        <v>84</v>
      </c>
      <c r="J7" s="11" t="n">
        <v>6</v>
      </c>
      <c r="K7" s="11" t="n">
        <f aca="false">H7*J7</f>
        <v>504</v>
      </c>
    </row>
    <row collapsed="false" customFormat="false" customHeight="true" hidden="false" ht="12.1" outlineLevel="0" r="8">
      <c r="A8" s="1" t="s">
        <v>29</v>
      </c>
      <c r="B8" s="2" t="s">
        <v>30</v>
      </c>
      <c r="C8" s="10" t="n">
        <v>6</v>
      </c>
      <c r="D8" s="10" t="n">
        <v>14</v>
      </c>
      <c r="E8" s="10" t="n">
        <v>2</v>
      </c>
      <c r="F8" s="10" t="n">
        <v>2</v>
      </c>
      <c r="G8" s="10" t="n">
        <f aca="false">$C$2*C8 + $D$2*D8 + $E$2*E8 + $F$2*F8</f>
        <v>80</v>
      </c>
      <c r="H8" s="11" t="n">
        <f aca="false">G8-$G$10</f>
        <v>70</v>
      </c>
      <c r="J8" s="11" t="n">
        <v>2</v>
      </c>
      <c r="K8" s="11" t="n">
        <f aca="false">H8*J8</f>
        <v>140</v>
      </c>
    </row>
    <row collapsed="false" customFormat="false" customHeight="true" hidden="false" ht="12.1" outlineLevel="0" r="9">
      <c r="A9" s="1" t="s">
        <v>31</v>
      </c>
      <c r="B9" s="2" t="s">
        <v>32</v>
      </c>
      <c r="C9" s="10" t="n">
        <v>5</v>
      </c>
      <c r="D9" s="10" t="n">
        <v>10</v>
      </c>
      <c r="E9" s="10" t="n">
        <v>2</v>
      </c>
      <c r="F9" s="10" t="n">
        <v>3</v>
      </c>
      <c r="G9" s="10" t="n">
        <f aca="false">$C$2*C9 + $D$2*D9 + $E$2*E9 + $F$2*F9</f>
        <v>78</v>
      </c>
      <c r="H9" s="11" t="n">
        <f aca="false">G9-$G$10</f>
        <v>68</v>
      </c>
      <c r="J9" s="11" t="n">
        <v>1</v>
      </c>
      <c r="K9" s="11" t="n">
        <f aca="false">H9*J9</f>
        <v>68</v>
      </c>
    </row>
    <row collapsed="false" customFormat="false" customHeight="true" hidden="false" ht="12.1" outlineLevel="0" r="10">
      <c r="B10" s="2" t="s">
        <v>33</v>
      </c>
      <c r="C10" s="11" t="n">
        <v>0</v>
      </c>
      <c r="D10" s="11" t="n">
        <v>2</v>
      </c>
      <c r="E10" s="11" t="n">
        <v>0</v>
      </c>
      <c r="F10" s="11" t="n">
        <v>1</v>
      </c>
      <c r="G10" s="10" t="n">
        <f aca="false">$C$2*C10 + $D$2*D10 + $E$2*E10 + $F$2*F10</f>
        <v>10</v>
      </c>
    </row>
    <row collapsed="false" customFormat="false" customHeight="true" hidden="false" ht="12.1" outlineLevel="0" r="11">
      <c r="K11" s="1" t="s">
        <v>34</v>
      </c>
    </row>
    <row collapsed="false" customFormat="false" customHeight="true" hidden="false" ht="12.1" outlineLevel="0" r="12">
      <c r="K12" s="11" t="n">
        <f aca="false">SUM(K5:K9)+G10</f>
        <v>838</v>
      </c>
    </row>
    <row collapsed="false" customFormat="false" customHeight="true" hidden="false" ht="12.1" outlineLevel="0" r="13">
      <c r="A13" s="12" t="s">
        <v>35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collapsed="false" customFormat="false" customHeight="false" hidden="false" ht="12.8" outlineLevel="0"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collapsed="false" customFormat="false" customHeight="false" hidden="false" ht="12.1" outlineLevel="0" r="20">
      <c r="B20" s="0" t="s">
        <v>36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19</v>
      </c>
    </row>
    <row collapsed="false" customFormat="false" customHeight="false" hidden="false" ht="12.1" outlineLevel="0" r="21">
      <c r="B21" s="0" t="s">
        <v>23</v>
      </c>
      <c r="C21" s="0" t="n">
        <v>9</v>
      </c>
      <c r="D21" s="0" t="n">
        <v>9</v>
      </c>
      <c r="E21" s="0" t="n">
        <v>1</v>
      </c>
      <c r="F21" s="0" t="n">
        <v>2</v>
      </c>
      <c r="G21" s="10" t="n">
        <f aca="false">$C$2*C21 + $D$2*D21 + $E$2*E21 + $F$2*F21</f>
        <v>86</v>
      </c>
    </row>
    <row collapsed="false" customFormat="false" customHeight="false" hidden="false" ht="12.1" outlineLevel="0" r="22">
      <c r="B22" s="0" t="s">
        <v>25</v>
      </c>
      <c r="C22" s="0" t="n">
        <v>2</v>
      </c>
      <c r="D22" s="0" t="n">
        <v>3</v>
      </c>
      <c r="E22" s="0" t="n">
        <v>1</v>
      </c>
      <c r="F22" s="0" t="n">
        <v>1</v>
      </c>
      <c r="G22" s="10" t="n">
        <f aca="false">$C$2*C22 + $D$2*D22 + $E$2*E22 + $F$2*F22</f>
        <v>30</v>
      </c>
    </row>
    <row collapsed="false" customFormat="false" customHeight="false" hidden="false" ht="12.1" outlineLevel="0" r="23">
      <c r="B23" s="0" t="s">
        <v>27</v>
      </c>
      <c r="C23" s="0" t="n">
        <v>6</v>
      </c>
      <c r="D23" s="0" t="n">
        <v>12</v>
      </c>
      <c r="E23" s="0" t="n">
        <v>4</v>
      </c>
      <c r="F23" s="0" t="n">
        <v>1</v>
      </c>
      <c r="G23" s="10" t="n">
        <f aca="false">$C$2*C23 + $D$2*D23 + $E$2*E23 + $F$2*F23</f>
        <v>84</v>
      </c>
    </row>
    <row collapsed="false" customFormat="false" customHeight="false" hidden="false" ht="12.1" outlineLevel="0" r="24">
      <c r="B24" s="0" t="s">
        <v>29</v>
      </c>
      <c r="C24" s="0" t="n">
        <v>6</v>
      </c>
      <c r="D24" s="0" t="n">
        <v>12</v>
      </c>
      <c r="E24" s="0" t="n">
        <v>2</v>
      </c>
      <c r="F24" s="0" t="n">
        <v>1</v>
      </c>
      <c r="G24" s="10" t="n">
        <f aca="false">$C$2*C24 + $D$2*D24 + $E$2*E24 + $F$2*F24</f>
        <v>70</v>
      </c>
    </row>
    <row collapsed="false" customFormat="false" customHeight="false" hidden="false" ht="12.1" outlineLevel="0" r="25">
      <c r="B25" s="0" t="s">
        <v>31</v>
      </c>
      <c r="C25" s="0" t="n">
        <v>5</v>
      </c>
      <c r="D25" s="0" t="n">
        <v>8</v>
      </c>
      <c r="E25" s="0" t="n">
        <v>2</v>
      </c>
      <c r="F25" s="0" t="n">
        <v>2</v>
      </c>
      <c r="G25" s="10" t="n">
        <f aca="false">$C$2*C25 + $D$2*D25 + $E$2*E25 + $F$2*F25</f>
        <v>68</v>
      </c>
    </row>
    <row collapsed="false" customFormat="false" customHeight="false" hidden="false" ht="12.1" outlineLevel="0" r="26">
      <c r="C26" s="0" t="n">
        <f aca="false">C21*1+C22*1+C23*6+C24*2+C25*1</f>
        <v>64</v>
      </c>
      <c r="D26" s="0" t="n">
        <f aca="false">D21*1+D22*1+D23*6+D24*2+D25*1</f>
        <v>116</v>
      </c>
      <c r="E26" s="0" t="n">
        <f aca="false">E21*1+E22*1+E23*6+E24*2+E25*1</f>
        <v>32</v>
      </c>
      <c r="F26" s="0" t="n">
        <f aca="false">F21*1+F22*1+F23*6+F24*2+F25*1</f>
        <v>13</v>
      </c>
      <c r="G26" s="0" t="n">
        <f aca="false">G21*1+G22*1+G23*6+G24*2+G25*1</f>
        <v>828</v>
      </c>
    </row>
  </sheetData>
  <mergeCells count="1">
    <mergeCell ref="A13:K14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Q34" activeCellId="0" pane="topLeft" sqref="Q34"/>
    </sheetView>
  </sheetViews>
  <cols>
    <col collapsed="false" hidden="false" max="1" min="1" style="0" width="17.4823529411765"/>
    <col collapsed="false" hidden="false" max="4" min="2" style="0" width="7.25490196078431"/>
    <col collapsed="false" hidden="false" max="5" min="5" style="0" width="11.6941176470588"/>
    <col collapsed="false" hidden="false" max="6" min="6" style="0" width="18.0705882352941"/>
    <col collapsed="false" hidden="false" max="9" min="7" style="0" width="7.25490196078431"/>
    <col collapsed="false" hidden="false" max="10" min="10" style="0" width="11.6941176470588"/>
    <col collapsed="false" hidden="false" max="11" min="11" style="0" width="16.9137254901961"/>
    <col collapsed="false" hidden="false" max="12" min="12" style="0" width="7.25490196078431"/>
    <col collapsed="false" hidden="false" max="14" min="13" style="0" width="7.72549019607843"/>
    <col collapsed="false" hidden="false" max="15" min="15" style="0" width="7.25490196078431"/>
    <col collapsed="false" hidden="false" max="1025" min="16" style="0" width="11.6941176470588"/>
  </cols>
  <sheetData>
    <row collapsed="false" customFormat="false" customHeight="true" hidden="false" ht="12.1" outlineLevel="0" r="1">
      <c r="A1" s="0" t="s">
        <v>37</v>
      </c>
      <c r="B1" s="13"/>
      <c r="C1" s="14"/>
      <c r="D1" s="14"/>
      <c r="G1" s="13"/>
      <c r="H1" s="14"/>
      <c r="I1" s="14"/>
    </row>
    <row collapsed="false" customFormat="false" customHeight="true" hidden="false" ht="12.1" outlineLevel="0" r="2">
      <c r="A2" s="0" t="s">
        <v>38</v>
      </c>
      <c r="B2" s="13"/>
      <c r="C2" s="14"/>
      <c r="D2" s="14"/>
      <c r="G2" s="13"/>
      <c r="H2" s="14"/>
      <c r="I2" s="14"/>
    </row>
    <row collapsed="false" customFormat="false" customHeight="true" hidden="false" ht="12.1" outlineLevel="0" r="3">
      <c r="B3" s="13"/>
      <c r="C3" s="14"/>
      <c r="D3" s="14"/>
      <c r="G3" s="13"/>
      <c r="H3" s="14"/>
      <c r="I3" s="14"/>
    </row>
    <row collapsed="false" customFormat="false" customHeight="true" hidden="false" ht="12.1" outlineLevel="0" r="4">
      <c r="A4" s="15" t="s">
        <v>39</v>
      </c>
      <c r="B4" s="13"/>
      <c r="C4" s="14"/>
      <c r="D4" s="14"/>
      <c r="F4" s="15" t="s">
        <v>40</v>
      </c>
      <c r="G4" s="13"/>
      <c r="H4" s="14"/>
      <c r="I4" s="14"/>
    </row>
    <row collapsed="false" customFormat="false" customHeight="true" hidden="false" ht="12.1" outlineLevel="0" r="5">
      <c r="A5" s="16" t="s">
        <v>41</v>
      </c>
      <c r="B5" s="17" t="s">
        <v>42</v>
      </c>
      <c r="C5" s="17" t="s">
        <v>43</v>
      </c>
      <c r="D5" s="17" t="s">
        <v>44</v>
      </c>
      <c r="F5" s="16" t="s">
        <v>41</v>
      </c>
      <c r="G5" s="17" t="s">
        <v>42</v>
      </c>
      <c r="H5" s="17" t="s">
        <v>43</v>
      </c>
      <c r="I5" s="17" t="s">
        <v>44</v>
      </c>
    </row>
    <row collapsed="false" customFormat="false" customHeight="true" hidden="false" ht="12.65" outlineLevel="0" r="6">
      <c r="A6" s="16" t="s">
        <v>45</v>
      </c>
      <c r="B6" s="18" t="n">
        <f aca="false">$B$14 / 61.6</f>
        <v>30.4642857142857</v>
      </c>
      <c r="C6" s="18" t="n">
        <f aca="false">$B$14 / 28.4</f>
        <v>66.0774647887324</v>
      </c>
      <c r="D6" s="18" t="n">
        <f aca="false">$B$14 / 15.8</f>
        <v>118.772151898734</v>
      </c>
      <c r="F6" s="16" t="s">
        <v>45</v>
      </c>
      <c r="G6" s="18" t="n">
        <f aca="false">$G$14/G$5</f>
        <v>30.4642857142857</v>
      </c>
      <c r="H6" s="18" t="n">
        <f aca="false">$G$14/H$5</f>
        <v>66.0774647887324</v>
      </c>
      <c r="I6" s="18" t="n">
        <f aca="false">$G$14/I$5</f>
        <v>118.772151898734</v>
      </c>
    </row>
    <row collapsed="false" customFormat="false" customHeight="true" hidden="false" ht="12.1" outlineLevel="0" r="7">
      <c r="A7" s="16" t="s">
        <v>46</v>
      </c>
      <c r="B7" s="10" t="n">
        <v>1313.5</v>
      </c>
      <c r="C7" s="10" t="n">
        <v>1313.5</v>
      </c>
      <c r="D7" s="10" t="n">
        <v>1313.5</v>
      </c>
      <c r="F7" s="16" t="s">
        <v>46</v>
      </c>
      <c r="G7" s="18" t="n">
        <v>1288.2</v>
      </c>
      <c r="H7" s="18" t="n">
        <v>1288.2</v>
      </c>
      <c r="I7" s="18" t="n">
        <v>1288.2</v>
      </c>
    </row>
    <row collapsed="false" customFormat="false" customHeight="true" hidden="false" ht="12.1" outlineLevel="0" r="8">
      <c r="A8" s="16" t="s">
        <v>47</v>
      </c>
      <c r="B8" s="18" t="n">
        <f aca="false">331*0.48</f>
        <v>158.88</v>
      </c>
      <c r="C8" s="18" t="n">
        <f aca="false">331*0.48</f>
        <v>158.88</v>
      </c>
      <c r="D8" s="18" t="n">
        <f aca="false">331*0.48</f>
        <v>158.88</v>
      </c>
      <c r="F8" s="16" t="s">
        <v>47</v>
      </c>
      <c r="G8" s="18" t="n">
        <v>158.9</v>
      </c>
      <c r="H8" s="18" t="n">
        <v>158.9</v>
      </c>
      <c r="I8" s="18" t="n">
        <v>158.9</v>
      </c>
    </row>
    <row collapsed="false" customFormat="false" customHeight="true" hidden="false" ht="12.1" outlineLevel="0" r="9">
      <c r="A9" s="16" t="s">
        <v>48</v>
      </c>
      <c r="B9" s="18" t="n">
        <f aca="false">331*0.52</f>
        <v>172.12</v>
      </c>
      <c r="C9" s="18" t="n">
        <f aca="false">331*0.52</f>
        <v>172.12</v>
      </c>
      <c r="D9" s="18" t="n">
        <f aca="false">331*0.52</f>
        <v>172.12</v>
      </c>
      <c r="F9" s="16" t="s">
        <v>48</v>
      </c>
      <c r="G9" s="18" t="n">
        <v>146.8</v>
      </c>
      <c r="H9" s="18" t="n">
        <v>146.8</v>
      </c>
      <c r="I9" s="18" t="n">
        <v>146.8</v>
      </c>
    </row>
    <row collapsed="false" customFormat="false" customHeight="true" hidden="false" ht="12.1" outlineLevel="0" r="10">
      <c r="A10" s="16" t="s">
        <v>49</v>
      </c>
      <c r="B10" s="18" t="n">
        <v>27.277</v>
      </c>
      <c r="C10" s="18" t="n">
        <v>27.277</v>
      </c>
      <c r="D10" s="18" t="n">
        <v>27.277</v>
      </c>
      <c r="F10" s="16" t="s">
        <v>49</v>
      </c>
      <c r="G10" s="18" t="n">
        <v>27.277</v>
      </c>
      <c r="H10" s="18" t="n">
        <v>27.277</v>
      </c>
      <c r="I10" s="18" t="n">
        <v>27.277</v>
      </c>
    </row>
    <row collapsed="false" customFormat="false" customHeight="true" hidden="false" ht="12.65" outlineLevel="0" r="11">
      <c r="A11" s="16" t="s">
        <v>50</v>
      </c>
      <c r="B11" s="18" t="n">
        <f aca="false">$B$15 / 61.6</f>
        <v>13.6038961038961</v>
      </c>
      <c r="C11" s="18" t="n">
        <f aca="false">$B$15 / 28.4</f>
        <v>29.5070422535211</v>
      </c>
      <c r="D11" s="18" t="n">
        <f aca="false">$B$15 / 15.8</f>
        <v>53.0379746835443</v>
      </c>
      <c r="F11" s="16" t="s">
        <v>50</v>
      </c>
      <c r="G11" s="18" t="n">
        <f aca="false">$G$15 / G$5</f>
        <v>13.6038961038961</v>
      </c>
      <c r="H11" s="18" t="n">
        <f aca="false">$G$15 / H$5</f>
        <v>29.5070422535211</v>
      </c>
      <c r="I11" s="18" t="n">
        <f aca="false">$G$15 / I$5</f>
        <v>53.0379746835443</v>
      </c>
    </row>
    <row collapsed="false" customFormat="false" customHeight="true" hidden="false" ht="12.1" outlineLevel="0" r="13">
      <c r="A13" s="11" t="s">
        <v>51</v>
      </c>
      <c r="B13" s="11" t="n">
        <v>1313.5</v>
      </c>
      <c r="F13" s="11" t="s">
        <v>51</v>
      </c>
      <c r="G13" s="11" t="n">
        <v>1288.2</v>
      </c>
      <c r="K13" s="11" t="s">
        <v>51</v>
      </c>
      <c r="L13" s="11" t="n">
        <v>1262.9</v>
      </c>
    </row>
    <row collapsed="false" customFormat="false" customHeight="true" hidden="false" ht="12.1" outlineLevel="0" r="14">
      <c r="A14" s="11" t="s">
        <v>52</v>
      </c>
      <c r="B14" s="11" t="n">
        <v>1876.6</v>
      </c>
      <c r="F14" s="11" t="s">
        <v>52</v>
      </c>
      <c r="G14" s="11" t="n">
        <v>1876.6</v>
      </c>
      <c r="K14" s="11" t="s">
        <v>52</v>
      </c>
      <c r="L14" s="11" t="n">
        <v>1876.6</v>
      </c>
    </row>
    <row collapsed="false" customFormat="false" customHeight="true" hidden="false" ht="12.1" outlineLevel="0" r="15">
      <c r="A15" s="11" t="s">
        <v>53</v>
      </c>
      <c r="B15" s="11" t="n">
        <v>838</v>
      </c>
      <c r="F15" s="11" t="s">
        <v>53</v>
      </c>
      <c r="G15" s="11" t="n">
        <v>838</v>
      </c>
      <c r="K15" s="11" t="s">
        <v>53</v>
      </c>
      <c r="L15" s="11" t="n">
        <v>838</v>
      </c>
    </row>
    <row collapsed="false" customFormat="false" customHeight="true" hidden="false" ht="12.65" outlineLevel="0" r="17">
      <c r="A17" s="15" t="s">
        <v>54</v>
      </c>
      <c r="B17" s="13"/>
      <c r="C17" s="14"/>
      <c r="D17" s="14"/>
      <c r="F17" s="15" t="s">
        <v>40</v>
      </c>
      <c r="G17" s="13"/>
      <c r="H17" s="14"/>
      <c r="I17" s="14"/>
    </row>
    <row collapsed="false" customFormat="false" customHeight="true" hidden="false" ht="12.1" outlineLevel="0" r="18">
      <c r="A18" s="16" t="s">
        <v>41</v>
      </c>
      <c r="B18" s="17" t="s">
        <v>42</v>
      </c>
      <c r="C18" s="17" t="s">
        <v>43</v>
      </c>
      <c r="D18" s="17" t="s">
        <v>44</v>
      </c>
      <c r="F18" s="16" t="s">
        <v>41</v>
      </c>
      <c r="G18" s="17" t="s">
        <v>42</v>
      </c>
      <c r="H18" s="17" t="s">
        <v>43</v>
      </c>
      <c r="I18" s="17" t="s">
        <v>44</v>
      </c>
    </row>
    <row collapsed="false" customFormat="false" customHeight="true" hidden="false" ht="12.1" outlineLevel="0" r="19">
      <c r="A19" s="16" t="s">
        <v>45</v>
      </c>
      <c r="B19" s="18" t="n">
        <f aca="false">$B$14 / B18</f>
        <v>30.4642857142857</v>
      </c>
      <c r="C19" s="18" t="n">
        <f aca="false">$B$14 / C18</f>
        <v>66.0774647887324</v>
      </c>
      <c r="D19" s="18" t="n">
        <f aca="false">$B$14 / D18</f>
        <v>118.772151898734</v>
      </c>
      <c r="F19" s="16" t="s">
        <v>45</v>
      </c>
      <c r="G19" s="18" t="n">
        <f aca="false">$G$14/G$5</f>
        <v>30.4642857142857</v>
      </c>
      <c r="H19" s="18" t="n">
        <f aca="false">$G$14/H$5</f>
        <v>66.0774647887324</v>
      </c>
      <c r="I19" s="18" t="n">
        <f aca="false">$G$14/I$5</f>
        <v>118.772151898734</v>
      </c>
    </row>
    <row collapsed="false" customFormat="false" customHeight="true" hidden="false" ht="12.65" outlineLevel="0" r="20">
      <c r="A20" s="16" t="s">
        <v>46</v>
      </c>
      <c r="B20" s="10" t="n">
        <v>1313.5</v>
      </c>
      <c r="C20" s="10" t="n">
        <v>1313.5</v>
      </c>
      <c r="D20" s="10" t="n">
        <v>1313.5</v>
      </c>
      <c r="F20" s="16" t="s">
        <v>46</v>
      </c>
      <c r="G20" s="18" t="n">
        <v>1288.2</v>
      </c>
      <c r="H20" s="18" t="n">
        <v>1288.2</v>
      </c>
      <c r="I20" s="18" t="n">
        <v>1288.2</v>
      </c>
    </row>
    <row collapsed="false" customFormat="false" customHeight="true" hidden="false" ht="12.1" outlineLevel="0" r="21">
      <c r="A21" s="16" t="s">
        <v>47</v>
      </c>
      <c r="B21" s="18" t="n">
        <f aca="false">331*0.42</f>
        <v>139.02</v>
      </c>
      <c r="C21" s="18" t="n">
        <f aca="false">331*0.42</f>
        <v>139.02</v>
      </c>
      <c r="D21" s="18" t="n">
        <f aca="false">331*0.42</f>
        <v>139.02</v>
      </c>
      <c r="F21" s="16" t="s">
        <v>47</v>
      </c>
      <c r="G21" s="18" t="n">
        <v>139</v>
      </c>
      <c r="H21" s="18" t="n">
        <v>139</v>
      </c>
      <c r="I21" s="18" t="n">
        <v>139</v>
      </c>
    </row>
    <row collapsed="false" customFormat="false" customHeight="true" hidden="false" ht="12.1" outlineLevel="0" r="22">
      <c r="A22" s="16" t="s">
        <v>48</v>
      </c>
      <c r="B22" s="18" t="n">
        <f aca="false">331*0.58</f>
        <v>191.98</v>
      </c>
      <c r="C22" s="18" t="n">
        <f aca="false">331*0.58</f>
        <v>191.98</v>
      </c>
      <c r="D22" s="18" t="n">
        <f aca="false">331*0.58</f>
        <v>191.98</v>
      </c>
      <c r="F22" s="16" t="s">
        <v>48</v>
      </c>
      <c r="G22" s="18" t="n">
        <v>166.7</v>
      </c>
      <c r="H22" s="18" t="n">
        <v>166.7</v>
      </c>
      <c r="I22" s="18" t="n">
        <v>166.7</v>
      </c>
    </row>
    <row collapsed="false" customFormat="false" customHeight="true" hidden="false" ht="12.1" outlineLevel="0" r="23">
      <c r="A23" s="16" t="s">
        <v>49</v>
      </c>
      <c r="B23" s="18" t="n">
        <v>27.277</v>
      </c>
      <c r="C23" s="18" t="n">
        <v>27.277</v>
      </c>
      <c r="D23" s="18" t="n">
        <v>27.277</v>
      </c>
      <c r="F23" s="16" t="s">
        <v>49</v>
      </c>
      <c r="G23" s="18" t="n">
        <v>27.277</v>
      </c>
      <c r="H23" s="18" t="n">
        <v>27.277</v>
      </c>
      <c r="I23" s="18" t="n">
        <v>27.277</v>
      </c>
    </row>
    <row collapsed="false" customFormat="false" customHeight="true" hidden="false" ht="12.1" outlineLevel="0" r="24">
      <c r="A24" s="16" t="s">
        <v>50</v>
      </c>
      <c r="B24" s="18" t="n">
        <f aca="false">$B$15 / B18</f>
        <v>13.6038961038961</v>
      </c>
      <c r="C24" s="18" t="n">
        <f aca="false">$B$15 / C18</f>
        <v>29.5070422535211</v>
      </c>
      <c r="D24" s="18" t="n">
        <f aca="false">$B$15 / D18</f>
        <v>53.0379746835443</v>
      </c>
      <c r="F24" s="16" t="s">
        <v>50</v>
      </c>
      <c r="G24" s="18" t="n">
        <f aca="false">$G$15 / G$5</f>
        <v>13.6038961038961</v>
      </c>
      <c r="H24" s="18" t="n">
        <f aca="false">$G$15 / H$5</f>
        <v>29.5070422535211</v>
      </c>
      <c r="I24" s="18" t="n">
        <f aca="false">$G$15 / I$5</f>
        <v>53.0379746835443</v>
      </c>
    </row>
    <row collapsed="false" customFormat="false" customHeight="true" hidden="false" ht="12.1" outlineLevel="0" r="26">
      <c r="A26" s="15" t="s">
        <v>55</v>
      </c>
      <c r="B26" s="19"/>
      <c r="F26" s="15" t="s">
        <v>56</v>
      </c>
      <c r="G26" s="13"/>
      <c r="H26" s="14"/>
      <c r="I26" s="14"/>
      <c r="K26" s="15" t="s">
        <v>57</v>
      </c>
      <c r="L26" s="13"/>
      <c r="M26" s="14"/>
      <c r="N26" s="14"/>
    </row>
    <row collapsed="false" customFormat="false" customHeight="true" hidden="false" ht="12.1" outlineLevel="0" r="27">
      <c r="A27" s="16" t="s">
        <v>41</v>
      </c>
      <c r="B27" s="17" t="s">
        <v>42</v>
      </c>
      <c r="C27" s="17" t="s">
        <v>43</v>
      </c>
      <c r="D27" s="17" t="s">
        <v>44</v>
      </c>
      <c r="F27" s="16" t="s">
        <v>41</v>
      </c>
      <c r="G27" s="17" t="s">
        <v>42</v>
      </c>
      <c r="H27" s="17" t="s">
        <v>43</v>
      </c>
      <c r="I27" s="17" t="s">
        <v>44</v>
      </c>
      <c r="K27" s="16" t="s">
        <v>41</v>
      </c>
      <c r="L27" s="11" t="n">
        <v>113.7</v>
      </c>
      <c r="M27" s="17" t="s">
        <v>42</v>
      </c>
      <c r="N27" s="17" t="s">
        <v>43</v>
      </c>
      <c r="O27" s="17" t="s">
        <v>44</v>
      </c>
    </row>
    <row collapsed="false" customFormat="false" customHeight="true" hidden="false" ht="12.65" outlineLevel="0" r="28">
      <c r="A28" s="16" t="s">
        <v>45</v>
      </c>
      <c r="B28" s="18" t="n">
        <f aca="false">$B$14 / B27</f>
        <v>30.4642857142857</v>
      </c>
      <c r="C28" s="18" t="n">
        <f aca="false">$B$14 / C27</f>
        <v>66.0774647887324</v>
      </c>
      <c r="D28" s="18" t="n">
        <f aca="false">$B$14 / D27</f>
        <v>118.772151898734</v>
      </c>
      <c r="F28" s="16" t="s">
        <v>45</v>
      </c>
      <c r="G28" s="18" t="n">
        <f aca="false">$G$14/G$5</f>
        <v>30.4642857142857</v>
      </c>
      <c r="H28" s="18" t="n">
        <f aca="false">$G$14/H$5</f>
        <v>66.0774647887324</v>
      </c>
      <c r="I28" s="18" t="n">
        <f aca="false">$G$14/I$5</f>
        <v>118.772151898734</v>
      </c>
      <c r="K28" s="16" t="s">
        <v>45</v>
      </c>
      <c r="L28" s="18" t="n">
        <f aca="false">$L$14/L27</f>
        <v>16.504837291117</v>
      </c>
      <c r="M28" s="18" t="n">
        <f aca="false">$L$14/M27</f>
        <v>30.4642857142857</v>
      </c>
      <c r="N28" s="18" t="n">
        <f aca="false">$L$14/N27</f>
        <v>66.0774647887324</v>
      </c>
      <c r="O28" s="18" t="n">
        <f aca="false">$L$14/O27</f>
        <v>118.772151898734</v>
      </c>
    </row>
    <row collapsed="false" customFormat="false" customHeight="true" hidden="false" ht="12.1" outlineLevel="0" r="29">
      <c r="A29" s="16" t="s">
        <v>46</v>
      </c>
      <c r="B29" s="10" t="n">
        <v>1313.5</v>
      </c>
      <c r="C29" s="10" t="n">
        <v>1313.5</v>
      </c>
      <c r="D29" s="10" t="n">
        <v>1313.5</v>
      </c>
      <c r="F29" s="16" t="s">
        <v>46</v>
      </c>
      <c r="G29" s="18" t="n">
        <v>1288.2</v>
      </c>
      <c r="H29" s="18" t="n">
        <v>1288.2</v>
      </c>
      <c r="I29" s="18" t="n">
        <v>1288.2</v>
      </c>
      <c r="K29" s="16" t="s">
        <v>46</v>
      </c>
      <c r="L29" s="18" t="n">
        <v>1262.9</v>
      </c>
      <c r="M29" s="18" t="n">
        <v>1262.9</v>
      </c>
      <c r="N29" s="18" t="n">
        <v>1262.9</v>
      </c>
      <c r="O29" s="18" t="n">
        <v>1262.9</v>
      </c>
    </row>
    <row collapsed="false" customFormat="false" customHeight="true" hidden="false" ht="12.1" outlineLevel="0" r="30">
      <c r="A30" s="16" t="s">
        <v>47</v>
      </c>
      <c r="B30" s="18" t="n">
        <f aca="false">331*0.41</f>
        <v>135.71</v>
      </c>
      <c r="C30" s="18" t="n">
        <f aca="false">331*0.41</f>
        <v>135.71</v>
      </c>
      <c r="D30" s="18" t="n">
        <f aca="false">331*0.41</f>
        <v>135.71</v>
      </c>
      <c r="F30" s="16" t="s">
        <v>47</v>
      </c>
      <c r="G30" s="18" t="n">
        <v>135.7</v>
      </c>
      <c r="H30" s="18" t="n">
        <v>135.7</v>
      </c>
      <c r="I30" s="18" t="n">
        <v>135.7</v>
      </c>
      <c r="K30" s="16" t="s">
        <v>58</v>
      </c>
      <c r="L30" s="18" t="n">
        <v>136</v>
      </c>
      <c r="M30" s="18" t="n">
        <v>136</v>
      </c>
      <c r="N30" s="18" t="n">
        <v>136</v>
      </c>
      <c r="O30" s="18" t="n">
        <v>136</v>
      </c>
    </row>
    <row collapsed="false" customFormat="false" customHeight="true" hidden="false" ht="12.1" outlineLevel="0" r="31">
      <c r="A31" s="16" t="s">
        <v>48</v>
      </c>
      <c r="B31" s="18" t="n">
        <f aca="false">331*0.59</f>
        <v>195.29</v>
      </c>
      <c r="C31" s="18" t="n">
        <f aca="false">331*0.59</f>
        <v>195.29</v>
      </c>
      <c r="D31" s="18" t="n">
        <f aca="false">331*0.59</f>
        <v>195.29</v>
      </c>
      <c r="F31" s="16" t="s">
        <v>48</v>
      </c>
      <c r="G31" s="18" t="n">
        <v>170</v>
      </c>
      <c r="H31" s="18" t="n">
        <v>170</v>
      </c>
      <c r="I31" s="18" t="n">
        <v>170</v>
      </c>
      <c r="K31" s="16" t="s">
        <v>59</v>
      </c>
      <c r="L31" s="18" t="n">
        <v>145</v>
      </c>
      <c r="M31" s="18" t="n">
        <v>145</v>
      </c>
      <c r="N31" s="18" t="n">
        <v>145</v>
      </c>
      <c r="O31" s="18" t="n">
        <v>145</v>
      </c>
    </row>
    <row collapsed="false" customFormat="false" customHeight="true" hidden="false" ht="12.1" outlineLevel="0" r="32">
      <c r="A32" s="16" t="s">
        <v>49</v>
      </c>
      <c r="B32" s="18" t="n">
        <v>27.277</v>
      </c>
      <c r="C32" s="18" t="n">
        <v>27.277</v>
      </c>
      <c r="D32" s="18" t="n">
        <v>27.277</v>
      </c>
      <c r="F32" s="16" t="s">
        <v>49</v>
      </c>
      <c r="G32" s="18" t="n">
        <v>27.277</v>
      </c>
      <c r="H32" s="18" t="n">
        <v>27.277</v>
      </c>
      <c r="I32" s="18" t="n">
        <v>27.277</v>
      </c>
      <c r="K32" s="16" t="s">
        <v>60</v>
      </c>
      <c r="L32" s="18" t="n">
        <v>27.277</v>
      </c>
      <c r="M32" s="18" t="n">
        <v>27.277</v>
      </c>
      <c r="N32" s="18" t="n">
        <v>27.277</v>
      </c>
      <c r="O32" s="18" t="n">
        <v>27.277</v>
      </c>
    </row>
    <row collapsed="false" customFormat="false" customHeight="true" hidden="false" ht="12.65" outlineLevel="0" r="33">
      <c r="A33" s="16" t="s">
        <v>50</v>
      </c>
      <c r="B33" s="18" t="n">
        <f aca="false">$B$15 / B27</f>
        <v>13.6038961038961</v>
      </c>
      <c r="C33" s="18" t="n">
        <f aca="false">$B$15 / C27</f>
        <v>29.5070422535211</v>
      </c>
      <c r="D33" s="18" t="n">
        <f aca="false">$B$15 / D27</f>
        <v>53.0379746835443</v>
      </c>
      <c r="F33" s="16" t="s">
        <v>50</v>
      </c>
      <c r="G33" s="18" t="n">
        <f aca="false">$G$15 / G$5</f>
        <v>13.6038961038961</v>
      </c>
      <c r="H33" s="18" t="n">
        <f aca="false">$G$15 / H$5</f>
        <v>29.5070422535211</v>
      </c>
      <c r="I33" s="18" t="n">
        <f aca="false">$G$15 / I$5</f>
        <v>53.0379746835443</v>
      </c>
      <c r="K33" s="16" t="s">
        <v>50</v>
      </c>
      <c r="L33" s="18" t="n">
        <f aca="false">$L$15 / L27</f>
        <v>7.3702726473175</v>
      </c>
      <c r="M33" s="18" t="n">
        <f aca="false">$L$15 / M27</f>
        <v>13.6038961038961</v>
      </c>
      <c r="N33" s="18" t="n">
        <f aca="false">$L$15 / N27</f>
        <v>29.5070422535211</v>
      </c>
      <c r="O33" s="18" t="n">
        <f aca="false">$L$15 / O27</f>
        <v>53.0379746835443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39" activeCellId="0" pane="topLeft" sqref="D39"/>
    </sheetView>
  </sheetViews>
  <cols>
    <col collapsed="false" hidden="false" max="1" min="1" style="0" width="15.2666666666667"/>
    <col collapsed="false" hidden="false" max="2" min="2" style="0" width="3.98823529411765"/>
    <col collapsed="false" hidden="false" max="3" min="3" style="0" width="4.57647058823529"/>
    <col collapsed="false" hidden="false" max="5" min="4" style="0" width="3.87058823529412"/>
    <col collapsed="false" hidden="false" max="6" min="6" style="0" width="3.63529411764706"/>
    <col collapsed="false" hidden="false" max="7" min="7" style="0" width="4.92941176470588"/>
    <col collapsed="false" hidden="false" max="8" min="8" style="0" width="11.6941176470588"/>
    <col collapsed="false" hidden="false" max="9" min="9" style="0" width="15.8470588235294"/>
    <col collapsed="false" hidden="false" max="11" min="10" style="0" width="3.61960784313725"/>
    <col collapsed="false" hidden="false" max="13" min="12" style="0" width="2.90196078431373"/>
    <col collapsed="false" hidden="false" max="14" min="14" style="0" width="2.7843137254902"/>
    <col collapsed="false" hidden="false" max="15" min="15" style="0" width="4.66666666666667"/>
    <col collapsed="false" hidden="false" max="1025" min="16" style="0" width="11.6941176470588"/>
  </cols>
  <sheetData>
    <row collapsed="false" customFormat="false" customHeight="true" hidden="false" ht="12.1" outlineLevel="0" r="1">
      <c r="A1" s="0" t="s">
        <v>0</v>
      </c>
      <c r="B1" s="20" t="s">
        <v>61</v>
      </c>
      <c r="C1" s="20"/>
      <c r="D1" s="20"/>
      <c r="E1" s="20"/>
      <c r="F1" s="20"/>
      <c r="G1" s="20"/>
      <c r="I1" s="0" t="s">
        <v>1</v>
      </c>
      <c r="J1" s="20" t="s">
        <v>62</v>
      </c>
      <c r="K1" s="20"/>
      <c r="L1" s="20"/>
      <c r="M1" s="20"/>
      <c r="N1" s="20"/>
      <c r="O1" s="20"/>
    </row>
    <row collapsed="false" customFormat="false" customHeight="true" hidden="false" ht="12.1" outlineLevel="0" r="2"/>
    <row collapsed="false" customFormat="false" customHeight="true" hidden="false" ht="12.1" outlineLevel="0" r="3">
      <c r="A3" s="1" t="s">
        <v>63</v>
      </c>
      <c r="B3" s="21" t="s">
        <v>14</v>
      </c>
      <c r="C3" s="21" t="s">
        <v>15</v>
      </c>
      <c r="D3" s="21" t="s">
        <v>16</v>
      </c>
      <c r="E3" s="21" t="s">
        <v>17</v>
      </c>
      <c r="F3" s="21" t="s">
        <v>64</v>
      </c>
      <c r="G3" s="1" t="s">
        <v>19</v>
      </c>
      <c r="I3" s="1" t="s">
        <v>63</v>
      </c>
      <c r="J3" s="21" t="s">
        <v>14</v>
      </c>
      <c r="K3" s="21" t="s">
        <v>15</v>
      </c>
      <c r="L3" s="21" t="s">
        <v>16</v>
      </c>
      <c r="M3" s="21" t="s">
        <v>17</v>
      </c>
      <c r="N3" s="21" t="s">
        <v>64</v>
      </c>
      <c r="O3" s="1" t="s">
        <v>19</v>
      </c>
    </row>
    <row collapsed="false" customFormat="false" customHeight="true" hidden="false" ht="12.1" outlineLevel="0" r="4">
      <c r="A4" s="22" t="s">
        <v>65</v>
      </c>
      <c r="B4" s="23" t="n">
        <v>5</v>
      </c>
      <c r="C4" s="23" t="n">
        <v>13</v>
      </c>
      <c r="D4" s="23" t="n">
        <v>1</v>
      </c>
      <c r="E4" s="23" t="n">
        <v>4</v>
      </c>
      <c r="F4" s="23" t="n">
        <v>1</v>
      </c>
      <c r="G4" s="24" t="n">
        <f aca="false">B4*6+C4*1+D4*7+E4*8+F4*15</f>
        <v>97</v>
      </c>
      <c r="I4" s="22" t="s">
        <v>66</v>
      </c>
      <c r="J4" s="23" t="n">
        <v>2</v>
      </c>
      <c r="K4" s="23" t="n">
        <v>7</v>
      </c>
      <c r="L4" s="23" t="n">
        <v>1</v>
      </c>
      <c r="M4" s="23" t="n">
        <v>4</v>
      </c>
      <c r="N4" s="23" t="n">
        <v>1</v>
      </c>
      <c r="O4" s="24" t="n">
        <f aca="false">J4*6+K4*1+L4*7+M4*8+N4*15</f>
        <v>73</v>
      </c>
    </row>
    <row collapsed="false" customFormat="false" customHeight="true" hidden="false" ht="12.1" outlineLevel="0" r="5">
      <c r="A5" s="25" t="s">
        <v>67</v>
      </c>
      <c r="B5" s="0" t="n">
        <v>5</v>
      </c>
      <c r="C5" s="0" t="n">
        <v>5</v>
      </c>
      <c r="D5" s="0" t="n">
        <v>0</v>
      </c>
      <c r="E5" s="0" t="n">
        <v>4</v>
      </c>
      <c r="F5" s="0" t="n">
        <v>0</v>
      </c>
      <c r="G5" s="26" t="n">
        <f aca="false">B5*6+C5*1+D5*7+E5*8+F5*15</f>
        <v>67</v>
      </c>
      <c r="I5" s="25" t="s">
        <v>67</v>
      </c>
      <c r="J5" s="0" t="n">
        <v>5</v>
      </c>
      <c r="K5" s="0" t="n">
        <v>5</v>
      </c>
      <c r="L5" s="0" t="n">
        <v>0</v>
      </c>
      <c r="M5" s="0" t="n">
        <v>4</v>
      </c>
      <c r="N5" s="0" t="n">
        <v>0</v>
      </c>
      <c r="O5" s="26" t="n">
        <f aca="false">J5*6+K5*1+L5*7+M5*8+N5*15</f>
        <v>67</v>
      </c>
    </row>
    <row collapsed="false" customFormat="false" customHeight="true" hidden="false" ht="12.1" outlineLevel="0" r="6">
      <c r="A6" s="25" t="s">
        <v>68</v>
      </c>
      <c r="B6" s="0" t="n">
        <v>16</v>
      </c>
      <c r="C6" s="0" t="n">
        <v>30</v>
      </c>
      <c r="D6" s="0" t="n">
        <v>0</v>
      </c>
      <c r="E6" s="0" t="n">
        <v>0</v>
      </c>
      <c r="F6" s="0" t="n">
        <v>0</v>
      </c>
      <c r="G6" s="26" t="n">
        <f aca="false">B6*6+C6*1+D6*7+E6*8+F6*15</f>
        <v>126</v>
      </c>
      <c r="I6" s="25" t="s">
        <v>68</v>
      </c>
      <c r="J6" s="0" t="n">
        <v>16</v>
      </c>
      <c r="K6" s="0" t="n">
        <v>30</v>
      </c>
      <c r="L6" s="0" t="n">
        <v>0</v>
      </c>
      <c r="M6" s="0" t="n">
        <v>0</v>
      </c>
      <c r="N6" s="0" t="n">
        <v>0</v>
      </c>
      <c r="O6" s="26" t="n">
        <f aca="false">J6*6+K6*1+L6*7+M6*8+N6*15</f>
        <v>126</v>
      </c>
    </row>
    <row collapsed="false" customFormat="false" customHeight="true" hidden="false" ht="12.1" outlineLevel="0" r="7">
      <c r="A7" s="27" t="s">
        <v>69</v>
      </c>
      <c r="B7" s="28" t="n">
        <v>1</v>
      </c>
      <c r="C7" s="28" t="n">
        <v>3</v>
      </c>
      <c r="D7" s="28" t="n">
        <v>0</v>
      </c>
      <c r="E7" s="28" t="n">
        <v>0</v>
      </c>
      <c r="F7" s="28" t="n">
        <v>0</v>
      </c>
      <c r="G7" s="29" t="n">
        <f aca="false">B7*6+C7*1+D7*7+E7*8+F7*15</f>
        <v>9</v>
      </c>
      <c r="I7" s="27" t="s">
        <v>69</v>
      </c>
      <c r="J7" s="28" t="n">
        <v>1</v>
      </c>
      <c r="K7" s="28" t="n">
        <v>3</v>
      </c>
      <c r="L7" s="28" t="n">
        <v>0</v>
      </c>
      <c r="M7" s="28" t="n">
        <v>0</v>
      </c>
      <c r="N7" s="28" t="n">
        <v>0</v>
      </c>
      <c r="O7" s="29" t="n">
        <f aca="false">J7*6+K7*1+L7*7+M7*8+N7*15</f>
        <v>9</v>
      </c>
    </row>
    <row collapsed="false" customFormat="false" customHeight="true" hidden="false" ht="12.1" outlineLevel="0" r="8">
      <c r="A8" s="22" t="s">
        <v>70</v>
      </c>
      <c r="B8" s="23" t="n">
        <v>3</v>
      </c>
      <c r="C8" s="23" t="n">
        <v>9</v>
      </c>
      <c r="D8" s="23" t="n">
        <v>0</v>
      </c>
      <c r="E8" s="23" t="n">
        <v>0</v>
      </c>
      <c r="F8" s="23" t="n">
        <v>0</v>
      </c>
      <c r="G8" s="24" t="n">
        <f aca="false">B8*6+C8*1+D8*7+E8*8+F8*15</f>
        <v>27</v>
      </c>
      <c r="I8" s="22" t="s">
        <v>70</v>
      </c>
      <c r="J8" s="23" t="n">
        <v>3</v>
      </c>
      <c r="K8" s="23" t="n">
        <v>9</v>
      </c>
      <c r="L8" s="23" t="n">
        <v>0</v>
      </c>
      <c r="M8" s="23" t="n">
        <v>0</v>
      </c>
      <c r="N8" s="23" t="n">
        <v>0</v>
      </c>
      <c r="O8" s="24" t="n">
        <f aca="false">J8*6+K8*1+L8*7+M8*8+N8*15</f>
        <v>27</v>
      </c>
    </row>
    <row collapsed="false" customFormat="false" customHeight="true" hidden="false" ht="12.1" outlineLevel="0" r="9">
      <c r="A9" s="27" t="s">
        <v>71</v>
      </c>
      <c r="B9" s="28" t="n">
        <v>2</v>
      </c>
      <c r="C9" s="28" t="n">
        <v>4</v>
      </c>
      <c r="D9" s="28" t="n">
        <v>1</v>
      </c>
      <c r="E9" s="28" t="n">
        <v>4</v>
      </c>
      <c r="F9" s="28" t="n">
        <v>1</v>
      </c>
      <c r="G9" s="29" t="n">
        <f aca="false">B9*6+C9*1+D9*7+E9*8+F9*15</f>
        <v>70</v>
      </c>
      <c r="I9" s="27" t="s">
        <v>71</v>
      </c>
      <c r="J9" s="28" t="n">
        <v>2</v>
      </c>
      <c r="K9" s="28" t="n">
        <v>4</v>
      </c>
      <c r="L9" s="28" t="n">
        <v>1</v>
      </c>
      <c r="M9" s="28" t="n">
        <v>4</v>
      </c>
      <c r="N9" s="28" t="n">
        <v>1</v>
      </c>
      <c r="O9" s="29" t="n">
        <f aca="false">J9*6+K9*1+L9*7+M9*8+N9*15</f>
        <v>70</v>
      </c>
    </row>
    <row collapsed="false" customFormat="false" customHeight="true" hidden="false" ht="12.1" outlineLevel="0" r="10"/>
    <row collapsed="false" customFormat="false" customHeight="true" hidden="false" ht="12.1" outlineLevel="0" r="11"/>
    <row collapsed="false" customFormat="false" customHeight="true" hidden="false" ht="12.1" outlineLevel="0" r="12">
      <c r="A12" s="0" t="s">
        <v>72</v>
      </c>
    </row>
  </sheetData>
  <mergeCells count="2">
    <mergeCell ref="B1:G1"/>
    <mergeCell ref="J1:O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1802333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2012-12-12T18:09:08.00Z</dcterms:created>
  <dc:creator>kiyo </dc:creator>
  <cp:lastModifiedBy>kiyo </cp:lastModifiedBy>
  <dcterms:modified xsi:type="dcterms:W3CDTF">2013-09-17T14:06:24.00Z</dcterms:modified>
  <cp:revision>42</cp:revision>
</cp:coreProperties>
</file>