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4775" windowHeight="7575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4" i="3"/>
  <c r="I8"/>
  <c r="I15"/>
  <c r="I7"/>
  <c r="I9"/>
  <c r="I10"/>
  <c r="I14"/>
  <c r="J5"/>
  <c r="J6"/>
  <c r="J3"/>
  <c r="I4"/>
  <c r="I5"/>
  <c r="I6"/>
  <c r="I3"/>
  <c r="H15"/>
  <c r="C15"/>
  <c r="D15"/>
  <c r="E15"/>
  <c r="G15"/>
  <c r="K15"/>
  <c r="L15"/>
  <c r="B15"/>
  <c r="D14"/>
  <c r="E14"/>
  <c r="F14"/>
  <c r="G14"/>
  <c r="J14"/>
  <c r="K14"/>
  <c r="L14"/>
  <c r="C14"/>
  <c r="B14"/>
  <c r="N4"/>
  <c r="N5"/>
  <c r="N6"/>
  <c r="N7"/>
  <c r="N8"/>
  <c r="N9"/>
  <c r="N10"/>
  <c r="N3"/>
  <c r="K4"/>
  <c r="K5"/>
  <c r="K6"/>
  <c r="K7"/>
  <c r="K8"/>
  <c r="K9"/>
  <c r="K10"/>
  <c r="F4"/>
  <c r="F5"/>
  <c r="F6"/>
  <c r="F3"/>
  <c r="K3"/>
  <c r="U4" i="2"/>
  <c r="T4"/>
  <c r="U2"/>
  <c r="T2"/>
  <c r="M5" i="1" l="1"/>
  <c r="L5"/>
  <c r="M4"/>
  <c r="L4"/>
  <c r="M15"/>
  <c r="M16"/>
  <c r="M17"/>
  <c r="L15"/>
  <c r="L16"/>
  <c r="L17"/>
  <c r="M14"/>
  <c r="L14"/>
  <c r="L12"/>
  <c r="M12"/>
  <c r="M10"/>
  <c r="M11"/>
  <c r="L10"/>
  <c r="L11"/>
  <c r="M9"/>
  <c r="L9"/>
  <c r="L2"/>
  <c r="M2"/>
</calcChain>
</file>

<file path=xl/sharedStrings.xml><?xml version="1.0" encoding="utf-8"?>
<sst xmlns="http://schemas.openxmlformats.org/spreadsheetml/2006/main" count="105" uniqueCount="50">
  <si>
    <t>tat2</t>
  </si>
  <si>
    <t>72-0</t>
  </si>
  <si>
    <t>tat4</t>
  </si>
  <si>
    <t>76-0</t>
  </si>
  <si>
    <t>Ztat-ZP1</t>
  </si>
  <si>
    <t>error</t>
  </si>
  <si>
    <t>Ztat-ZP2</t>
  </si>
  <si>
    <t>Ztat-ZP3</t>
  </si>
  <si>
    <t>Ztat-ZP4</t>
  </si>
  <si>
    <t>Ztat-ZP avg</t>
  </si>
  <si>
    <t>72-1</t>
  </si>
  <si>
    <t>74-0</t>
  </si>
  <si>
    <t>74-1</t>
  </si>
  <si>
    <t>76-1</t>
  </si>
  <si>
    <t>DPP1</t>
  </si>
  <si>
    <t>DPP2</t>
  </si>
  <si>
    <t>DPP avg</t>
  </si>
  <si>
    <t>DPP3</t>
  </si>
  <si>
    <t>DPP4</t>
  </si>
  <si>
    <t>tat2-72-0</t>
  </si>
  <si>
    <t>tat4-76-0</t>
  </si>
  <si>
    <t>DPP</t>
  </si>
  <si>
    <t>Num1</t>
  </si>
  <si>
    <t>Num2</t>
  </si>
  <si>
    <t>Num3</t>
  </si>
  <si>
    <t>Num4</t>
  </si>
  <si>
    <t>Num5</t>
  </si>
  <si>
    <t>Num6</t>
  </si>
  <si>
    <t>Num7</t>
  </si>
  <si>
    <t>Num8</t>
  </si>
  <si>
    <t>Num avg</t>
  </si>
  <si>
    <t># of Tat</t>
  </si>
  <si>
    <r>
      <t>A</t>
    </r>
    <r>
      <rPr>
        <vertAlign val="subscript"/>
        <sz val="11"/>
        <color theme="1"/>
        <rFont val="Times New Roman"/>
        <family val="1"/>
      </rPr>
      <t>L</t>
    </r>
  </si>
  <si>
    <r>
      <t>Z</t>
    </r>
    <r>
      <rPr>
        <vertAlign val="subscript"/>
        <sz val="11"/>
        <color theme="1"/>
        <rFont val="Times New Roman"/>
        <family val="1"/>
      </rPr>
      <t>Tat</t>
    </r>
  </si>
  <si>
    <r>
      <t>&lt;D</t>
    </r>
    <r>
      <rPr>
        <vertAlign val="subscript"/>
        <sz val="11"/>
        <color theme="1"/>
        <rFont val="Times New Roman"/>
        <family val="1"/>
      </rPr>
      <t>PP</t>
    </r>
    <r>
      <rPr>
        <sz val="11"/>
        <color theme="1"/>
        <rFont val="Times New Roman"/>
        <family val="1"/>
      </rPr>
      <t>&gt;</t>
    </r>
  </si>
  <si>
    <r>
      <t>D</t>
    </r>
    <r>
      <rPr>
        <vertAlign val="subscript"/>
        <sz val="11"/>
        <color theme="1"/>
        <rFont val="Times New Roman"/>
        <family val="1"/>
      </rPr>
      <t>PP</t>
    </r>
  </si>
  <si>
    <t>x</t>
  </si>
  <si>
    <t>∆t</t>
  </si>
  <si>
    <r>
      <t>R</t>
    </r>
    <r>
      <rPr>
        <vertAlign val="subscript"/>
        <sz val="11"/>
        <color theme="1"/>
        <rFont val="Times New Roman"/>
        <family val="1"/>
      </rPr>
      <t>2</t>
    </r>
  </si>
  <si>
    <r>
      <t>Z</t>
    </r>
    <r>
      <rPr>
        <vertAlign val="subscript"/>
        <sz val="11"/>
        <color theme="1"/>
        <rFont val="Times New Roman"/>
        <family val="1"/>
      </rPr>
      <t>guanidinium</t>
    </r>
  </si>
  <si>
    <r>
      <t>χ</t>
    </r>
    <r>
      <rPr>
        <vertAlign val="superscript"/>
        <sz val="11"/>
        <color theme="1"/>
        <rFont val="Times New Roman"/>
        <family val="1"/>
      </rPr>
      <t>2</t>
    </r>
  </si>
  <si>
    <t>0 (DOPC)</t>
  </si>
  <si>
    <t>NA</t>
  </si>
  <si>
    <t>*R2 for tat2-72-1 was set to 9 because the calculation suggests a value smaller than 9, which is not physical.</t>
  </si>
  <si>
    <r>
      <t>R</t>
    </r>
    <r>
      <rPr>
        <vertAlign val="subscript"/>
        <sz val="11"/>
        <color theme="1"/>
        <rFont val="Times New Roman"/>
        <family val="1"/>
      </rPr>
      <t>1</t>
    </r>
  </si>
  <si>
    <r>
      <t>h</t>
    </r>
    <r>
      <rPr>
        <vertAlign val="subscript"/>
        <sz val="11"/>
        <color theme="1"/>
        <rFont val="Times New Roman"/>
        <family val="1"/>
      </rPr>
      <t>Tat</t>
    </r>
  </si>
  <si>
    <r>
      <t>Z</t>
    </r>
    <r>
      <rPr>
        <vertAlign val="subscript"/>
        <sz val="11"/>
        <color theme="1"/>
        <rFont val="Times New Roman"/>
        <family val="1"/>
      </rPr>
      <t>P</t>
    </r>
  </si>
  <si>
    <t>weight</t>
  </si>
  <si>
    <t>weighted average</t>
  </si>
  <si>
    <t>Vtat = 1876 was assumed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</si>
</sst>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5" fontId="1" fillId="0" borderId="1" xfId="0" applyNumberFormat="1" applyFont="1" applyBorder="1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activeCell="L9" sqref="L9"/>
    </sheetView>
  </sheetViews>
  <sheetFormatPr defaultRowHeight="15"/>
  <cols>
    <col min="1" max="1" width="6" customWidth="1"/>
    <col min="2" max="2" width="5.85546875" customWidth="1"/>
    <col min="3" max="3" width="8.28515625" bestFit="1" customWidth="1"/>
    <col min="4" max="4" width="8" bestFit="1" customWidth="1"/>
    <col min="5" max="5" width="8.7109375" bestFit="1" customWidth="1"/>
    <col min="6" max="6" width="8" bestFit="1" customWidth="1"/>
    <col min="7" max="7" width="8.7109375" bestFit="1" customWidth="1"/>
    <col min="8" max="8" width="8.85546875" bestFit="1" customWidth="1"/>
    <col min="9" max="9" width="8.7109375" bestFit="1" customWidth="1"/>
    <col min="10" max="10" width="8" bestFit="1" customWidth="1"/>
    <col min="12" max="12" width="10.85546875" customWidth="1"/>
    <col min="13" max="13" width="8.5703125" customWidth="1"/>
  </cols>
  <sheetData>
    <row r="1" spans="1:13">
      <c r="C1" s="1" t="s">
        <v>4</v>
      </c>
      <c r="D1" s="1" t="s">
        <v>5</v>
      </c>
      <c r="E1" s="1" t="s">
        <v>6</v>
      </c>
      <c r="F1" s="1" t="s">
        <v>5</v>
      </c>
      <c r="G1" s="1" t="s">
        <v>7</v>
      </c>
      <c r="H1" s="1" t="s">
        <v>5</v>
      </c>
      <c r="I1" s="1" t="s">
        <v>8</v>
      </c>
      <c r="J1" s="1" t="s">
        <v>5</v>
      </c>
      <c r="K1" s="1"/>
      <c r="L1" s="1" t="s">
        <v>9</v>
      </c>
      <c r="M1" s="1" t="s">
        <v>5</v>
      </c>
    </row>
    <row r="2" spans="1:13">
      <c r="A2" t="s">
        <v>0</v>
      </c>
      <c r="B2" t="s">
        <v>1</v>
      </c>
      <c r="C2">
        <v>0.39793000000000001</v>
      </c>
      <c r="D2">
        <v>6.5070000000000003E-2</v>
      </c>
      <c r="E2">
        <v>-0.15109</v>
      </c>
      <c r="F2">
        <v>9.3509999999999996E-2</v>
      </c>
      <c r="L2">
        <f>AVERAGE(ABS(C2),ABS(E2))</f>
        <v>0.27451000000000003</v>
      </c>
      <c r="M2">
        <f>SQRT(D2^2+F2^2)/2</f>
        <v>5.6961006399114826E-2</v>
      </c>
    </row>
    <row r="4" spans="1:13">
      <c r="A4" t="s">
        <v>2</v>
      </c>
      <c r="B4" t="s">
        <v>3</v>
      </c>
      <c r="C4">
        <v>0.32136999999999999</v>
      </c>
      <c r="D4">
        <v>7.46E-2</v>
      </c>
      <c r="E4">
        <v>0.43855</v>
      </c>
      <c r="F4">
        <v>0.10412</v>
      </c>
      <c r="G4">
        <v>-0.45083000000000001</v>
      </c>
      <c r="H4">
        <v>0.11995</v>
      </c>
      <c r="I4">
        <v>-0.30817</v>
      </c>
      <c r="J4">
        <v>0.13719999999999999</v>
      </c>
      <c r="L4">
        <f>AVERAGE(ABS(C4),ABS(E4),ABS(G4),ABS(I4))</f>
        <v>0.37973000000000001</v>
      </c>
      <c r="M4">
        <f>SQRT(D4^2+F4^2+H4^2+J4^2)/4</f>
        <v>5.568773254721366E-2</v>
      </c>
    </row>
    <row r="5" spans="1:13">
      <c r="B5" t="s">
        <v>13</v>
      </c>
      <c r="C5">
        <v>0.28039999999999998</v>
      </c>
      <c r="D5">
        <v>0.1065</v>
      </c>
      <c r="E5">
        <v>0.12307</v>
      </c>
      <c r="F5">
        <v>6.5740000000000007E-2</v>
      </c>
      <c r="G5">
        <v>-0.40556999999999999</v>
      </c>
      <c r="H5">
        <v>0.11321000000000001</v>
      </c>
      <c r="I5">
        <v>-0.28815000000000002</v>
      </c>
      <c r="J5">
        <v>9.6089999999999995E-2</v>
      </c>
      <c r="L5">
        <f>AVERAGE(ABS(C5),ABS(E5),ABS(G5),ABS(I5))</f>
        <v>0.27429749999999997</v>
      </c>
      <c r="M5">
        <f>SQRT(D5^2+F5^2+H5^2+J5^2)/4</f>
        <v>4.8550096421119494E-2</v>
      </c>
    </row>
    <row r="8" spans="1:13">
      <c r="C8" s="3" t="s">
        <v>14</v>
      </c>
      <c r="D8" s="3" t="s">
        <v>5</v>
      </c>
      <c r="E8" s="3" t="s">
        <v>15</v>
      </c>
      <c r="F8" s="3" t="s">
        <v>5</v>
      </c>
      <c r="G8" s="3" t="s">
        <v>17</v>
      </c>
      <c r="H8" s="3" t="s">
        <v>5</v>
      </c>
      <c r="I8" s="3" t="s">
        <v>18</v>
      </c>
      <c r="J8" s="3" t="s">
        <v>5</v>
      </c>
      <c r="K8" s="2"/>
      <c r="L8" s="3" t="s">
        <v>16</v>
      </c>
      <c r="M8" s="3" t="s">
        <v>5</v>
      </c>
    </row>
    <row r="9" spans="1:13">
      <c r="A9" t="s">
        <v>0</v>
      </c>
      <c r="B9" t="s">
        <v>1</v>
      </c>
      <c r="C9">
        <v>3.1905600000000001</v>
      </c>
      <c r="D9">
        <v>0.15977</v>
      </c>
      <c r="E9">
        <v>3.3728199999999999</v>
      </c>
      <c r="F9">
        <v>0.16525999999999999</v>
      </c>
      <c r="L9">
        <f>AVERAGE(C9,E9)</f>
        <v>3.2816900000000002</v>
      </c>
      <c r="M9">
        <f>SQRT(D9^2+F9^2)/2</f>
        <v>0.11493184991550427</v>
      </c>
    </row>
    <row r="10" spans="1:13">
      <c r="B10" t="s">
        <v>10</v>
      </c>
      <c r="C10">
        <v>3.1843400000000002</v>
      </c>
      <c r="D10">
        <v>0.16189999999999999</v>
      </c>
      <c r="E10">
        <v>3.4122499999999998</v>
      </c>
      <c r="F10">
        <v>0.16921</v>
      </c>
      <c r="L10">
        <f t="shared" ref="L10:L12" si="0">AVERAGE(C10,E10)</f>
        <v>3.298295</v>
      </c>
      <c r="M10">
        <f t="shared" ref="M10:M12" si="1">SQRT(D10^2+F10^2)/2</f>
        <v>0.11709358874421776</v>
      </c>
    </row>
    <row r="11" spans="1:13">
      <c r="B11" t="s">
        <v>11</v>
      </c>
      <c r="C11">
        <v>3.2490399999999999</v>
      </c>
      <c r="D11">
        <v>0.42682999999999999</v>
      </c>
      <c r="E11">
        <v>3.34213</v>
      </c>
      <c r="F11">
        <v>0.20444999999999999</v>
      </c>
      <c r="L11">
        <f t="shared" si="0"/>
        <v>3.295585</v>
      </c>
      <c r="M11">
        <f t="shared" si="1"/>
        <v>0.23663455548587994</v>
      </c>
    </row>
    <row r="12" spans="1:13">
      <c r="B12" t="s">
        <v>12</v>
      </c>
      <c r="C12">
        <v>3.2547600000000001</v>
      </c>
      <c r="D12">
        <v>0.21878</v>
      </c>
      <c r="E12">
        <v>3.1737799999999998</v>
      </c>
      <c r="F12">
        <v>0.19803000000000001</v>
      </c>
      <c r="L12">
        <f t="shared" si="0"/>
        <v>3.21427</v>
      </c>
      <c r="M12">
        <f t="shared" si="1"/>
        <v>0.14754708511183812</v>
      </c>
    </row>
    <row r="14" spans="1:13">
      <c r="A14" t="s">
        <v>2</v>
      </c>
      <c r="B14" t="s">
        <v>11</v>
      </c>
      <c r="C14">
        <v>3.2658700000000001</v>
      </c>
      <c r="D14">
        <v>0.17216999999999999</v>
      </c>
      <c r="E14">
        <v>3.3053699999999999</v>
      </c>
      <c r="F14">
        <v>0.15368999999999999</v>
      </c>
      <c r="G14">
        <v>3.2222300000000001</v>
      </c>
      <c r="H14">
        <v>0.16711000000000001</v>
      </c>
      <c r="I14">
        <v>3.2536700000000001</v>
      </c>
      <c r="J14">
        <v>0.17960000000000001</v>
      </c>
      <c r="L14">
        <f>AVERAGE(C14,E14,G14,I14)</f>
        <v>3.2617849999999997</v>
      </c>
      <c r="M14">
        <f>SQRT(D14^2+F14^2+H14^2+J14^2)/4</f>
        <v>8.4204007141881324E-2</v>
      </c>
    </row>
    <row r="15" spans="1:13">
      <c r="B15" t="s">
        <v>12</v>
      </c>
      <c r="C15">
        <v>2.9877899999999999</v>
      </c>
      <c r="D15">
        <v>0.17066000000000001</v>
      </c>
      <c r="E15">
        <v>3.1925699999999999</v>
      </c>
      <c r="F15">
        <v>0.16567000000000001</v>
      </c>
      <c r="G15">
        <v>3.0906899999999999</v>
      </c>
      <c r="H15">
        <v>0.20862</v>
      </c>
      <c r="I15">
        <v>3.2216900000000002</v>
      </c>
      <c r="J15">
        <v>0.24218000000000001</v>
      </c>
      <c r="L15">
        <f t="shared" ref="L15:L17" si="2">AVERAGE(C15,E15,G15,I15)</f>
        <v>3.1231850000000003</v>
      </c>
      <c r="M15">
        <f t="shared" ref="M15:M17" si="3">SQRT(D15^2+F15^2+H15^2+J15^2)/4</f>
        <v>9.9606990624403466E-2</v>
      </c>
    </row>
    <row r="16" spans="1:13">
      <c r="B16" t="s">
        <v>3</v>
      </c>
      <c r="C16">
        <v>3.12832</v>
      </c>
      <c r="D16">
        <v>0.18151</v>
      </c>
      <c r="E16">
        <v>3.2989199999999999</v>
      </c>
      <c r="F16">
        <v>0.19017999999999999</v>
      </c>
      <c r="G16">
        <v>3.2069000000000001</v>
      </c>
      <c r="H16">
        <v>0.1847</v>
      </c>
      <c r="I16">
        <v>3.1608100000000001</v>
      </c>
      <c r="J16">
        <v>0.21761</v>
      </c>
      <c r="L16">
        <f t="shared" si="2"/>
        <v>3.1987374999999996</v>
      </c>
      <c r="M16">
        <f t="shared" si="3"/>
        <v>9.7012407260617953E-2</v>
      </c>
    </row>
    <row r="17" spans="1:13">
      <c r="B17" t="s">
        <v>13</v>
      </c>
      <c r="C17">
        <v>3.3268399999999998</v>
      </c>
      <c r="D17">
        <v>0.19725000000000001</v>
      </c>
      <c r="E17">
        <v>3.0625</v>
      </c>
      <c r="F17">
        <v>0.18124999999999999</v>
      </c>
      <c r="G17">
        <v>3.0301900000000002</v>
      </c>
      <c r="H17">
        <v>0.19106999999999999</v>
      </c>
      <c r="I17">
        <v>3.1467200000000002</v>
      </c>
      <c r="J17">
        <v>0.23182</v>
      </c>
      <c r="L17">
        <f t="shared" si="2"/>
        <v>3.1415625</v>
      </c>
      <c r="M17">
        <f t="shared" si="3"/>
        <v>0.1006253516453483</v>
      </c>
    </row>
    <row r="19" spans="1:13">
      <c r="C19" s="1" t="s">
        <v>30</v>
      </c>
      <c r="D19" s="1" t="s">
        <v>5</v>
      </c>
      <c r="I19" s="1" t="s">
        <v>21</v>
      </c>
    </row>
    <row r="20" spans="1:13">
      <c r="A20" t="s">
        <v>0</v>
      </c>
      <c r="B20" t="s">
        <v>1</v>
      </c>
      <c r="C20">
        <v>3.2368025</v>
      </c>
      <c r="D20">
        <v>0.41133640566451202</v>
      </c>
      <c r="H20" t="s">
        <v>19</v>
      </c>
      <c r="I20">
        <v>35.64</v>
      </c>
    </row>
    <row r="21" spans="1:13">
      <c r="A21" t="s">
        <v>2</v>
      </c>
      <c r="B21" t="s">
        <v>3</v>
      </c>
      <c r="C21">
        <v>3.30661125</v>
      </c>
      <c r="D21">
        <v>0.57995156722350527</v>
      </c>
      <c r="H21" t="s">
        <v>20</v>
      </c>
      <c r="I21">
        <v>34.24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"/>
  <sheetViews>
    <sheetView workbookViewId="0">
      <selection activeCell="F11" sqref="F11"/>
    </sheetView>
  </sheetViews>
  <sheetFormatPr defaultRowHeight="15"/>
  <sheetData>
    <row r="1" spans="1:21">
      <c r="C1" s="1" t="s">
        <v>22</v>
      </c>
      <c r="D1" s="1" t="s">
        <v>5</v>
      </c>
      <c r="E1" s="1" t="s">
        <v>23</v>
      </c>
      <c r="F1" s="1" t="s">
        <v>5</v>
      </c>
      <c r="G1" s="1" t="s">
        <v>24</v>
      </c>
      <c r="H1" s="1" t="s">
        <v>5</v>
      </c>
      <c r="I1" s="1" t="s">
        <v>25</v>
      </c>
      <c r="J1" s="1" t="s">
        <v>5</v>
      </c>
      <c r="K1" s="1" t="s">
        <v>26</v>
      </c>
      <c r="L1" s="1" t="s">
        <v>5</v>
      </c>
      <c r="M1" s="1" t="s">
        <v>27</v>
      </c>
      <c r="N1" s="1" t="s">
        <v>5</v>
      </c>
      <c r="O1" s="1" t="s">
        <v>28</v>
      </c>
      <c r="P1" s="1" t="s">
        <v>5</v>
      </c>
      <c r="Q1" s="1" t="s">
        <v>29</v>
      </c>
      <c r="R1" s="1" t="s">
        <v>5</v>
      </c>
      <c r="T1" s="1" t="s">
        <v>30</v>
      </c>
      <c r="U1" s="1" t="s">
        <v>5</v>
      </c>
    </row>
    <row r="2" spans="1:21">
      <c r="A2" t="s">
        <v>0</v>
      </c>
      <c r="B2" t="s">
        <v>1</v>
      </c>
      <c r="C2">
        <v>3.1761599999999999</v>
      </c>
      <c r="D2">
        <v>0.74509000000000003</v>
      </c>
      <c r="E2">
        <v>3.3535300000000001</v>
      </c>
      <c r="F2">
        <v>0.84557000000000004</v>
      </c>
      <c r="G2">
        <v>2.8234400000000002</v>
      </c>
      <c r="H2">
        <v>0.72953000000000001</v>
      </c>
      <c r="I2">
        <v>3.5940799999999999</v>
      </c>
      <c r="J2">
        <v>0.95121</v>
      </c>
      <c r="T2">
        <f>AVERAGE(C2,E2,G2,I2)</f>
        <v>3.2368025</v>
      </c>
      <c r="U2">
        <f>SQRT(D2^2+F2^2+H2^2+J2^2)/4</f>
        <v>0.41133640566451202</v>
      </c>
    </row>
    <row r="4" spans="1:21">
      <c r="A4" t="s">
        <v>2</v>
      </c>
      <c r="B4" t="s">
        <v>3</v>
      </c>
      <c r="C4">
        <v>4.2636700000000003</v>
      </c>
      <c r="D4">
        <v>0.58986000000000005</v>
      </c>
      <c r="E4">
        <v>3.2892899999999998</v>
      </c>
      <c r="F4">
        <v>0.8609</v>
      </c>
      <c r="G4">
        <v>2.79847</v>
      </c>
      <c r="H4">
        <v>0.70420000000000005</v>
      </c>
      <c r="I4">
        <v>3.08291</v>
      </c>
      <c r="J4">
        <v>0.89105000000000001</v>
      </c>
      <c r="K4">
        <v>3.3326600000000002</v>
      </c>
      <c r="L4">
        <v>0.83609</v>
      </c>
      <c r="M4">
        <v>3.3758300000000001</v>
      </c>
      <c r="N4">
        <v>1.0244</v>
      </c>
      <c r="O4">
        <v>3.2374399999999999</v>
      </c>
      <c r="P4">
        <v>0.71555000000000002</v>
      </c>
      <c r="Q4">
        <v>3.0726200000000001</v>
      </c>
      <c r="R4">
        <v>0.86145000000000005</v>
      </c>
      <c r="T4">
        <f>AVERAGE(C4,E4,G4,I4,K4,M4,O4,Q4)</f>
        <v>3.30661125</v>
      </c>
      <c r="U4">
        <f>SQRT(D4^2+F4^2+H4^2+J4^2+L4^2+N4^2+P4^2+R4^2)/4</f>
        <v>0.57995156722350527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7"/>
  <sheetViews>
    <sheetView tabSelected="1" workbookViewId="0">
      <selection activeCell="H14" sqref="H14"/>
    </sheetView>
  </sheetViews>
  <sheetFormatPr defaultRowHeight="15"/>
  <cols>
    <col min="1" max="1" width="9.85546875" bestFit="1" customWidth="1"/>
    <col min="2" max="3" width="4.5703125" bestFit="1" customWidth="1"/>
    <col min="4" max="4" width="6.5703125" bestFit="1" customWidth="1"/>
    <col min="5" max="6" width="4.5703125" bestFit="1" customWidth="1"/>
    <col min="7" max="8" width="4.140625" bestFit="1" customWidth="1"/>
    <col min="9" max="9" width="4.140625" customWidth="1"/>
    <col min="10" max="11" width="4.5703125" bestFit="1" customWidth="1"/>
    <col min="12" max="12" width="9.5703125" bestFit="1" customWidth="1"/>
    <col min="13" max="13" width="5.5703125" bestFit="1" customWidth="1"/>
    <col min="14" max="14" width="6.5703125" bestFit="1" customWidth="1"/>
  </cols>
  <sheetData>
    <row r="1" spans="1:14" ht="18.75">
      <c r="A1" s="5" t="s">
        <v>31</v>
      </c>
      <c r="B1" s="5" t="s">
        <v>32</v>
      </c>
      <c r="C1" s="5" t="s">
        <v>33</v>
      </c>
      <c r="D1" s="5" t="s">
        <v>34</v>
      </c>
      <c r="E1" s="5" t="s">
        <v>35</v>
      </c>
      <c r="F1" s="5" t="s">
        <v>36</v>
      </c>
      <c r="G1" s="5" t="s">
        <v>37</v>
      </c>
      <c r="H1" s="5" t="s">
        <v>45</v>
      </c>
      <c r="I1" s="5" t="s">
        <v>44</v>
      </c>
      <c r="J1" s="5" t="s">
        <v>38</v>
      </c>
      <c r="K1" s="5" t="s">
        <v>46</v>
      </c>
      <c r="L1" s="5" t="s">
        <v>39</v>
      </c>
      <c r="M1" s="5" t="s">
        <v>40</v>
      </c>
      <c r="N1" s="4" t="s">
        <v>47</v>
      </c>
    </row>
    <row r="2" spans="1:14">
      <c r="A2" s="5" t="s">
        <v>41</v>
      </c>
      <c r="B2" s="5">
        <v>70</v>
      </c>
      <c r="C2" s="5" t="s">
        <v>42</v>
      </c>
      <c r="D2" s="5">
        <v>36.299999999999997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4" t="s">
        <v>42</v>
      </c>
    </row>
    <row r="3" spans="1:14">
      <c r="A3" s="5">
        <v>2</v>
      </c>
      <c r="B3" s="5">
        <v>72</v>
      </c>
      <c r="C3" s="5">
        <v>18</v>
      </c>
      <c r="D3" s="5">
        <v>35.6</v>
      </c>
      <c r="E3" s="6">
        <v>32.799999999999997</v>
      </c>
      <c r="F3" s="6">
        <f>(64*D3-3.5*E3)/60.5</f>
        <v>35.76198347107438</v>
      </c>
      <c r="G3" s="5">
        <v>3.5</v>
      </c>
      <c r="H3" s="5">
        <v>9.1999999999999993</v>
      </c>
      <c r="I3" s="6">
        <f>SQRT(1876/PI()/H3)</f>
        <v>8.056521436758894</v>
      </c>
      <c r="J3" s="6">
        <f>(-I3+SQRT(I3^2+4*(3*38.3*38.3*(18.15-D3/2)/G3-81)))/2</f>
        <v>15.344242589537064</v>
      </c>
      <c r="K3" s="6">
        <f t="shared" ref="K3:K10" si="0">E3-$D$2/2</f>
        <v>14.649999999999999</v>
      </c>
      <c r="L3" s="5">
        <v>15.5</v>
      </c>
      <c r="M3" s="6">
        <v>18</v>
      </c>
      <c r="N3" s="8">
        <f>1/M3</f>
        <v>5.5555555555555552E-2</v>
      </c>
    </row>
    <row r="4" spans="1:14">
      <c r="A4" s="5">
        <v>2</v>
      </c>
      <c r="B4" s="5">
        <v>72</v>
      </c>
      <c r="C4" s="5">
        <v>16</v>
      </c>
      <c r="D4" s="5">
        <v>36.1</v>
      </c>
      <c r="E4" s="6">
        <v>33</v>
      </c>
      <c r="F4" s="6">
        <f t="shared" ref="F4:F6" si="1">(64*D4-3.5*E4)/60.5</f>
        <v>36.279338842975207</v>
      </c>
      <c r="G4" s="5">
        <v>3.3</v>
      </c>
      <c r="H4" s="5">
        <v>9.4</v>
      </c>
      <c r="I4" s="6">
        <f t="shared" ref="I4:I10" si="2">SQRT(1876/PI()/H4)</f>
        <v>7.9703529546288463</v>
      </c>
      <c r="J4" s="7">
        <v>8</v>
      </c>
      <c r="K4" s="6">
        <f t="shared" si="0"/>
        <v>14.850000000000001</v>
      </c>
      <c r="L4" s="5">
        <v>14.5</v>
      </c>
      <c r="M4" s="6">
        <v>24.9</v>
      </c>
      <c r="N4" s="8">
        <f t="shared" ref="N4:N10" si="3">1/M4</f>
        <v>4.0160642570281124E-2</v>
      </c>
    </row>
    <row r="5" spans="1:14">
      <c r="A5" s="5">
        <v>2</v>
      </c>
      <c r="B5" s="5">
        <v>74</v>
      </c>
      <c r="C5" s="5">
        <v>18</v>
      </c>
      <c r="D5" s="5">
        <v>35</v>
      </c>
      <c r="E5" s="6">
        <v>33</v>
      </c>
      <c r="F5" s="6">
        <f t="shared" si="1"/>
        <v>35.115702479338843</v>
      </c>
      <c r="G5" s="5">
        <v>3.3</v>
      </c>
      <c r="H5" s="5">
        <v>8.6</v>
      </c>
      <c r="I5" s="6">
        <f t="shared" si="2"/>
        <v>8.3328248824166611</v>
      </c>
      <c r="J5" s="6">
        <f t="shared" ref="J4:J6" si="4">(-I5+SQRT(I5^2+4*(3*38.3*38.3*(18.15-D5/2)/G5-81)))/2</f>
        <v>24.173623356120682</v>
      </c>
      <c r="K5" s="6">
        <f t="shared" si="0"/>
        <v>14.850000000000001</v>
      </c>
      <c r="L5" s="5">
        <v>16.5</v>
      </c>
      <c r="M5" s="6">
        <v>21.3</v>
      </c>
      <c r="N5" s="8">
        <f t="shared" si="3"/>
        <v>4.6948356807511735E-2</v>
      </c>
    </row>
    <row r="6" spans="1:14">
      <c r="A6" s="5">
        <v>2</v>
      </c>
      <c r="B6" s="5">
        <v>74</v>
      </c>
      <c r="C6" s="5">
        <v>16</v>
      </c>
      <c r="D6" s="5">
        <v>35</v>
      </c>
      <c r="E6" s="6">
        <v>32.1</v>
      </c>
      <c r="F6" s="6">
        <f t="shared" si="1"/>
        <v>35.167768595041323</v>
      </c>
      <c r="G6" s="5">
        <v>4.2</v>
      </c>
      <c r="H6" s="5">
        <v>7.6</v>
      </c>
      <c r="I6" s="6">
        <f t="shared" si="2"/>
        <v>8.8641007683624107</v>
      </c>
      <c r="J6" s="6">
        <f t="shared" si="4"/>
        <v>20.461706705428441</v>
      </c>
      <c r="K6" s="6">
        <f t="shared" si="0"/>
        <v>13.950000000000003</v>
      </c>
      <c r="L6" s="5">
        <v>13.5</v>
      </c>
      <c r="M6" s="6">
        <v>25.9</v>
      </c>
      <c r="N6" s="8">
        <f t="shared" si="3"/>
        <v>3.8610038610038609E-2</v>
      </c>
    </row>
    <row r="7" spans="1:14">
      <c r="A7" s="5">
        <v>4</v>
      </c>
      <c r="B7" s="5">
        <v>74</v>
      </c>
      <c r="C7" s="5">
        <v>18</v>
      </c>
      <c r="D7" s="5">
        <v>35.299999999999997</v>
      </c>
      <c r="E7" s="6">
        <v>32.6</v>
      </c>
      <c r="F7" s="5" t="s">
        <v>42</v>
      </c>
      <c r="G7" s="5">
        <v>3.7</v>
      </c>
      <c r="H7" s="5">
        <v>7.6</v>
      </c>
      <c r="I7" s="6">
        <f t="shared" si="2"/>
        <v>8.8641007683624107</v>
      </c>
      <c r="J7" s="5" t="s">
        <v>42</v>
      </c>
      <c r="K7" s="6">
        <f t="shared" si="0"/>
        <v>14.450000000000003</v>
      </c>
      <c r="L7" s="5">
        <v>15.5</v>
      </c>
      <c r="M7" s="6">
        <v>24.3</v>
      </c>
      <c r="N7" s="8">
        <f t="shared" si="3"/>
        <v>4.1152263374485597E-2</v>
      </c>
    </row>
    <row r="8" spans="1:14">
      <c r="A8" s="5">
        <v>4</v>
      </c>
      <c r="B8" s="5">
        <v>74</v>
      </c>
      <c r="C8" s="5">
        <v>16</v>
      </c>
      <c r="D8" s="5">
        <v>35.299999999999997</v>
      </c>
      <c r="E8" s="6">
        <v>31.2</v>
      </c>
      <c r="F8" s="5" t="s">
        <v>42</v>
      </c>
      <c r="G8" s="5">
        <v>5.0999999999999996</v>
      </c>
      <c r="H8" s="5">
        <v>7.7</v>
      </c>
      <c r="I8" s="6">
        <f>SQRT(1876/PI()/H8)</f>
        <v>8.8063535688344672</v>
      </c>
      <c r="J8" s="5" t="s">
        <v>42</v>
      </c>
      <c r="K8" s="6">
        <f t="shared" si="0"/>
        <v>13.05</v>
      </c>
      <c r="L8" s="5">
        <v>13.5</v>
      </c>
      <c r="M8" s="6">
        <v>40.1</v>
      </c>
      <c r="N8" s="8">
        <f t="shared" si="3"/>
        <v>2.4937655860349125E-2</v>
      </c>
    </row>
    <row r="9" spans="1:14">
      <c r="A9" s="5">
        <v>4</v>
      </c>
      <c r="B9" s="5">
        <v>76</v>
      </c>
      <c r="C9" s="5">
        <v>18</v>
      </c>
      <c r="D9" s="5">
        <v>34.200000000000003</v>
      </c>
      <c r="E9" s="6">
        <v>32</v>
      </c>
      <c r="F9" s="5" t="s">
        <v>42</v>
      </c>
      <c r="G9" s="5">
        <v>4.3</v>
      </c>
      <c r="H9" s="5">
        <v>7.6</v>
      </c>
      <c r="I9" s="6">
        <f t="shared" si="2"/>
        <v>8.8641007683624107</v>
      </c>
      <c r="J9" s="5" t="s">
        <v>42</v>
      </c>
      <c r="K9" s="6">
        <f t="shared" si="0"/>
        <v>13.850000000000001</v>
      </c>
      <c r="L9" s="5">
        <v>16.5</v>
      </c>
      <c r="M9" s="6">
        <v>14.8</v>
      </c>
      <c r="N9" s="8">
        <f t="shared" si="3"/>
        <v>6.7567567567567557E-2</v>
      </c>
    </row>
    <row r="10" spans="1:14">
      <c r="A10" s="5">
        <v>4</v>
      </c>
      <c r="B10" s="5">
        <v>76</v>
      </c>
      <c r="C10" s="5">
        <v>16</v>
      </c>
      <c r="D10" s="5">
        <v>34.9</v>
      </c>
      <c r="E10" s="6">
        <v>31.4</v>
      </c>
      <c r="F10" s="5" t="s">
        <v>42</v>
      </c>
      <c r="G10" s="5">
        <v>4.9000000000000004</v>
      </c>
      <c r="H10" s="5">
        <v>7.8</v>
      </c>
      <c r="I10" s="6">
        <f t="shared" si="2"/>
        <v>8.7497204825741939</v>
      </c>
      <c r="J10" s="5" t="s">
        <v>42</v>
      </c>
      <c r="K10" s="6">
        <f t="shared" si="0"/>
        <v>13.25</v>
      </c>
      <c r="L10" s="5">
        <v>14.5</v>
      </c>
      <c r="M10" s="6">
        <v>30.4</v>
      </c>
      <c r="N10" s="8">
        <f t="shared" si="3"/>
        <v>3.2894736842105261E-2</v>
      </c>
    </row>
    <row r="11" spans="1:14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>
      <c r="A12" s="10" t="s">
        <v>43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>
      <c r="A13" s="9" t="s">
        <v>48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>
      <c r="A14" s="11">
        <v>2</v>
      </c>
      <c r="B14" s="12">
        <f>($N3*B3+$N4*B4+$N5*B5+$N6*B6)/(SUM($N3:$N6))</f>
        <v>72.943964553941456</v>
      </c>
      <c r="C14" s="12">
        <f>($N3*C3+$N4*C4+$N5*C5+$N6*C6)/(SUM($N3:$N6))</f>
        <v>17.130924200235857</v>
      </c>
      <c r="D14" s="12">
        <f t="shared" ref="D14:L14" si="5">($N3*D3+$N4*D4+$N5*D5+$N6*D6)/(SUM($N3:$N6))</f>
        <v>35.427583582704834</v>
      </c>
      <c r="E14" s="12">
        <f t="shared" si="5"/>
        <v>32.747012833052253</v>
      </c>
      <c r="F14" s="12">
        <f t="shared" si="5"/>
        <v>35.582657923593821</v>
      </c>
      <c r="G14" s="12">
        <f t="shared" si="5"/>
        <v>3.5529871669477475</v>
      </c>
      <c r="H14" s="12">
        <f t="shared" si="5"/>
        <v>8.7481278112649168</v>
      </c>
      <c r="I14" s="12">
        <f>($N3*I3+$N4*I4+$N5*I5+$N6*I6)/(SUM($N3:$N6))</f>
        <v>8.2809990070609825</v>
      </c>
      <c r="J14" s="12">
        <f t="shared" si="5"/>
        <v>17.093858450930558</v>
      </c>
      <c r="K14" s="12">
        <f t="shared" si="5"/>
        <v>14.597012833052258</v>
      </c>
      <c r="L14" s="12">
        <f t="shared" si="5"/>
        <v>15.11146037287355</v>
      </c>
      <c r="M14" s="9"/>
      <c r="N14" s="9"/>
    </row>
    <row r="15" spans="1:14">
      <c r="A15" s="11">
        <v>4</v>
      </c>
      <c r="B15" s="12">
        <f>($N7*B7+$N8*B8+$N9*B9+$N10*B10)/(SUM($N7:$N10))</f>
        <v>75.206376020822177</v>
      </c>
      <c r="C15" s="12">
        <f t="shared" ref="C15:L15" si="6">($N7*C7+$N8*C8+$N9*C9+$N10*C10)/(SUM($N7:$N10))</f>
        <v>17.305534427136884</v>
      </c>
      <c r="D15" s="12">
        <f t="shared" si="6"/>
        <v>34.774746015712822</v>
      </c>
      <c r="E15" s="12">
        <f t="shared" si="6"/>
        <v>31.909964523794901</v>
      </c>
      <c r="F15" s="12" t="s">
        <v>42</v>
      </c>
      <c r="G15" s="12">
        <f t="shared" si="6"/>
        <v>4.3900354762050968</v>
      </c>
      <c r="H15" s="12">
        <f t="shared" si="6"/>
        <v>7.6544736825238715</v>
      </c>
      <c r="I15" s="12">
        <f t="shared" si="6"/>
        <v>8.8328637840951831</v>
      </c>
      <c r="J15" s="12" t="s">
        <v>42</v>
      </c>
      <c r="K15" s="12">
        <f t="shared" si="6"/>
        <v>13.759964523794906</v>
      </c>
      <c r="L15" s="12">
        <f t="shared" si="6"/>
        <v>15.40872243754797</v>
      </c>
      <c r="M15" s="9"/>
      <c r="N15" s="9"/>
    </row>
    <row r="17" spans="1:1">
      <c r="A17" t="s">
        <v>49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Unknown Organization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kiyo</cp:lastModifiedBy>
  <cp:lastPrinted>2014-03-17T17:50:34Z</cp:lastPrinted>
  <dcterms:created xsi:type="dcterms:W3CDTF">2014-03-17T15:06:00Z</dcterms:created>
  <dcterms:modified xsi:type="dcterms:W3CDTF">2014-03-24T23:52:47Z</dcterms:modified>
</cp:coreProperties>
</file>