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開発用フォルダ\data\projects\0055_equity-research-workbook\TXN_20261023\"/>
    </mc:Choice>
  </mc:AlternateContent>
  <xr:revisionPtr revIDLastSave="0" documentId="13_ncr:1_{0181342E-4A42-416F-BF95-A98FCF0909E6}" xr6:coauthVersionLast="47" xr6:coauthVersionMax="47" xr10:uidLastSave="{00000000-0000-0000-0000-000000000000}"/>
  <bookViews>
    <workbookView xWindow="-120" yWindow="-120" windowWidth="29040" windowHeight="15720" xr2:uid="{00000000-000D-0000-FFFF-FFFF00000000}"/>
  </bookViews>
  <sheets>
    <sheet name="表紙" sheetId="1" r:id="rId1"/>
    <sheet name="1_企業分析" sheetId="2" r:id="rId2"/>
    <sheet name="2_投資判断" sheetId="3" r:id="rId3"/>
    <sheet name="3_Summary" sheetId="4" r:id="rId4"/>
    <sheet name="3_PL" sheetId="5" r:id="rId5"/>
    <sheet name="3_BS" sheetId="6" r:id="rId6"/>
    <sheet name="3_CF" sheetId="7" r:id="rId7"/>
    <sheet name="3_セグメント売上" sheetId="8" r:id="rId8"/>
    <sheet name="3_地域別売上" sheetId="9" r:id="rId9"/>
    <sheet name="3_Forecast" sheetId="10" r:id="rId10"/>
    <sheet name="3_Assumptions" sheetId="11" r:id="rId11"/>
    <sheet name="計算_DCF" sheetId="12" r:id="rId12"/>
    <sheet name="計算_シナリオ" sheetId="13" r:id="rId13"/>
    <sheet name="データ_株価" sheetId="14" r:id="rId14"/>
    <sheet name="データ_類似企業" sheetId="15" r:id="rId15"/>
    <sheet name="データ_セグメント" sheetId="16" r:id="rId16"/>
    <sheet name="データ_市況" sheetId="17" r:id="rId17"/>
    <sheet name="データ_財務" sheetId="18" r:id="rId18"/>
    <sheet name="データ_整合検査" sheetId="19" r:id="rId19"/>
    <sheet name="出典" sheetId="20" r:id="rId20"/>
    <sheet name="検証" sheetId="21" r:id="rId21"/>
  </sheets>
  <definedNames>
    <definedName name="ERW_DCF_PRICE">計算_DCF!$C$53</definedName>
    <definedName name="ERW_EXPECTED">計算_シナリオ!$D$8</definedName>
    <definedName name="ERW_FCF1">計算_DCF!$C$41</definedName>
    <definedName name="ERW_FM_CHECKS">データ_整合検査!$D$6:$K$11</definedName>
    <definedName name="ERW_FM_OP1">'3_Forecast'!$I$14</definedName>
    <definedName name="ERW_LIVE">検証!$F$18:$F$29</definedName>
    <definedName name="ERW_LIVE_LABELS">検証!$B$18:$B$29</definedName>
    <definedName name="ERW_PRICE_BASE">計算_シナリオ!$C$67</definedName>
    <definedName name="ERW_PRICE_BEAR">計算_シナリオ!$C$189</definedName>
    <definedName name="ERW_PRICE_BULL">計算_シナリオ!$C$128</definedName>
    <definedName name="ERW_REV1">計算_DCF!$C$33</definedName>
    <definedName name="ERW_SCEN">'2_投資判断'!$C$4</definedName>
    <definedName name="ERW_SENS1">計算_DCF!$E$66</definedName>
    <definedName name="ERW_SENS2">計算_DCF!$E$76</definedName>
    <definedName name="ERW_TARGET">'2_投資判断'!$C$150</definedName>
    <definedName name="_xlnm.Print_Area" localSheetId="1">'1_企業分析'!$A$1:$M$376</definedName>
    <definedName name="_xlnm.Print_Area" localSheetId="2">'2_投資判断'!$A$1:$N$217</definedName>
    <definedName name="_xlnm.Print_Area" localSheetId="10">'3_Assumptions'!$A$1:$K$50,'3_Assumptions'!$M$4:$Y$17</definedName>
    <definedName name="_xlnm.Print_Area" localSheetId="15">データ_セグメント!$A$1:$I$12</definedName>
    <definedName name="_xlnm.Print_Area" localSheetId="13">データ_株価!$A$1:$X$1259</definedName>
    <definedName name="_xlnm.Print_Area" localSheetId="16">データ_市況!$A$1:$P$66</definedName>
    <definedName name="_xlnm.Print_Area" localSheetId="11">計算_DCF!$A$1:$N$81</definedName>
    <definedName name="_xlnm.Print_Area" localSheetId="12">計算_シナリオ!$A$1:$N$193</definedName>
    <definedName name="_xlnm.Print_Area" localSheetId="0">表紙!$A$1:$D$39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21" l="1"/>
  <c r="E28" i="21"/>
  <c r="E27" i="21"/>
  <c r="E26" i="21"/>
  <c r="E25" i="21"/>
  <c r="E24" i="21"/>
  <c r="E23" i="21"/>
  <c r="D23" i="21"/>
  <c r="C23" i="21"/>
  <c r="F23" i="21" s="1"/>
  <c r="E22" i="21"/>
  <c r="E21" i="21"/>
  <c r="E20" i="21"/>
  <c r="E19" i="21"/>
  <c r="E18" i="21"/>
  <c r="C8" i="16"/>
  <c r="F7" i="16"/>
  <c r="F6" i="16"/>
  <c r="F5" i="16"/>
  <c r="C186" i="13"/>
  <c r="C185" i="13"/>
  <c r="C184" i="13"/>
  <c r="E163" i="13"/>
  <c r="D163" i="13"/>
  <c r="C163" i="13"/>
  <c r="E161" i="13"/>
  <c r="D161" i="13"/>
  <c r="C161" i="13"/>
  <c r="E154" i="13"/>
  <c r="D154" i="13"/>
  <c r="C154" i="13"/>
  <c r="E153" i="13"/>
  <c r="D153" i="13"/>
  <c r="C153" i="13"/>
  <c r="E152" i="13"/>
  <c r="D152" i="13"/>
  <c r="C152" i="13"/>
  <c r="E151" i="13"/>
  <c r="D151" i="13"/>
  <c r="C151" i="13"/>
  <c r="E148" i="13"/>
  <c r="D148" i="13"/>
  <c r="C148" i="13"/>
  <c r="E147" i="13"/>
  <c r="D147" i="13"/>
  <c r="C147" i="13"/>
  <c r="E146" i="13"/>
  <c r="D146" i="13"/>
  <c r="C146" i="13"/>
  <c r="E145" i="13"/>
  <c r="D145" i="13"/>
  <c r="C145" i="13"/>
  <c r="E142" i="13"/>
  <c r="D142" i="13"/>
  <c r="C142" i="13"/>
  <c r="E140" i="13"/>
  <c r="D140" i="13"/>
  <c r="C140" i="13"/>
  <c r="E138" i="13"/>
  <c r="D138" i="13"/>
  <c r="C138" i="13"/>
  <c r="E137" i="13"/>
  <c r="D137" i="13"/>
  <c r="C137" i="13"/>
  <c r="C125" i="13"/>
  <c r="C124" i="13"/>
  <c r="C123" i="13"/>
  <c r="E102" i="13"/>
  <c r="D102" i="13"/>
  <c r="C102" i="13"/>
  <c r="E100" i="13"/>
  <c r="D100" i="13"/>
  <c r="C100" i="13"/>
  <c r="E93" i="13"/>
  <c r="D93" i="13"/>
  <c r="C93" i="13"/>
  <c r="E92" i="13"/>
  <c r="D92" i="13"/>
  <c r="C92" i="13"/>
  <c r="E91" i="13"/>
  <c r="D91" i="13"/>
  <c r="C91" i="13"/>
  <c r="E90" i="13"/>
  <c r="D90" i="13"/>
  <c r="C90" i="13"/>
  <c r="E87" i="13"/>
  <c r="D87" i="13"/>
  <c r="C87" i="13"/>
  <c r="E86" i="13"/>
  <c r="D86" i="13"/>
  <c r="C86" i="13"/>
  <c r="E85" i="13"/>
  <c r="D85" i="13"/>
  <c r="C85" i="13"/>
  <c r="E84" i="13"/>
  <c r="D84" i="13"/>
  <c r="C84" i="13"/>
  <c r="E81" i="13"/>
  <c r="D81" i="13"/>
  <c r="C81" i="13"/>
  <c r="E79" i="13"/>
  <c r="D79" i="13"/>
  <c r="C79" i="13"/>
  <c r="E77" i="13"/>
  <c r="D77" i="13"/>
  <c r="C77" i="13"/>
  <c r="E76" i="13"/>
  <c r="D76" i="13"/>
  <c r="C76" i="13"/>
  <c r="C64" i="13"/>
  <c r="C63" i="13"/>
  <c r="C62" i="13"/>
  <c r="E41" i="13"/>
  <c r="D41" i="13"/>
  <c r="C41" i="13"/>
  <c r="E39" i="13"/>
  <c r="D39" i="13"/>
  <c r="C39" i="13"/>
  <c r="E32" i="13"/>
  <c r="D32" i="13"/>
  <c r="C32" i="13"/>
  <c r="E31" i="13"/>
  <c r="D31" i="13"/>
  <c r="C31" i="13"/>
  <c r="E30" i="13"/>
  <c r="D30" i="13"/>
  <c r="C30" i="13"/>
  <c r="E29" i="13"/>
  <c r="D29" i="13"/>
  <c r="C29" i="13"/>
  <c r="E26" i="13"/>
  <c r="D26" i="13"/>
  <c r="C26" i="13"/>
  <c r="E25" i="13"/>
  <c r="D25" i="13"/>
  <c r="C25" i="13"/>
  <c r="E24" i="13"/>
  <c r="D24" i="13"/>
  <c r="C24" i="13"/>
  <c r="E23" i="13"/>
  <c r="D23" i="13"/>
  <c r="C23" i="13"/>
  <c r="E20" i="13"/>
  <c r="D20" i="13"/>
  <c r="C20" i="13"/>
  <c r="E18" i="13"/>
  <c r="D18" i="13"/>
  <c r="C18" i="13"/>
  <c r="E16" i="13"/>
  <c r="D16" i="13"/>
  <c r="C16" i="13"/>
  <c r="E15" i="13"/>
  <c r="D15" i="13"/>
  <c r="C15" i="13"/>
  <c r="C8" i="13"/>
  <c r="C175" i="3" s="1"/>
  <c r="G63" i="12"/>
  <c r="G201" i="3" s="1"/>
  <c r="F63" i="12"/>
  <c r="F201" i="3" s="1"/>
  <c r="E63" i="12"/>
  <c r="E201" i="3" s="1"/>
  <c r="D63" i="12"/>
  <c r="D201" i="3" s="1"/>
  <c r="C63" i="12"/>
  <c r="C201" i="3" s="1"/>
  <c r="C50" i="12"/>
  <c r="C193" i="3" s="1"/>
  <c r="C49" i="12"/>
  <c r="C192" i="3" s="1"/>
  <c r="C48" i="12"/>
  <c r="C191" i="3" s="1"/>
  <c r="C26" i="12"/>
  <c r="C24" i="12"/>
  <c r="C10" i="12"/>
  <c r="F31" i="11"/>
  <c r="E31" i="11"/>
  <c r="D31" i="11"/>
  <c r="F30" i="11"/>
  <c r="E30" i="11"/>
  <c r="D30" i="11"/>
  <c r="F29" i="11"/>
  <c r="E29" i="11"/>
  <c r="D29" i="11"/>
  <c r="F17" i="11"/>
  <c r="E17" i="11"/>
  <c r="D17" i="11"/>
  <c r="F15" i="11"/>
  <c r="E15" i="11"/>
  <c r="D15" i="11"/>
  <c r="F12" i="11"/>
  <c r="E12" i="11"/>
  <c r="D12" i="11"/>
  <c r="F9" i="11"/>
  <c r="E9" i="11"/>
  <c r="D9" i="11"/>
  <c r="F8" i="11"/>
  <c r="E8" i="11"/>
  <c r="D8" i="11"/>
  <c r="F7" i="11"/>
  <c r="E7" i="11"/>
  <c r="D7" i="11"/>
  <c r="F6" i="11"/>
  <c r="E6" i="11"/>
  <c r="D6" i="11"/>
  <c r="K42" i="10"/>
  <c r="J42" i="10"/>
  <c r="I42" i="10"/>
  <c r="K41" i="10"/>
  <c r="J41" i="10"/>
  <c r="I41" i="10"/>
  <c r="K40" i="10"/>
  <c r="J40" i="10"/>
  <c r="I40" i="10"/>
  <c r="K39" i="10"/>
  <c r="J39" i="10"/>
  <c r="I39" i="10"/>
  <c r="I16" i="10"/>
  <c r="K15" i="10"/>
  <c r="J15" i="10"/>
  <c r="I15" i="10"/>
  <c r="H12" i="9"/>
  <c r="G12" i="9"/>
  <c r="F12" i="9"/>
  <c r="E12" i="9"/>
  <c r="D12" i="9"/>
  <c r="H11" i="9"/>
  <c r="G11" i="9"/>
  <c r="F11" i="9"/>
  <c r="E11" i="9"/>
  <c r="D11" i="9"/>
  <c r="H10" i="9"/>
  <c r="G10" i="9"/>
  <c r="F10" i="9"/>
  <c r="E10" i="9"/>
  <c r="D10" i="9"/>
  <c r="H9" i="9"/>
  <c r="G9" i="9"/>
  <c r="F9" i="9"/>
  <c r="E9" i="9"/>
  <c r="D9" i="9"/>
  <c r="H8" i="9"/>
  <c r="G8" i="9"/>
  <c r="F8" i="9"/>
  <c r="E8" i="9"/>
  <c r="D8" i="9"/>
  <c r="H7" i="9"/>
  <c r="G7" i="9"/>
  <c r="F7" i="9"/>
  <c r="E7" i="9"/>
  <c r="D7" i="9"/>
  <c r="H6" i="9"/>
  <c r="G6" i="9"/>
  <c r="F6" i="9"/>
  <c r="E6" i="9"/>
  <c r="D6" i="9"/>
  <c r="H9" i="8"/>
  <c r="G9" i="8"/>
  <c r="F9" i="8"/>
  <c r="E9" i="8"/>
  <c r="D9" i="8"/>
  <c r="H8" i="8"/>
  <c r="G8" i="8"/>
  <c r="F8" i="8"/>
  <c r="E8" i="8"/>
  <c r="D8" i="8"/>
  <c r="H7" i="8"/>
  <c r="G7" i="8"/>
  <c r="F7" i="8"/>
  <c r="E7" i="8"/>
  <c r="D7" i="8"/>
  <c r="H6" i="8"/>
  <c r="G6" i="8"/>
  <c r="G11" i="8" s="1"/>
  <c r="F6" i="8"/>
  <c r="F11" i="8" s="1"/>
  <c r="E6" i="8"/>
  <c r="E11" i="8" s="1"/>
  <c r="D6" i="8"/>
  <c r="D11" i="8" s="1"/>
  <c r="H16" i="7"/>
  <c r="G16" i="7"/>
  <c r="G14" i="4" s="1"/>
  <c r="F16" i="7"/>
  <c r="F14" i="4" s="1"/>
  <c r="E16" i="7"/>
  <c r="E14" i="4" s="1"/>
  <c r="D16" i="7"/>
  <c r="D14" i="4" s="1"/>
  <c r="H15" i="7"/>
  <c r="H47" i="10" s="1"/>
  <c r="G15" i="7"/>
  <c r="F15" i="7"/>
  <c r="E15" i="7"/>
  <c r="D15" i="7"/>
  <c r="K14" i="7"/>
  <c r="J14" i="7"/>
  <c r="I14" i="7"/>
  <c r="H14" i="7"/>
  <c r="H46" i="10" s="1"/>
  <c r="G14" i="7"/>
  <c r="F14" i="7"/>
  <c r="E14" i="7"/>
  <c r="D14" i="7"/>
  <c r="K13" i="7"/>
  <c r="J13" i="7"/>
  <c r="I13" i="7"/>
  <c r="H13" i="7"/>
  <c r="G13" i="7"/>
  <c r="F13" i="7"/>
  <c r="E13" i="7"/>
  <c r="D13" i="7"/>
  <c r="H12" i="7"/>
  <c r="G12" i="7"/>
  <c r="G13" i="4" s="1"/>
  <c r="F12" i="7"/>
  <c r="F13" i="4" s="1"/>
  <c r="E12" i="7"/>
  <c r="E13" i="4" s="1"/>
  <c r="D12" i="7"/>
  <c r="D13" i="4" s="1"/>
  <c r="H11" i="7"/>
  <c r="G11" i="7"/>
  <c r="F11" i="7"/>
  <c r="E11" i="7"/>
  <c r="D11" i="7"/>
  <c r="H10" i="7"/>
  <c r="G10" i="7"/>
  <c r="G12" i="4" s="1"/>
  <c r="F10" i="7"/>
  <c r="F12" i="4" s="1"/>
  <c r="E10" i="7"/>
  <c r="E12" i="4" s="1"/>
  <c r="D10" i="7"/>
  <c r="D12" i="4" s="1"/>
  <c r="F9" i="7"/>
  <c r="E9" i="7"/>
  <c r="D9" i="7"/>
  <c r="H8" i="7"/>
  <c r="G8" i="7"/>
  <c r="F8" i="7"/>
  <c r="E8" i="7"/>
  <c r="D8" i="7"/>
  <c r="H7" i="7"/>
  <c r="H32" i="10" s="1"/>
  <c r="G7" i="7"/>
  <c r="F7" i="7"/>
  <c r="E7" i="7"/>
  <c r="D7" i="7"/>
  <c r="H6" i="7"/>
  <c r="G6" i="7"/>
  <c r="F6" i="7"/>
  <c r="E6" i="7"/>
  <c r="D6" i="7"/>
  <c r="H16" i="6"/>
  <c r="G16" i="6"/>
  <c r="G10" i="4" s="1"/>
  <c r="F16" i="6"/>
  <c r="F10" i="4" s="1"/>
  <c r="E16" i="6"/>
  <c r="E10" i="4" s="1"/>
  <c r="D16" i="6"/>
  <c r="D10" i="4" s="1"/>
  <c r="H15" i="6"/>
  <c r="G15" i="6"/>
  <c r="F15" i="6"/>
  <c r="E15" i="6"/>
  <c r="D15" i="6"/>
  <c r="H14" i="6"/>
  <c r="G14" i="6"/>
  <c r="F14" i="6"/>
  <c r="E14" i="6"/>
  <c r="D14" i="6"/>
  <c r="H13" i="6"/>
  <c r="H26" i="10" s="1"/>
  <c r="G13" i="6"/>
  <c r="F13" i="6"/>
  <c r="E13" i="6"/>
  <c r="D13" i="6"/>
  <c r="H12" i="6"/>
  <c r="G12" i="6"/>
  <c r="G9" i="4" s="1"/>
  <c r="F12" i="6"/>
  <c r="F9" i="4" s="1"/>
  <c r="E12" i="6"/>
  <c r="E9" i="4" s="1"/>
  <c r="D12" i="6"/>
  <c r="D9" i="4" s="1"/>
  <c r="H11" i="6"/>
  <c r="H34" i="10" s="1"/>
  <c r="G11" i="6"/>
  <c r="F11" i="6"/>
  <c r="E11" i="6"/>
  <c r="D11" i="6"/>
  <c r="H10" i="6"/>
  <c r="H33" i="10" s="1"/>
  <c r="G10" i="6"/>
  <c r="F10" i="6"/>
  <c r="E10" i="6"/>
  <c r="D10" i="6"/>
  <c r="H9" i="6"/>
  <c r="G9" i="6"/>
  <c r="F9" i="6"/>
  <c r="E9" i="6"/>
  <c r="D9" i="6"/>
  <c r="H8" i="6"/>
  <c r="H25" i="10" s="1"/>
  <c r="G8" i="6"/>
  <c r="F8" i="6"/>
  <c r="E8" i="6"/>
  <c r="D8" i="6"/>
  <c r="H7" i="6"/>
  <c r="H24" i="10" s="1"/>
  <c r="G7" i="6"/>
  <c r="F7" i="6"/>
  <c r="E7" i="6"/>
  <c r="D7" i="6"/>
  <c r="H6" i="6"/>
  <c r="H52" i="10" s="1"/>
  <c r="G6" i="6"/>
  <c r="F6" i="6"/>
  <c r="E6" i="6"/>
  <c r="D6" i="6"/>
  <c r="H17" i="5"/>
  <c r="G17" i="5"/>
  <c r="F17" i="5"/>
  <c r="E17" i="5"/>
  <c r="D17" i="5"/>
  <c r="H16" i="5"/>
  <c r="G16" i="5"/>
  <c r="F16" i="5"/>
  <c r="E16" i="5"/>
  <c r="D16" i="5"/>
  <c r="H15" i="5"/>
  <c r="H19" i="10" s="1"/>
  <c r="G15" i="5"/>
  <c r="F15" i="5"/>
  <c r="E15" i="5"/>
  <c r="D15" i="5"/>
  <c r="H14" i="5"/>
  <c r="H18" i="10" s="1"/>
  <c r="G14" i="5"/>
  <c r="F14" i="5"/>
  <c r="E14" i="5"/>
  <c r="D14" i="5"/>
  <c r="H13" i="5"/>
  <c r="H17" i="10" s="1"/>
  <c r="G13" i="5"/>
  <c r="F13" i="5"/>
  <c r="E13" i="5"/>
  <c r="D13" i="5"/>
  <c r="H12" i="5"/>
  <c r="G12" i="5"/>
  <c r="F12" i="5"/>
  <c r="F7" i="4" s="1"/>
  <c r="E12" i="5"/>
  <c r="D12" i="5"/>
  <c r="H10" i="5"/>
  <c r="G10" i="5"/>
  <c r="F10" i="5"/>
  <c r="E10" i="5"/>
  <c r="D10" i="5"/>
  <c r="H9" i="5"/>
  <c r="H11" i="10" s="1"/>
  <c r="G9" i="5"/>
  <c r="F9" i="5"/>
  <c r="E9" i="5"/>
  <c r="D9" i="5"/>
  <c r="H8" i="5"/>
  <c r="G8" i="5"/>
  <c r="F8" i="5"/>
  <c r="E8" i="5"/>
  <c r="D8" i="5"/>
  <c r="H7" i="5"/>
  <c r="H9" i="10" s="1"/>
  <c r="G7" i="5"/>
  <c r="F7" i="5"/>
  <c r="E7" i="5"/>
  <c r="D7" i="5"/>
  <c r="H6" i="5"/>
  <c r="H7" i="19" s="1"/>
  <c r="G6" i="5"/>
  <c r="F6" i="5"/>
  <c r="F20" i="4" s="1"/>
  <c r="E6" i="5"/>
  <c r="D6" i="5"/>
  <c r="F142" i="3" s="1"/>
  <c r="H20" i="4"/>
  <c r="C185" i="3"/>
  <c r="C184" i="3"/>
  <c r="C183" i="3"/>
  <c r="C174" i="3"/>
  <c r="C173" i="3"/>
  <c r="C172" i="3"/>
  <c r="L143" i="3"/>
  <c r="K143" i="3"/>
  <c r="C11" i="3"/>
  <c r="D4" i="3"/>
  <c r="K319" i="2"/>
  <c r="I319" i="2"/>
  <c r="H319" i="2"/>
  <c r="F319" i="2"/>
  <c r="G319" i="2" s="1"/>
  <c r="E319" i="2"/>
  <c r="K318" i="2"/>
  <c r="I318" i="2"/>
  <c r="H318" i="2"/>
  <c r="J318" i="2" s="1"/>
  <c r="F318" i="2"/>
  <c r="G318" i="2" s="1"/>
  <c r="E318" i="2"/>
  <c r="K317" i="2"/>
  <c r="I317" i="2"/>
  <c r="H317" i="2"/>
  <c r="F317" i="2"/>
  <c r="G317" i="2" s="1"/>
  <c r="E317" i="2"/>
  <c r="K316" i="2"/>
  <c r="I316" i="2"/>
  <c r="H316" i="2"/>
  <c r="F316" i="2"/>
  <c r="G316" i="2" s="1"/>
  <c r="E316" i="2"/>
  <c r="K315" i="2"/>
  <c r="I315" i="2"/>
  <c r="H315" i="2"/>
  <c r="F315" i="2"/>
  <c r="G315" i="2" s="1"/>
  <c r="E315" i="2"/>
  <c r="L143" i="2"/>
  <c r="K143" i="2"/>
  <c r="L142" i="2"/>
  <c r="K142" i="2"/>
  <c r="L141" i="2"/>
  <c r="K141" i="2"/>
  <c r="L107" i="2"/>
  <c r="K107" i="2"/>
  <c r="J107" i="2"/>
  <c r="I107" i="2"/>
  <c r="H107" i="2"/>
  <c r="G107" i="2"/>
  <c r="F107" i="2"/>
  <c r="E107" i="2"/>
  <c r="D107" i="2"/>
  <c r="C107" i="2"/>
  <c r="B107" i="2"/>
  <c r="L106" i="2"/>
  <c r="K106" i="2"/>
  <c r="J106" i="2"/>
  <c r="I106" i="2"/>
  <c r="H106" i="2"/>
  <c r="G106" i="2"/>
  <c r="F106" i="2"/>
  <c r="E106" i="2"/>
  <c r="D106" i="2"/>
  <c r="C106" i="2"/>
  <c r="B106" i="2"/>
  <c r="L105" i="2"/>
  <c r="K105" i="2"/>
  <c r="J105" i="2"/>
  <c r="I105" i="2"/>
  <c r="H105" i="2"/>
  <c r="G105" i="2"/>
  <c r="F105" i="2"/>
  <c r="E105" i="2"/>
  <c r="D105" i="2"/>
  <c r="C105" i="2"/>
  <c r="B105" i="2"/>
  <c r="L104" i="2"/>
  <c r="K104" i="2"/>
  <c r="J104" i="2"/>
  <c r="I104" i="2"/>
  <c r="H104" i="2"/>
  <c r="G104" i="2"/>
  <c r="F104" i="2"/>
  <c r="E104" i="2"/>
  <c r="D104" i="2"/>
  <c r="C104" i="2"/>
  <c r="B104" i="2"/>
  <c r="L103" i="2"/>
  <c r="K103" i="2"/>
  <c r="J103" i="2"/>
  <c r="I103" i="2"/>
  <c r="H103" i="2"/>
  <c r="G103" i="2"/>
  <c r="F103" i="2"/>
  <c r="E103" i="2"/>
  <c r="D103" i="2"/>
  <c r="C103" i="2"/>
  <c r="B103" i="2"/>
  <c r="L102" i="2"/>
  <c r="K102" i="2"/>
  <c r="J102" i="2"/>
  <c r="I102" i="2"/>
  <c r="H102" i="2"/>
  <c r="G102" i="2"/>
  <c r="F102" i="2"/>
  <c r="E102" i="2"/>
  <c r="D102" i="2"/>
  <c r="C102" i="2"/>
  <c r="B102" i="2"/>
  <c r="L101" i="2"/>
  <c r="K101" i="2"/>
  <c r="J101" i="2"/>
  <c r="I101" i="2"/>
  <c r="H101" i="2"/>
  <c r="G101" i="2"/>
  <c r="F101" i="2"/>
  <c r="E101" i="2"/>
  <c r="D101" i="2"/>
  <c r="C101" i="2"/>
  <c r="B101" i="2"/>
  <c r="C56" i="2"/>
  <c r="C55" i="2"/>
  <c r="C54" i="2"/>
  <c r="C53" i="2"/>
  <c r="C52" i="2"/>
  <c r="H46" i="2"/>
  <c r="F46" i="2"/>
  <c r="E46" i="2"/>
  <c r="D46" i="2"/>
  <c r="C46" i="2"/>
  <c r="G46" i="2" s="1"/>
  <c r="H45" i="2"/>
  <c r="F45" i="2"/>
  <c r="E45" i="2"/>
  <c r="D45" i="2"/>
  <c r="C45" i="2"/>
  <c r="G45" i="2" s="1"/>
  <c r="H44" i="2"/>
  <c r="F44" i="2"/>
  <c r="E44" i="2"/>
  <c r="D44" i="2"/>
  <c r="C44" i="2"/>
  <c r="G44" i="2" s="1"/>
  <c r="H43" i="2"/>
  <c r="F43" i="2"/>
  <c r="E43" i="2"/>
  <c r="D43" i="2"/>
  <c r="C43" i="2"/>
  <c r="G43" i="2" s="1"/>
  <c r="H42" i="2"/>
  <c r="F42" i="2"/>
  <c r="E42" i="2"/>
  <c r="D42" i="2"/>
  <c r="C42" i="2"/>
  <c r="G42" i="2" s="1"/>
  <c r="C11" i="1"/>
  <c r="C9" i="1"/>
  <c r="H19" i="4" l="1"/>
  <c r="C66" i="13"/>
  <c r="C188" i="13"/>
  <c r="I142" i="3"/>
  <c r="G20" i="4"/>
  <c r="G142" i="3"/>
  <c r="E20" i="4"/>
  <c r="H48" i="10"/>
  <c r="H14" i="4"/>
  <c r="D6" i="19"/>
  <c r="E6" i="19"/>
  <c r="F6" i="19"/>
  <c r="H17" i="4"/>
  <c r="G19" i="4"/>
  <c r="F19" i="4"/>
  <c r="D19" i="4"/>
  <c r="E19" i="4"/>
  <c r="G7" i="4"/>
  <c r="G17" i="4"/>
  <c r="H142" i="3"/>
  <c r="J142" i="3" s="1"/>
  <c r="F17" i="4"/>
  <c r="G14" i="9"/>
  <c r="G11" i="19" s="1"/>
  <c r="G6" i="19"/>
  <c r="E14" i="9"/>
  <c r="E11" i="19" s="1"/>
  <c r="F14" i="9"/>
  <c r="F11" i="19" s="1"/>
  <c r="H8" i="19"/>
  <c r="G11" i="5"/>
  <c r="F11" i="5"/>
  <c r="E11" i="5"/>
  <c r="D11" i="5"/>
  <c r="J319" i="2"/>
  <c r="J315" i="2"/>
  <c r="L108" i="2"/>
  <c r="J108" i="2"/>
  <c r="H108" i="2"/>
  <c r="G108" i="2"/>
  <c r="F108" i="2"/>
  <c r="E108" i="2"/>
  <c r="D108" i="2"/>
  <c r="E7" i="4"/>
  <c r="E17" i="4"/>
  <c r="D7" i="4"/>
  <c r="D17" i="4"/>
  <c r="J317" i="2"/>
  <c r="C82" i="13"/>
  <c r="D82" i="13" s="1"/>
  <c r="E82" i="13" s="1"/>
  <c r="F10" i="19"/>
  <c r="I108" i="2"/>
  <c r="K108" i="2"/>
  <c r="D14" i="9"/>
  <c r="D11" i="19" s="1"/>
  <c r="H14" i="9"/>
  <c r="H11" i="19" s="1"/>
  <c r="G10" i="19"/>
  <c r="E10" i="19"/>
  <c r="D10" i="19"/>
  <c r="J316" i="2"/>
  <c r="C127" i="13"/>
  <c r="C52" i="12"/>
  <c r="C195" i="3" s="1"/>
  <c r="G11" i="4"/>
  <c r="G8" i="19"/>
  <c r="F11" i="4"/>
  <c r="F8" i="19"/>
  <c r="E11" i="4"/>
  <c r="E8" i="19"/>
  <c r="D11" i="4"/>
  <c r="D8" i="19"/>
  <c r="H59" i="10"/>
  <c r="H6" i="19"/>
  <c r="H7" i="4"/>
  <c r="H14" i="10"/>
  <c r="G6" i="4"/>
  <c r="G7" i="19"/>
  <c r="F6" i="4"/>
  <c r="F7" i="19"/>
  <c r="E6" i="4"/>
  <c r="E7" i="19"/>
  <c r="D6" i="4"/>
  <c r="D7" i="19"/>
  <c r="F8" i="16"/>
  <c r="G5" i="16" s="1"/>
  <c r="C182" i="3"/>
  <c r="C14" i="12"/>
  <c r="C143" i="13"/>
  <c r="D143" i="13" s="1"/>
  <c r="E143" i="13" s="1"/>
  <c r="I8" i="8"/>
  <c r="J8" i="8" s="1"/>
  <c r="K8" i="8" s="1"/>
  <c r="C21" i="13"/>
  <c r="D21" i="13" s="1"/>
  <c r="E21" i="13" s="1"/>
  <c r="C80" i="13"/>
  <c r="D80" i="13" s="1"/>
  <c r="E80" i="13" s="1"/>
  <c r="C19" i="13"/>
  <c r="D19" i="13" s="1"/>
  <c r="E19" i="13" s="1"/>
  <c r="I7" i="8"/>
  <c r="J7" i="8" s="1"/>
  <c r="K7" i="8" s="1"/>
  <c r="C141" i="13"/>
  <c r="D141" i="13" s="1"/>
  <c r="E141" i="13" s="1"/>
  <c r="C78" i="13"/>
  <c r="C139" i="13"/>
  <c r="C17" i="13"/>
  <c r="I6" i="8"/>
  <c r="H11" i="8"/>
  <c r="H10" i="19" s="1"/>
  <c r="H13" i="4"/>
  <c r="H45" i="10"/>
  <c r="H12" i="4"/>
  <c r="H38" i="10"/>
  <c r="H11" i="4"/>
  <c r="H37" i="10"/>
  <c r="H10" i="4"/>
  <c r="H60" i="10"/>
  <c r="K57" i="10"/>
  <c r="J57" i="10"/>
  <c r="H58" i="10"/>
  <c r="I57" i="10"/>
  <c r="J55" i="10"/>
  <c r="H9" i="4"/>
  <c r="I55" i="10"/>
  <c r="H56" i="10"/>
  <c r="K55" i="10"/>
  <c r="C38" i="13"/>
  <c r="C99" i="13"/>
  <c r="C160" i="13"/>
  <c r="I30" i="10"/>
  <c r="I32" i="10" s="1"/>
  <c r="I53" i="10"/>
  <c r="J53" i="10"/>
  <c r="K53" i="10"/>
  <c r="H54" i="10"/>
  <c r="H21" i="10"/>
  <c r="H18" i="4"/>
  <c r="H8" i="4"/>
  <c r="G8" i="4"/>
  <c r="G18" i="4"/>
  <c r="F8" i="4"/>
  <c r="F18" i="4"/>
  <c r="E8" i="4"/>
  <c r="E18" i="4"/>
  <c r="D8" i="4"/>
  <c r="D18" i="4"/>
  <c r="H10" i="10"/>
  <c r="H11" i="5"/>
  <c r="H6" i="4"/>
  <c r="H8" i="10"/>
  <c r="K142" i="3" l="1"/>
  <c r="L142" i="3"/>
  <c r="G7" i="16"/>
  <c r="G6" i="16"/>
  <c r="G8" i="16" s="1"/>
  <c r="C42" i="12"/>
  <c r="D42" i="12"/>
  <c r="E42" i="12"/>
  <c r="F42" i="12"/>
  <c r="G42" i="12"/>
  <c r="H42" i="12"/>
  <c r="I42" i="12"/>
  <c r="J42" i="12"/>
  <c r="K42" i="12"/>
  <c r="L42" i="12"/>
  <c r="M42" i="12" s="1"/>
  <c r="G178" i="13"/>
  <c r="I178" i="13"/>
  <c r="K178" i="13"/>
  <c r="B64" i="12"/>
  <c r="B202" i="3" s="1"/>
  <c r="B65" i="12"/>
  <c r="B203" i="3" s="1"/>
  <c r="B66" i="12"/>
  <c r="B204" i="3" s="1"/>
  <c r="B67" i="12"/>
  <c r="B205" i="3" s="1"/>
  <c r="B68" i="12"/>
  <c r="B206" i="3" s="1"/>
  <c r="C56" i="13"/>
  <c r="D56" i="13"/>
  <c r="F56" i="13"/>
  <c r="G56" i="13"/>
  <c r="I56" i="13"/>
  <c r="J56" i="13"/>
  <c r="L56" i="13"/>
  <c r="M56" i="13" s="1"/>
  <c r="E56" i="13"/>
  <c r="H56" i="13"/>
  <c r="K56" i="13"/>
  <c r="C117" i="13"/>
  <c r="D117" i="13"/>
  <c r="E117" i="13"/>
  <c r="F117" i="13"/>
  <c r="G117" i="13"/>
  <c r="H117" i="13"/>
  <c r="I117" i="13"/>
  <c r="J117" i="13"/>
  <c r="K117" i="13"/>
  <c r="L117" i="13"/>
  <c r="M117" i="13" s="1"/>
  <c r="C178" i="13"/>
  <c r="D178" i="13"/>
  <c r="E178" i="13"/>
  <c r="F178" i="13"/>
  <c r="C22" i="21"/>
  <c r="F22" i="21" s="1"/>
  <c r="C181" i="3"/>
  <c r="H178" i="13"/>
  <c r="J178" i="13"/>
  <c r="L178" i="13"/>
  <c r="M178" i="13" s="1"/>
  <c r="D78" i="13"/>
  <c r="C83" i="13"/>
  <c r="D139" i="13"/>
  <c r="C144" i="13"/>
  <c r="D17" i="13"/>
  <c r="C22" i="13"/>
  <c r="J6" i="8"/>
  <c r="I9" i="8"/>
  <c r="I11" i="8"/>
  <c r="I8" i="10"/>
  <c r="C40" i="13"/>
  <c r="C52" i="13" s="1"/>
  <c r="C101" i="13"/>
  <c r="C113" i="13" s="1"/>
  <c r="C162" i="13"/>
  <c r="C174" i="13" s="1"/>
  <c r="C38" i="12"/>
  <c r="I7" i="7"/>
  <c r="E78" i="13" l="1"/>
  <c r="E83" i="13" s="1"/>
  <c r="D83" i="13"/>
  <c r="C88" i="13"/>
  <c r="C110" i="13" s="1"/>
  <c r="C89" i="13"/>
  <c r="C108" i="13"/>
  <c r="C109" i="13" s="1"/>
  <c r="C94" i="13"/>
  <c r="C103" i="13"/>
  <c r="E139" i="13"/>
  <c r="E144" i="13" s="1"/>
  <c r="D144" i="13"/>
  <c r="C149" i="13"/>
  <c r="C171" i="13" s="1"/>
  <c r="C150" i="13"/>
  <c r="C155" i="13"/>
  <c r="C164" i="13"/>
  <c r="C169" i="13"/>
  <c r="C170" i="13" s="1"/>
  <c r="E17" i="13"/>
  <c r="E22" i="13" s="1"/>
  <c r="D22" i="13"/>
  <c r="C27" i="13"/>
  <c r="C49" i="13" s="1"/>
  <c r="C28" i="13"/>
  <c r="C33" i="13"/>
  <c r="C42" i="13"/>
  <c r="C47" i="13"/>
  <c r="C48" i="13" s="1"/>
  <c r="K6" i="8"/>
  <c r="J9" i="8"/>
  <c r="J11" i="8"/>
  <c r="J8" i="10"/>
  <c r="I10" i="10"/>
  <c r="I9" i="10" s="1"/>
  <c r="I7" i="19" s="1"/>
  <c r="I24" i="10"/>
  <c r="I10" i="9"/>
  <c r="I12" i="9"/>
  <c r="I11" i="10"/>
  <c r="I9" i="5" s="1"/>
  <c r="I12" i="10"/>
  <c r="I10" i="5" s="1"/>
  <c r="I13" i="10"/>
  <c r="I11" i="5" s="1"/>
  <c r="I31" i="10"/>
  <c r="C33" i="12"/>
  <c r="C34" i="12" s="1"/>
  <c r="I7" i="9"/>
  <c r="I9" i="9"/>
  <c r="I6" i="4"/>
  <c r="I20" i="4"/>
  <c r="I6" i="5"/>
  <c r="I6" i="9"/>
  <c r="I8" i="9"/>
  <c r="I11" i="9"/>
  <c r="I10" i="19"/>
  <c r="E88" i="13" l="1"/>
  <c r="E110" i="13" s="1"/>
  <c r="E89" i="13"/>
  <c r="E108" i="13"/>
  <c r="E94" i="13"/>
  <c r="E103" i="13"/>
  <c r="E114" i="13" s="1"/>
  <c r="D88" i="13"/>
  <c r="D110" i="13" s="1"/>
  <c r="D89" i="13"/>
  <c r="D94" i="13"/>
  <c r="D103" i="13"/>
  <c r="D114" i="13" s="1"/>
  <c r="D108" i="13"/>
  <c r="D109" i="13" s="1"/>
  <c r="C111" i="13"/>
  <c r="C112" i="13"/>
  <c r="C95" i="13"/>
  <c r="C96" i="13"/>
  <c r="C104" i="13"/>
  <c r="D99" i="13" s="1"/>
  <c r="C114" i="13"/>
  <c r="E149" i="13"/>
  <c r="E171" i="13" s="1"/>
  <c r="E150" i="13"/>
  <c r="E155" i="13"/>
  <c r="E164" i="13"/>
  <c r="E175" i="13" s="1"/>
  <c r="E169" i="13"/>
  <c r="D149" i="13"/>
  <c r="D171" i="13" s="1"/>
  <c r="D150" i="13"/>
  <c r="D155" i="13"/>
  <c r="D164" i="13"/>
  <c r="D175" i="13" s="1"/>
  <c r="D169" i="13"/>
  <c r="D170" i="13" s="1"/>
  <c r="C172" i="13"/>
  <c r="C173" i="13"/>
  <c r="C156" i="13"/>
  <c r="C157" i="13"/>
  <c r="C165" i="13"/>
  <c r="D160" i="13" s="1"/>
  <c r="C175" i="13"/>
  <c r="E27" i="13"/>
  <c r="E49" i="13" s="1"/>
  <c r="E28" i="13"/>
  <c r="E33" i="13"/>
  <c r="E42" i="13"/>
  <c r="E53" i="13" s="1"/>
  <c r="E47" i="13"/>
  <c r="D27" i="13"/>
  <c r="D49" i="13" s="1"/>
  <c r="D28" i="13"/>
  <c r="D33" i="13"/>
  <c r="D42" i="13"/>
  <c r="D53" i="13" s="1"/>
  <c r="D47" i="13"/>
  <c r="D48" i="13" s="1"/>
  <c r="C50" i="13"/>
  <c r="C51" i="13"/>
  <c r="C34" i="13"/>
  <c r="C35" i="13"/>
  <c r="C43" i="13"/>
  <c r="D38" i="13" s="1"/>
  <c r="C53" i="13"/>
  <c r="K9" i="8"/>
  <c r="K11" i="8"/>
  <c r="K8" i="10"/>
  <c r="J10" i="10"/>
  <c r="J9" i="10" s="1"/>
  <c r="J7" i="19" s="1"/>
  <c r="J11" i="10"/>
  <c r="J9" i="5" s="1"/>
  <c r="J12" i="10"/>
  <c r="J10" i="5" s="1"/>
  <c r="J13" i="10"/>
  <c r="J11" i="5" s="1"/>
  <c r="J31" i="10"/>
  <c r="D33" i="12"/>
  <c r="D34" i="12" s="1"/>
  <c r="J7" i="9"/>
  <c r="J9" i="9"/>
  <c r="J6" i="4"/>
  <c r="J20" i="4"/>
  <c r="J6" i="5"/>
  <c r="J6" i="9"/>
  <c r="J12" i="9"/>
  <c r="J24" i="10"/>
  <c r="J8" i="9"/>
  <c r="J10" i="9"/>
  <c r="J11" i="9"/>
  <c r="I25" i="10"/>
  <c r="I26" i="10"/>
  <c r="I7" i="5"/>
  <c r="I14" i="10"/>
  <c r="I8" i="5"/>
  <c r="I7" i="6"/>
  <c r="I33" i="10"/>
  <c r="I34" i="10"/>
  <c r="I38" i="10"/>
  <c r="C39" i="12"/>
  <c r="I11" i="7"/>
  <c r="C73" i="12"/>
  <c r="C210" i="3" s="1"/>
  <c r="D73" i="12"/>
  <c r="D210" i="3" s="1"/>
  <c r="E73" i="12"/>
  <c r="E210" i="3" s="1"/>
  <c r="F73" i="12"/>
  <c r="F210" i="3" s="1"/>
  <c r="G73" i="12"/>
  <c r="G210" i="3" s="1"/>
  <c r="J10" i="19"/>
  <c r="I14" i="9"/>
  <c r="I11" i="19" s="1"/>
  <c r="I8" i="6" l="1"/>
  <c r="I27" i="10"/>
  <c r="C40" i="12" s="1"/>
  <c r="J14" i="9"/>
  <c r="J11" i="19" s="1"/>
  <c r="E111" i="13"/>
  <c r="E112" i="13"/>
  <c r="E95" i="13"/>
  <c r="E96" i="13"/>
  <c r="E109" i="13"/>
  <c r="D111" i="13"/>
  <c r="D112" i="13"/>
  <c r="D95" i="13"/>
  <c r="D96" i="13"/>
  <c r="D101" i="13"/>
  <c r="E172" i="13"/>
  <c r="E173" i="13"/>
  <c r="E156" i="13"/>
  <c r="E157" i="13"/>
  <c r="E170" i="13"/>
  <c r="D172" i="13"/>
  <c r="D173" i="13"/>
  <c r="D156" i="13"/>
  <c r="D157" i="13"/>
  <c r="D162" i="13"/>
  <c r="E50" i="13"/>
  <c r="E51" i="13"/>
  <c r="E34" i="13"/>
  <c r="E35" i="13"/>
  <c r="E48" i="13"/>
  <c r="D50" i="13"/>
  <c r="D51" i="13"/>
  <c r="D34" i="13"/>
  <c r="D35" i="13"/>
  <c r="D40" i="13"/>
  <c r="K24" i="10"/>
  <c r="K8" i="9"/>
  <c r="K10" i="9"/>
  <c r="K12" i="9"/>
  <c r="K10" i="10"/>
  <c r="K9" i="10" s="1"/>
  <c r="K7" i="19" s="1"/>
  <c r="K11" i="10"/>
  <c r="K9" i="5" s="1"/>
  <c r="K12" i="10"/>
  <c r="K10" i="5" s="1"/>
  <c r="K13" i="10"/>
  <c r="K11" i="5" s="1"/>
  <c r="K31" i="10"/>
  <c r="E33" i="12"/>
  <c r="K9" i="9"/>
  <c r="K7" i="9"/>
  <c r="K6" i="4"/>
  <c r="K20" i="4"/>
  <c r="K6" i="5"/>
  <c r="K6" i="9"/>
  <c r="K11" i="9"/>
  <c r="J7" i="5"/>
  <c r="J25" i="10"/>
  <c r="J8" i="6" s="1"/>
  <c r="J26" i="10"/>
  <c r="J14" i="10"/>
  <c r="J8" i="5"/>
  <c r="J38" i="10"/>
  <c r="D39" i="12"/>
  <c r="J11" i="7"/>
  <c r="J7" i="6"/>
  <c r="I58" i="10"/>
  <c r="I14" i="6" s="1"/>
  <c r="I13" i="6"/>
  <c r="C35" i="12"/>
  <c r="I7" i="4"/>
  <c r="I17" i="4"/>
  <c r="I12" i="5"/>
  <c r="I17" i="10"/>
  <c r="J30" i="10"/>
  <c r="J32" i="10" s="1"/>
  <c r="I10" i="6"/>
  <c r="I11" i="6"/>
  <c r="I12" i="4"/>
  <c r="I10" i="7"/>
  <c r="C158" i="13"/>
  <c r="C159" i="13" s="1"/>
  <c r="C176" i="13" s="1"/>
  <c r="C177" i="13" s="1"/>
  <c r="C179" i="13" s="1"/>
  <c r="C36" i="13"/>
  <c r="C37" i="13" s="1"/>
  <c r="C54" i="13" s="1"/>
  <c r="C55" i="13" s="1"/>
  <c r="C57" i="13" s="1"/>
  <c r="K10" i="19"/>
  <c r="C97" i="13"/>
  <c r="C98" i="13" s="1"/>
  <c r="C115" i="13" s="1"/>
  <c r="C116" i="13" s="1"/>
  <c r="C118" i="13" s="1"/>
  <c r="J27" i="10" l="1"/>
  <c r="D40" i="12" s="1"/>
  <c r="E158" i="13"/>
  <c r="C193" i="13" s="1"/>
  <c r="D36" i="13"/>
  <c r="D37" i="13" s="1"/>
  <c r="D54" i="13" s="1"/>
  <c r="F109" i="13"/>
  <c r="F108" i="13" s="1"/>
  <c r="G109" i="13"/>
  <c r="H109" i="13"/>
  <c r="I109" i="13"/>
  <c r="J109" i="13"/>
  <c r="K109" i="13"/>
  <c r="L109" i="13"/>
  <c r="F170" i="13"/>
  <c r="F169" i="13" s="1"/>
  <c r="G170" i="13"/>
  <c r="H170" i="13"/>
  <c r="I170" i="13"/>
  <c r="J170" i="13"/>
  <c r="K170" i="13"/>
  <c r="L170" i="13"/>
  <c r="F48" i="13"/>
  <c r="F47" i="13" s="1"/>
  <c r="G48" i="13"/>
  <c r="H48" i="13"/>
  <c r="I48" i="13"/>
  <c r="J48" i="13"/>
  <c r="K48" i="13"/>
  <c r="L48" i="13"/>
  <c r="K25" i="10"/>
  <c r="K8" i="6" s="1"/>
  <c r="K26" i="10"/>
  <c r="K7" i="5"/>
  <c r="K7" i="6"/>
  <c r="K14" i="10"/>
  <c r="K8" i="5"/>
  <c r="K38" i="10"/>
  <c r="E39" i="12"/>
  <c r="K11" i="7"/>
  <c r="E34" i="12"/>
  <c r="J58" i="10"/>
  <c r="J14" i="6" s="1"/>
  <c r="J13" i="6"/>
  <c r="D35" i="12"/>
  <c r="C157" i="3"/>
  <c r="J7" i="4"/>
  <c r="J17" i="4"/>
  <c r="J12" i="5"/>
  <c r="J12" i="4"/>
  <c r="J10" i="7"/>
  <c r="C36" i="12"/>
  <c r="C37" i="12"/>
  <c r="C41" i="12" s="1"/>
  <c r="I18" i="10"/>
  <c r="I13" i="5"/>
  <c r="D38" i="12"/>
  <c r="J7" i="7"/>
  <c r="K14" i="9"/>
  <c r="K11" i="19" s="1"/>
  <c r="E36" i="13"/>
  <c r="E97" i="13"/>
  <c r="D97" i="13"/>
  <c r="D98" i="13" s="1"/>
  <c r="D115" i="13" s="1"/>
  <c r="D158" i="13"/>
  <c r="D113" i="13"/>
  <c r="D104" i="13"/>
  <c r="E99" i="13" s="1"/>
  <c r="D174" i="13"/>
  <c r="D165" i="13"/>
  <c r="E160" i="13" s="1"/>
  <c r="D52" i="13"/>
  <c r="D43" i="13"/>
  <c r="E38" i="13" s="1"/>
  <c r="J33" i="10"/>
  <c r="J34" i="10"/>
  <c r="F176" i="13" l="1"/>
  <c r="D55" i="13"/>
  <c r="D57" i="13" s="1"/>
  <c r="D116" i="13"/>
  <c r="D118" i="13" s="1"/>
  <c r="F171" i="13"/>
  <c r="G169" i="13"/>
  <c r="F49" i="13"/>
  <c r="G47" i="13"/>
  <c r="K58" i="10"/>
  <c r="K14" i="6" s="1"/>
  <c r="K13" i="6"/>
  <c r="E35" i="12"/>
  <c r="K7" i="4"/>
  <c r="K17" i="4"/>
  <c r="K12" i="5"/>
  <c r="K12" i="4"/>
  <c r="K10" i="7"/>
  <c r="F34" i="12"/>
  <c r="F33" i="12" s="1"/>
  <c r="G34" i="12"/>
  <c r="H34" i="12"/>
  <c r="I34" i="12"/>
  <c r="J34" i="12"/>
  <c r="K34" i="12"/>
  <c r="L34" i="12"/>
  <c r="D36" i="12"/>
  <c r="D37" i="12"/>
  <c r="D41" i="12" s="1"/>
  <c r="C43" i="12"/>
  <c r="E37" i="13"/>
  <c r="E54" i="13" s="1"/>
  <c r="C71" i="13"/>
  <c r="C132" i="13"/>
  <c r="E98" i="13"/>
  <c r="E115" i="13" s="1"/>
  <c r="E159" i="13"/>
  <c r="E176" i="13" s="1"/>
  <c r="D159" i="13"/>
  <c r="D176" i="13" s="1"/>
  <c r="D177" i="13" s="1"/>
  <c r="D179" i="13" s="1"/>
  <c r="E101" i="13"/>
  <c r="E162" i="13"/>
  <c r="E40" i="13"/>
  <c r="K30" i="10"/>
  <c r="K32" i="10" s="1"/>
  <c r="J10" i="6"/>
  <c r="J11" i="6"/>
  <c r="G108" i="13"/>
  <c r="F110" i="13"/>
  <c r="K27" i="10"/>
  <c r="E40" i="12" s="1"/>
  <c r="C57" i="12"/>
  <c r="I14" i="5"/>
  <c r="I19" i="10"/>
  <c r="K33" i="10" l="1"/>
  <c r="K10" i="6" s="1"/>
  <c r="K34" i="10"/>
  <c r="K11" i="6" s="1"/>
  <c r="F172" i="13"/>
  <c r="F173" i="13"/>
  <c r="G176" i="13"/>
  <c r="H169" i="13"/>
  <c r="G171" i="13"/>
  <c r="F50" i="13"/>
  <c r="F51" i="13"/>
  <c r="H47" i="13"/>
  <c r="H54" i="13" s="1"/>
  <c r="G49" i="13"/>
  <c r="E36" i="12"/>
  <c r="F35" i="12" s="1"/>
  <c r="E37" i="12"/>
  <c r="G33" i="12"/>
  <c r="G40" i="12" s="1"/>
  <c r="F54" i="13"/>
  <c r="G54" i="13"/>
  <c r="G115" i="13"/>
  <c r="F115" i="13"/>
  <c r="E38" i="12"/>
  <c r="K7" i="7"/>
  <c r="G110" i="13"/>
  <c r="H108" i="13"/>
  <c r="H115" i="13" s="1"/>
  <c r="F112" i="13"/>
  <c r="F111" i="13"/>
  <c r="F40" i="12"/>
  <c r="I15" i="5"/>
  <c r="I37" i="10"/>
  <c r="I20" i="10"/>
  <c r="I60" i="10"/>
  <c r="D43" i="12"/>
  <c r="E113" i="13"/>
  <c r="E104" i="13"/>
  <c r="E174" i="13"/>
  <c r="G175" i="13" s="1"/>
  <c r="E165" i="13"/>
  <c r="E52" i="13"/>
  <c r="E43" i="13"/>
  <c r="E55" i="13" l="1"/>
  <c r="E57" i="13" s="1"/>
  <c r="G53" i="13"/>
  <c r="G52" i="13"/>
  <c r="G174" i="13"/>
  <c r="E177" i="13"/>
  <c r="E179" i="13" s="1"/>
  <c r="G114" i="13"/>
  <c r="G113" i="13"/>
  <c r="F174" i="13"/>
  <c r="F175" i="13"/>
  <c r="F53" i="13"/>
  <c r="F52" i="13"/>
  <c r="H176" i="13"/>
  <c r="I169" i="13"/>
  <c r="H171" i="13"/>
  <c r="H174" i="13"/>
  <c r="H175" i="13"/>
  <c r="G172" i="13"/>
  <c r="G173" i="13"/>
  <c r="I47" i="13"/>
  <c r="H49" i="13"/>
  <c r="H52" i="13"/>
  <c r="H53" i="13"/>
  <c r="G50" i="13"/>
  <c r="G51" i="13"/>
  <c r="B74" i="12"/>
  <c r="B211" i="3" s="1"/>
  <c r="B75" i="12"/>
  <c r="B212" i="3" s="1"/>
  <c r="B76" i="12"/>
  <c r="B213" i="3" s="1"/>
  <c r="B77" i="12"/>
  <c r="B214" i="3" s="1"/>
  <c r="B78" i="12"/>
  <c r="B215" i="3" s="1"/>
  <c r="F36" i="12"/>
  <c r="F37" i="12"/>
  <c r="H33" i="12"/>
  <c r="G35" i="12"/>
  <c r="G38" i="12"/>
  <c r="G39" i="12"/>
  <c r="G111" i="13"/>
  <c r="G112" i="13"/>
  <c r="H110" i="13"/>
  <c r="I108" i="13"/>
  <c r="H113" i="13"/>
  <c r="H114" i="13"/>
  <c r="I43" i="10"/>
  <c r="I44" i="10" s="1"/>
  <c r="I11" i="4"/>
  <c r="I19" i="4"/>
  <c r="I6" i="7"/>
  <c r="I10" i="4"/>
  <c r="I16" i="6"/>
  <c r="E116" i="13"/>
  <c r="E118" i="13" s="1"/>
  <c r="F113" i="13"/>
  <c r="F114" i="13"/>
  <c r="E41" i="12"/>
  <c r="F39" i="12"/>
  <c r="F38" i="12"/>
  <c r="I16" i="5"/>
  <c r="I21" i="10"/>
  <c r="G177" i="13" l="1"/>
  <c r="G179" i="13" s="1"/>
  <c r="G55" i="13"/>
  <c r="G57" i="13" s="1"/>
  <c r="F55" i="13"/>
  <c r="F57" i="13" s="1"/>
  <c r="C21" i="21"/>
  <c r="F21" i="21" s="1"/>
  <c r="F41" i="12"/>
  <c r="F43" i="12" s="1"/>
  <c r="G116" i="13"/>
  <c r="G118" i="13" s="1"/>
  <c r="F177" i="13"/>
  <c r="F179" i="13" s="1"/>
  <c r="I176" i="13"/>
  <c r="J169" i="13"/>
  <c r="I171" i="13"/>
  <c r="I174" i="13"/>
  <c r="I175" i="13"/>
  <c r="H172" i="13"/>
  <c r="H173" i="13"/>
  <c r="H177" i="13" s="1"/>
  <c r="H179" i="13" s="1"/>
  <c r="I54" i="13"/>
  <c r="J47" i="13"/>
  <c r="I49" i="13"/>
  <c r="I53" i="13"/>
  <c r="I52" i="13"/>
  <c r="H50" i="13"/>
  <c r="H51" i="13"/>
  <c r="H55" i="13" s="1"/>
  <c r="H57" i="13" s="1"/>
  <c r="H40" i="12"/>
  <c r="I33" i="12"/>
  <c r="H35" i="12"/>
  <c r="H38" i="12"/>
  <c r="H39" i="12"/>
  <c r="G36" i="12"/>
  <c r="G37" i="12"/>
  <c r="G41" i="12" s="1"/>
  <c r="H111" i="13"/>
  <c r="H112" i="13"/>
  <c r="H116" i="13" s="1"/>
  <c r="H118" i="13" s="1"/>
  <c r="I115" i="13"/>
  <c r="J108" i="13"/>
  <c r="I110" i="13"/>
  <c r="I113" i="13"/>
  <c r="I114" i="13"/>
  <c r="I59" i="10"/>
  <c r="I49" i="10"/>
  <c r="I45" i="10"/>
  <c r="E43" i="12"/>
  <c r="I18" i="4"/>
  <c r="I8" i="4"/>
  <c r="I17" i="5"/>
  <c r="F116" i="13"/>
  <c r="F118" i="13" s="1"/>
  <c r="J176" i="13" l="1"/>
  <c r="K169" i="13"/>
  <c r="J171" i="13"/>
  <c r="J174" i="13"/>
  <c r="J175" i="13"/>
  <c r="I172" i="13"/>
  <c r="I173" i="13"/>
  <c r="I177" i="13" s="1"/>
  <c r="I179" i="13" s="1"/>
  <c r="J54" i="13"/>
  <c r="K47" i="13"/>
  <c r="J49" i="13"/>
  <c r="J52" i="13"/>
  <c r="J53" i="13"/>
  <c r="I50" i="13"/>
  <c r="I51" i="13"/>
  <c r="I55" i="13" s="1"/>
  <c r="I57" i="13" s="1"/>
  <c r="I40" i="12"/>
  <c r="J33" i="12"/>
  <c r="I35" i="12"/>
  <c r="I38" i="12"/>
  <c r="I39" i="12"/>
  <c r="H36" i="12"/>
  <c r="H37" i="12"/>
  <c r="H41" i="12" s="1"/>
  <c r="J115" i="13"/>
  <c r="K108" i="13"/>
  <c r="J113" i="13"/>
  <c r="J114" i="13"/>
  <c r="J110" i="13"/>
  <c r="I111" i="13"/>
  <c r="I112" i="13"/>
  <c r="I116" i="13" s="1"/>
  <c r="I118" i="13" s="1"/>
  <c r="I15" i="6"/>
  <c r="J16" i="10"/>
  <c r="J17" i="10" s="1"/>
  <c r="I47" i="10"/>
  <c r="I13" i="4"/>
  <c r="I12" i="7"/>
  <c r="G43" i="12"/>
  <c r="K176" i="13" l="1"/>
  <c r="L169" i="13"/>
  <c r="K171" i="13"/>
  <c r="K174" i="13"/>
  <c r="K175" i="13"/>
  <c r="J172" i="13"/>
  <c r="J173" i="13"/>
  <c r="J177" i="13" s="1"/>
  <c r="J179" i="13" s="1"/>
  <c r="K54" i="13"/>
  <c r="L47" i="13"/>
  <c r="K49" i="13"/>
  <c r="K52" i="13"/>
  <c r="K53" i="13"/>
  <c r="J50" i="13"/>
  <c r="J51" i="13"/>
  <c r="J55" i="13" s="1"/>
  <c r="J57" i="13" s="1"/>
  <c r="J40" i="12"/>
  <c r="K33" i="12"/>
  <c r="J35" i="12"/>
  <c r="J38" i="12"/>
  <c r="J39" i="12"/>
  <c r="I36" i="12"/>
  <c r="I37" i="12"/>
  <c r="I41" i="12" s="1"/>
  <c r="H43" i="12"/>
  <c r="K115" i="13"/>
  <c r="L108" i="13"/>
  <c r="K113" i="13"/>
  <c r="K114" i="13"/>
  <c r="K110" i="13"/>
  <c r="J111" i="13"/>
  <c r="J112" i="13"/>
  <c r="J116" i="13" s="1"/>
  <c r="J118" i="13" s="1"/>
  <c r="J13" i="5"/>
  <c r="J18" i="10"/>
  <c r="I15" i="7"/>
  <c r="I48" i="10"/>
  <c r="L176" i="13" l="1"/>
  <c r="L171" i="13"/>
  <c r="L174" i="13"/>
  <c r="L175" i="13"/>
  <c r="K172" i="13"/>
  <c r="K173" i="13"/>
  <c r="K177" i="13" s="1"/>
  <c r="K179" i="13" s="1"/>
  <c r="L54" i="13"/>
  <c r="L49" i="13"/>
  <c r="L52" i="13"/>
  <c r="L53" i="13"/>
  <c r="K50" i="13"/>
  <c r="K51" i="13"/>
  <c r="K55" i="13" s="1"/>
  <c r="K57" i="13" s="1"/>
  <c r="K40" i="12"/>
  <c r="L33" i="12"/>
  <c r="K35" i="12"/>
  <c r="K38" i="12"/>
  <c r="K39" i="12"/>
  <c r="J36" i="12"/>
  <c r="J37" i="12"/>
  <c r="J41" i="12" s="1"/>
  <c r="L115" i="13"/>
  <c r="L110" i="13"/>
  <c r="L113" i="13"/>
  <c r="L114" i="13"/>
  <c r="K111" i="13"/>
  <c r="K112" i="13"/>
  <c r="K116" i="13" s="1"/>
  <c r="K118" i="13" s="1"/>
  <c r="I64" i="10"/>
  <c r="I8" i="19" s="1"/>
  <c r="I16" i="7"/>
  <c r="I14" i="4"/>
  <c r="I63" i="10"/>
  <c r="I52" i="10"/>
  <c r="I43" i="12"/>
  <c r="J14" i="5"/>
  <c r="J19" i="10"/>
  <c r="L172" i="13" l="1"/>
  <c r="L173" i="13"/>
  <c r="L50" i="13"/>
  <c r="L51" i="13"/>
  <c r="L40" i="12"/>
  <c r="L35" i="12"/>
  <c r="E75" i="12" s="1"/>
  <c r="E212" i="3" s="1"/>
  <c r="L38" i="12"/>
  <c r="L39" i="12"/>
  <c r="K36" i="12"/>
  <c r="K37" i="12"/>
  <c r="K41" i="12" s="1"/>
  <c r="L111" i="13"/>
  <c r="L112" i="13"/>
  <c r="I54" i="10"/>
  <c r="I6" i="6"/>
  <c r="J15" i="5"/>
  <c r="J37" i="10"/>
  <c r="J20" i="10"/>
  <c r="J60" i="10"/>
  <c r="J43" i="12"/>
  <c r="E77" i="12" l="1"/>
  <c r="E214" i="3" s="1"/>
  <c r="D77" i="12"/>
  <c r="D214" i="3" s="1"/>
  <c r="L177" i="13"/>
  <c r="L179" i="13" s="1"/>
  <c r="C181" i="13" s="1"/>
  <c r="M177" i="13"/>
  <c r="M179" i="13" s="1"/>
  <c r="C182" i="13" s="1"/>
  <c r="L55" i="13"/>
  <c r="L57" i="13" s="1"/>
  <c r="C59" i="13" s="1"/>
  <c r="M55" i="13"/>
  <c r="M57" i="13" s="1"/>
  <c r="C60" i="13" s="1"/>
  <c r="E78" i="12"/>
  <c r="E215" i="3" s="1"/>
  <c r="C75" i="12"/>
  <c r="C212" i="3" s="1"/>
  <c r="D76" i="12"/>
  <c r="D213" i="3" s="1"/>
  <c r="G75" i="12"/>
  <c r="G212" i="3" s="1"/>
  <c r="F75" i="12"/>
  <c r="F212" i="3" s="1"/>
  <c r="F76" i="12"/>
  <c r="F213" i="3" s="1"/>
  <c r="G78" i="12"/>
  <c r="G215" i="3" s="1"/>
  <c r="D75" i="12"/>
  <c r="D212" i="3" s="1"/>
  <c r="G76" i="12"/>
  <c r="G213" i="3" s="1"/>
  <c r="F74" i="12"/>
  <c r="F211" i="3" s="1"/>
  <c r="L36" i="12"/>
  <c r="L37" i="12"/>
  <c r="K43" i="12"/>
  <c r="L116" i="13"/>
  <c r="L118" i="13" s="1"/>
  <c r="C120" i="13" s="1"/>
  <c r="M116" i="13"/>
  <c r="M118" i="13" s="1"/>
  <c r="C121" i="13" s="1"/>
  <c r="I56" i="10"/>
  <c r="I9" i="6"/>
  <c r="J43" i="10"/>
  <c r="J44" i="10" s="1"/>
  <c r="J11" i="4"/>
  <c r="J19" i="4"/>
  <c r="J6" i="7"/>
  <c r="J16" i="6"/>
  <c r="J10" i="4"/>
  <c r="C77" i="12"/>
  <c r="C214" i="3" s="1"/>
  <c r="D74" i="12"/>
  <c r="D211" i="3" s="1"/>
  <c r="F78" i="12"/>
  <c r="F215" i="3" s="1"/>
  <c r="C74" i="12"/>
  <c r="C211" i="3" s="1"/>
  <c r="D78" i="12"/>
  <c r="D215" i="3" s="1"/>
  <c r="G74" i="12"/>
  <c r="G211" i="3" s="1"/>
  <c r="C78" i="12"/>
  <c r="C215" i="3" s="1"/>
  <c r="E74" i="12"/>
  <c r="E211" i="3" s="1"/>
  <c r="C76" i="12"/>
  <c r="C213" i="3" s="1"/>
  <c r="G77" i="12"/>
  <c r="G214" i="3" s="1"/>
  <c r="F77" i="12"/>
  <c r="F214" i="3" s="1"/>
  <c r="J16" i="5"/>
  <c r="J21" i="10"/>
  <c r="C122" i="13" l="1"/>
  <c r="L41" i="12"/>
  <c r="M41" i="12"/>
  <c r="M43" i="12" s="1"/>
  <c r="C46" i="12" s="1"/>
  <c r="I62" i="10"/>
  <c r="I6" i="19" s="1"/>
  <c r="I9" i="4"/>
  <c r="I12" i="6"/>
  <c r="J45" i="10"/>
  <c r="J59" i="10"/>
  <c r="J49" i="10"/>
  <c r="J18" i="4"/>
  <c r="J8" i="4"/>
  <c r="C155" i="3"/>
  <c r="C158" i="3" s="1"/>
  <c r="C161" i="3" s="1"/>
  <c r="J17" i="5"/>
  <c r="C61" i="13"/>
  <c r="C183" i="13"/>
  <c r="C126" i="13" l="1"/>
  <c r="C129" i="13"/>
  <c r="C65" i="12"/>
  <c r="C203" i="3" s="1"/>
  <c r="G65" i="12"/>
  <c r="G203" i="3" s="1"/>
  <c r="D64" i="12"/>
  <c r="D202" i="3" s="1"/>
  <c r="G64" i="12"/>
  <c r="G202" i="3" s="1"/>
  <c r="E76" i="12"/>
  <c r="C68" i="12"/>
  <c r="C206" i="3" s="1"/>
  <c r="G68" i="12"/>
  <c r="G206" i="3" s="1"/>
  <c r="F68" i="12"/>
  <c r="F206" i="3" s="1"/>
  <c r="G66" i="12"/>
  <c r="G204" i="3" s="1"/>
  <c r="E65" i="12"/>
  <c r="E203" i="3" s="1"/>
  <c r="E68" i="12"/>
  <c r="E206" i="3" s="1"/>
  <c r="F65" i="12"/>
  <c r="F203" i="3" s="1"/>
  <c r="C66" i="12"/>
  <c r="C204" i="3" s="1"/>
  <c r="D67" i="12"/>
  <c r="D205" i="3" s="1"/>
  <c r="D66" i="12"/>
  <c r="D204" i="3" s="1"/>
  <c r="F64" i="12"/>
  <c r="F202" i="3" s="1"/>
  <c r="D65" i="12"/>
  <c r="D203" i="3" s="1"/>
  <c r="C67" i="12"/>
  <c r="C205" i="3" s="1"/>
  <c r="F67" i="12"/>
  <c r="F205" i="3" s="1"/>
  <c r="E66" i="12"/>
  <c r="D68" i="12"/>
  <c r="D206" i="3" s="1"/>
  <c r="C64" i="12"/>
  <c r="C202" i="3" s="1"/>
  <c r="G67" i="12"/>
  <c r="G205" i="3" s="1"/>
  <c r="E64" i="12"/>
  <c r="E202" i="3" s="1"/>
  <c r="E67" i="12"/>
  <c r="E205" i="3" s="1"/>
  <c r="F66" i="12"/>
  <c r="F204" i="3" s="1"/>
  <c r="L43" i="12"/>
  <c r="C45" i="12" s="1"/>
  <c r="C47" i="12" s="1"/>
  <c r="C54" i="12" s="1"/>
  <c r="C190" i="3"/>
  <c r="J47" i="10"/>
  <c r="J13" i="4"/>
  <c r="J12" i="7"/>
  <c r="J15" i="6"/>
  <c r="K16" i="10"/>
  <c r="K17" i="10" s="1"/>
  <c r="C68" i="13"/>
  <c r="C65" i="13"/>
  <c r="C190" i="13"/>
  <c r="C187" i="13"/>
  <c r="C130" i="13" l="1"/>
  <c r="C128" i="13"/>
  <c r="D6" i="13" s="1"/>
  <c r="D173" i="3" s="1"/>
  <c r="E173" i="3" s="1"/>
  <c r="C131" i="13"/>
  <c r="E213" i="3"/>
  <c r="E204" i="3"/>
  <c r="C51" i="12"/>
  <c r="C189" i="3"/>
  <c r="C24" i="21"/>
  <c r="F24" i="21" s="1"/>
  <c r="C197" i="3"/>
  <c r="J15" i="7"/>
  <c r="J48" i="10"/>
  <c r="K13" i="5"/>
  <c r="K18" i="10"/>
  <c r="C70" i="13"/>
  <c r="C69" i="13"/>
  <c r="C67" i="13"/>
  <c r="C189" i="13"/>
  <c r="D7" i="13" s="1"/>
  <c r="D174" i="3" s="1"/>
  <c r="E174" i="3" s="1"/>
  <c r="C192" i="13"/>
  <c r="C191" i="13"/>
  <c r="C194" i="3" l="1"/>
  <c r="C55" i="12"/>
  <c r="C56" i="12"/>
  <c r="C53" i="12"/>
  <c r="J64" i="10"/>
  <c r="J8" i="19" s="1"/>
  <c r="J16" i="7"/>
  <c r="J14" i="4"/>
  <c r="J63" i="10"/>
  <c r="J52" i="10"/>
  <c r="C150" i="3"/>
  <c r="D5" i="13"/>
  <c r="K14" i="5"/>
  <c r="K19" i="10"/>
  <c r="C18" i="21" l="1"/>
  <c r="F18" i="21" s="1"/>
  <c r="C19" i="21"/>
  <c r="F19" i="21" s="1"/>
  <c r="C196" i="3"/>
  <c r="I4" i="3"/>
  <c r="J54" i="10"/>
  <c r="J6" i="6"/>
  <c r="C159" i="3"/>
  <c r="C160" i="3"/>
  <c r="C162" i="3"/>
  <c r="C12" i="3"/>
  <c r="C13" i="3"/>
  <c r="C20" i="21"/>
  <c r="F20" i="21" s="1"/>
  <c r="C26" i="21"/>
  <c r="F26" i="21" s="1"/>
  <c r="C25" i="21"/>
  <c r="F25" i="21" s="1"/>
  <c r="D172" i="3"/>
  <c r="E172" i="3" s="1"/>
  <c r="D8" i="13"/>
  <c r="K15" i="5"/>
  <c r="K37" i="10"/>
  <c r="K20" i="10"/>
  <c r="K60" i="10"/>
  <c r="J56" i="10" l="1"/>
  <c r="J9" i="6"/>
  <c r="C165" i="3"/>
  <c r="G165" i="3" s="1"/>
  <c r="C166" i="3"/>
  <c r="G166" i="3" s="1"/>
  <c r="C10" i="1"/>
  <c r="C12" i="1"/>
  <c r="C14" i="3"/>
  <c r="D175" i="3"/>
  <c r="E175" i="3" s="1"/>
  <c r="C15" i="3"/>
  <c r="K43" i="10"/>
  <c r="K44" i="10" s="1"/>
  <c r="K11" i="4"/>
  <c r="K19" i="4"/>
  <c r="K6" i="7"/>
  <c r="K10" i="4"/>
  <c r="K16" i="6"/>
  <c r="K16" i="5"/>
  <c r="K21" i="10"/>
  <c r="J62" i="10" l="1"/>
  <c r="J6" i="19" s="1"/>
  <c r="J12" i="6"/>
  <c r="J9" i="4"/>
  <c r="C27" i="21"/>
  <c r="F27" i="21"/>
  <c r="C28" i="21"/>
  <c r="F28" i="21"/>
  <c r="K45" i="10"/>
  <c r="K59" i="10"/>
  <c r="K15" i="6" s="1"/>
  <c r="K49" i="10"/>
  <c r="K18" i="4"/>
  <c r="K8" i="4"/>
  <c r="K17" i="5"/>
  <c r="K47" i="10" l="1"/>
  <c r="K13" i="4"/>
  <c r="K12" i="7"/>
  <c r="K15" i="7" l="1"/>
  <c r="K48" i="10"/>
  <c r="K64" i="10" l="1"/>
  <c r="K8" i="19" s="1"/>
  <c r="K16" i="7"/>
  <c r="K14" i="4"/>
  <c r="K63" i="10"/>
  <c r="K52" i="10"/>
  <c r="K54" i="10" l="1"/>
  <c r="K6" i="6"/>
  <c r="K56" i="10" l="1"/>
  <c r="K9" i="6"/>
  <c r="K62" i="10" l="1"/>
  <c r="K6" i="19" s="1"/>
  <c r="C29" i="21" s="1"/>
  <c r="F29" i="21" s="1"/>
  <c r="F2" i="21" s="1"/>
  <c r="K12" i="6"/>
  <c r="K9" i="4"/>
</calcChain>
</file>

<file path=xl/sharedStrings.xml><?xml version="1.0" encoding="utf-8"?>
<sst xmlns="http://schemas.openxmlformats.org/spreadsheetml/2006/main" count="6604" uniqueCount="3221">
  <si>
    <t>企業調査レポート</t>
  </si>
  <si>
    <t>Texas Instruments（TXN）</t>
  </si>
  <si>
    <t>証券コード</t>
  </si>
  <si>
    <t>TXN</t>
  </si>
  <si>
    <t>基準日</t>
  </si>
  <si>
    <t>2026-10-23</t>
  </si>
  <si>
    <t>作成日</t>
  </si>
  <si>
    <t>2026-10-24</t>
  </si>
  <si>
    <t>レーティング</t>
  </si>
  <si>
    <t>目標株価</t>
  </si>
  <si>
    <t>現在株価</t>
  </si>
  <si>
    <t>上昇余地</t>
  </si>
  <si>
    <t xml:space="preserve">作成: </t>
  </si>
  <si>
    <t>目次</t>
  </si>
  <si>
    <t>シート</t>
  </si>
  <si>
    <t>内容</t>
  </si>
  <si>
    <t>1_企業分析</t>
  </si>
  <si>
    <t>企業概要・株価とバリュエーション推移・類似企業比較・事業内容（セグメント構成比・主力製品と世界シェア）・社長の来歴・SWOT・関連市況</t>
  </si>
  <si>
    <t>2_投資判断</t>
  </si>
  <si>
    <t>投資判断・市場の注目点・伸びる点と懸念点・目標株価と倍率翻訳・DCF の要約と感応度</t>
  </si>
  <si>
    <t>3_Summary</t>
  </si>
  <si>
    <t>業績予想：主要財務の要約（0054 財務モデル）</t>
  </si>
  <si>
    <t>3_PL</t>
  </si>
  <si>
    <t>業績予想：損益計算書</t>
  </si>
  <si>
    <t>3_BS</t>
  </si>
  <si>
    <t>業績予想：貸借対照表</t>
  </si>
  <si>
    <t>3_CF</t>
  </si>
  <si>
    <t>業績予想：キャッシュフロー計算書</t>
  </si>
  <si>
    <t>3_セグメント売上</t>
  </si>
  <si>
    <t>業績予想：セグメント別売上</t>
  </si>
  <si>
    <t>3_地域別売上</t>
  </si>
  <si>
    <t>業績予想：地域別売上</t>
  </si>
  <si>
    <t>3_Forecast</t>
  </si>
  <si>
    <t>業績予想：3期予測の計算</t>
  </si>
  <si>
    <t>3_Assumptions</t>
  </si>
  <si>
    <t>業績予想の前提（シナリオ別入力を含む）</t>
  </si>
  <si>
    <t>計算_DCF</t>
  </si>
  <si>
    <t>計算：WACC・DCF・感応度表・SOTP の計算過程</t>
  </si>
  <si>
    <t>計算_シナリオ</t>
  </si>
  <si>
    <t>計算：シナリオ別（base/bull/bear）の並列計算と確率加重期待値</t>
  </si>
  <si>
    <t>データ_株価</t>
  </si>
  <si>
    <t>データ：株価（日次・月次）・S&amp;P500・バリュエーション月次・スナップショット</t>
  </si>
  <si>
    <t>データ_類似企業</t>
  </si>
  <si>
    <t>データ：類似企業の株価指標（market.json peers）</t>
  </si>
  <si>
    <t>データ_セグメント</t>
  </si>
  <si>
    <t>データ：セグメント別の売上構成比・利益率・推計利益（④ 構成比グラフの元データ）</t>
  </si>
  <si>
    <t>データ_市況</t>
  </si>
  <si>
    <t>データ：関連市況の時系列（⑦ のグラフ・表の元データ）</t>
  </si>
  <si>
    <t>データ_財務</t>
  </si>
  <si>
    <t>データ：会社発表値（0054 Inputs）</t>
  </si>
  <si>
    <t>データ_整合検査</t>
  </si>
  <si>
    <t>データ：0054 財務モデルの整合検査</t>
  </si>
  <si>
    <t>出典</t>
  </si>
  <si>
    <t>出典一覧（記述の出所 ID に対応）</t>
  </si>
  <si>
    <t>検証</t>
  </si>
  <si>
    <t>検証：再計算・数式・静的検査の結果と計算上の取り扱い</t>
  </si>
  <si>
    <t>本資料は情報提供を目的として作成したもので、投資勧誘や投資助言ではありません。</t>
  </si>
  <si>
    <t>TXN Texas Instruments　企業分析</t>
  </si>
  <si>
    <t>基準日 2026-10-23／決算期末 12月／出所列の ID は「出典」シートを参照</t>
  </si>
  <si>
    <t>① 企業概要</t>
  </si>
  <si>
    <t>出所</t>
  </si>
  <si>
    <t>項目</t>
  </si>
  <si>
    <t>備考</t>
  </si>
  <si>
    <t>社名／ティッカー／上場市場</t>
  </si>
  <si>
    <t>Texas Instruments Incorporated（TI、デラウェア州法人）／TXN／Nasdaq Global Select Market</t>
  </si>
  <si>
    <t>SEC CIK 0000097476。アナログ・組込みプロセッサ半導体の設計・製造・販売</t>
  </si>
  <si>
    <t>F1-S1,F1-S4</t>
  </si>
  <si>
    <t>本社・設立</t>
  </si>
  <si>
    <t>米国テキサス州ダラス（12500 TI Boulevard）。30か国超で設計・製造・販売拠点を持つ。事業開始は1930年</t>
  </si>
  <si>
    <t>2025年12月31日時点。10-K Item 1 の記載</t>
  </si>
  <si>
    <t>従業員数</t>
  </si>
  <si>
    <t>約33,000人（約90%が R&amp;D・営業・製造）。2025年の離職率10.1%</t>
  </si>
  <si>
    <t>2025年12月31日時点</t>
  </si>
  <si>
    <t>F1-S1</t>
  </si>
  <si>
    <t>決算期</t>
  </si>
  <si>
    <t>12月（暦年）</t>
  </si>
  <si>
    <t>直近四半期は2026年7〜9月期（Q3'26）。決算発表は2026-10-21引け後</t>
  </si>
  <si>
    <t>事業の一言</t>
  </si>
  <si>
    <t>電源・信号処理などのアナログ半導体（売上の約79%）と、マイコン・プロセッサなどの組込みプロセッサ（約15%）を、300mmウエハーの自社工場で作り、80%超を直販する。顧客10万社超、製品8万点超</t>
  </si>
  <si>
    <t>FY2025。売上構成はアナログ$14,006M・組込み$2,697M・その他$979M（その他にDLP・電卓・ASIC）</t>
  </si>
  <si>
    <t>直近通期業績（FY2025：2025年12月期）</t>
  </si>
  <si>
    <t>売上高$17,682M（前年比+13.0%）、営業利益$6,023M（営業利益率34.1%）、純利益$5,001M、希薄化後EPS $5.45</t>
  </si>
  <si>
    <t>粗利率57.0%（前年58.1%）。営業利益にはリストラ費用等$117M（150mm工場2拠点閉鎖計画・ASIC関連のれん減損を含む）を含む</t>
  </si>
  <si>
    <t>直近四半期（Q3'26：2026年7〜9月期）</t>
  </si>
  <si>
    <t>売上高$6,055M（前年同期比+28%、前期比+11%）、粗利率64.2%（前年同期57.4%）、営業利益$2,874M（営業利益率47.5%、前年同期35.1%、営業利益+73%）、純利益$2,425M、EPS $2.62</t>
  </si>
  <si>
    <t>粗利率・営業利益率は売上・粗利・営業利益から算出（推定ではなく算術）。EPSには会社ガイダンス外の$0.01のマイナス（離散税項目）を含む。Q4'26ガイダンス：売上$5.80〜6.30B、EPS $2.45〜2.79（レンジ中央の売上$6.05B）</t>
  </si>
  <si>
    <t>F1-S2,F1-S6</t>
  </si>
  <si>
    <t>セグメント別（Q3'26）</t>
  </si>
  <si>
    <t>アナログ売上$4,911M（前年比+32%、営業利益率51.0%）、組込み$858M（+21%、26.5%）、その他$286M（-6%）</t>
  </si>
  <si>
    <t>営業利益率はセグメント営業利益÷売上から算出。アナログ営業利益$2,505M、組込み$227M、その他$142M（買収費用・リストラ費用を含む）</t>
  </si>
  <si>
    <t>F1-S2</t>
  </si>
  <si>
    <t>最終市場構成（FY2025、10-K）</t>
  </si>
  <si>
    <t>産業33%、車載33%、パーソナルエレクトロニクス21%、データセンター9%、通信機器3%（ほかに電卓が約1%）</t>
  </si>
  <si>
    <t>FY2025推計売上比。2025年に市場区分を組み替え済み（データセンターを独立区分化）</t>
  </si>
  <si>
    <t>最終市場の直近動向（Q3'26）</t>
  </si>
  <si>
    <t>産業は前年比+40%超で約4年ぶりのピーク更新、車載は+10%台半ば、データセンターは約+95%で売上の約13%、パーソナルエレクトロニクスはほぼ横ばい、通信機器は前年比・前期比とも増</t>
  </si>
  <si>
    <t>（二次・未確認）の部分：具体的な伸び率と構成比13%は決算コール書き起こし（二次）の記載。TI公式の決算リリースは『産業・車載・データセンターで広範な成長』とのみ記載</t>
  </si>
  <si>
    <t>F1-S6,F1-S2</t>
  </si>
  <si>
    <t>地域別売上（顧客本社所在地ベース、FY2025）</t>
  </si>
  <si>
    <t>米国38%($6,763M)、中国21%($3,781M)、欧州・中東・アフリカ21%($3,747M、うちドイツ顧客10%)、アジア他11%、日本7%($1,173M)、その他2%。出荷先ベースでは中国向けが約50%</t>
  </si>
  <si>
    <t>顧客本社が米国外の売上は約60%。中国比率は本社所在地ベース（約20〜21%）と出荷先ベース（約50%）で大きく異なる点に注意</t>
  </si>
  <si>
    <t>配当</t>
  </si>
  <si>
    <t>四半期配当$1.42（Q3'26宣言額）から$1.52へ7%増額予定（年換算$6.08）、23年連続の増配。支払日2026-11-10、基準日2026-10-30</t>
  </si>
  <si>
    <t>増額は10月の取締役会での正式宣言が条件（9/17付8-K）。直近12か月の配当支払$5,174M・自社株買い$636M、合計還元$5,810M。会社方針は長期にフリーキャッシュフローの全額還元</t>
  </si>
  <si>
    <t>F1-S4,F1-S2</t>
  </si>
  <si>
    <t>係属中のM&amp;A：Silicon Labs（SLAB）買収</t>
  </si>
  <si>
    <t>1株$231現金、企業価値約$7.5B、2027年上期の完了見込み。約1,200製品の無線接続製品群を獲得し、完了後3年以内に年$450M規模の製造・運営シナジーを見込む。連結数値には未反映</t>
  </si>
  <si>
    <t>資金は手元資金と負債（2026年6月に最大$5Bの364日つなぎ融資枠を設定、6/30時点で未借入）。SLAB株主総会は2026-04-30に承認（二次）、米HSRは2026-05-22に待機期間満了（SLAB 8-K、ミラー経由）、中国など他の規制承認の状況は未確認</t>
  </si>
  <si>
    <t>F1-S5,F1-S3,F1-S7</t>
  </si>
  <si>
    <t>図1：1930年創業・8万品目・顧客10万社超（TI at a glance）（出所：会社資料 3）</t>
  </si>
  <si>
    <t>F7-S1</t>
  </si>
  <si>
    <t>② 株価・バリュエーション推移</t>
  </si>
  <si>
    <t>現在値と過去レンジ（月次）</t>
  </si>
  <si>
    <t>指標</t>
  </si>
  <si>
    <t>現在値</t>
  </si>
  <si>
    <t>最小</t>
  </si>
  <si>
    <t>中央値</t>
  </si>
  <si>
    <t>最大</t>
  </si>
  <si>
    <t>現在の位置</t>
  </si>
  <si>
    <t>観測数</t>
  </si>
  <si>
    <t>株価（ドル、調整後月末）</t>
  </si>
  <si>
    <t>PER（実績）</t>
  </si>
  <si>
    <t>PBR</t>
  </si>
  <si>
    <t>配当利回り（実績TTM）</t>
  </si>
  <si>
    <t>EV/EBITDA</t>
  </si>
  <si>
    <t>注1：現在値はスナップショット（PER 実績は月次の最新値）。現在の位置は月次観測のうち現在値以下の割合</t>
  </si>
  <si>
    <t>注2：会社予想 EPS が開示されないため PER（予想）は掲載しない。PER・配当利回りは実績 TTM</t>
  </si>
  <si>
    <t>株式の概要</t>
  </si>
  <si>
    <t>値</t>
  </si>
  <si>
    <t>時価総額（百万ドル）</t>
  </si>
  <si>
    <t>売買代金 60日平均（百万ドル）</t>
  </si>
  <si>
    <t>売買代金 60日平均（億円、円換算）</t>
  </si>
  <si>
    <t>発行済株式数（百万株、自己株控除後）</t>
  </si>
  <si>
    <t>純有利子負債（百万ドル）</t>
  </si>
  <si>
    <t>出所：Yahoo Finance（yfinance）・SEC EDGAR より作成</t>
  </si>
  <si>
    <t>・過去5年の株価は3局面。2021-10-21の終値$201.29(5年窓の起点付近の高値)から下落し、2023-10-30に$140.50(同-30%)、2025-04-21に$145.61まで調整。その後2026年に急回復し、2026-06-22の終値$332.28が窓内の最高値。2026-10-22の$279.50は最高値比約-16%。</t>
  </si>
  <si>
    <t>F4-S4 ※二次</t>
  </si>
  <si>
    <t>・2026年の上昇は決算で段階的に起きた。2025年末$173.49→Q1決算翌日(4/23)に+19.4%→6月高値。7月決算後(7/23)は-3.1%で下落基調となり、2026-09-01に$253.34(高値比-24%)まで調整、10月に$280台へ戻した。2026年初来は10/22時点で約+61%。</t>
  </si>
  <si>
    <t>・直近の決算反応は非対称。Q3'26は売上・EPS・Q4ガイダンスのいずれもコンセンサス超え(売上$6,055M対約$5.92B、EPS$2.62対約$2.42、Q4中央値も上回る)だったが、10/22は-1.81%で出来高は直前20日平均の約2.5倍。7月(Q2)も-3.1%と、期待が高い局面でビートが売りで返される傾向がある。</t>
  </si>
  <si>
    <t>F4-S1,F4-S4,F4-S10</t>
  </si>
  <si>
    <t>・PERは過去数年のレンジ上端圏。年末終値÷通期EPS(10-K)は2023末24.1倍、2024末36.1倍、2025末31.8倍(司令塔計算)。現在は直近4四半期EPS$7.71(Q4'25 $1.27+Q1 $1.68+Q2 $2.14+Q3 $2.62)で約36倍と、2024年末と並ぶ水準。予想PERは約28倍(第三者、二次・未確認)。2023〜25年は減益局面でEPSが低くPERが高く出やすかった点に注意。</t>
  </si>
  <si>
    <t>F4-S17,F4-S4,F4-S1,F4-S20,F4-S10</t>
  </si>
  <si>
    <t>・EV/EBITDAはQ3年率換算で約19倍(司令塔の粗推計)。時価総額約$255B(株価$279.50×発行済約914M株)に純債務約$5.4Bを加えEV約$261B、Q3の営業利益$2,874M+減価償却等$576M=$3,450Mの4倍($13.8B)で割った値。過去5年のEV/EBITDAレンジは未取得で、現在値の相対位置は判定できない。</t>
  </si>
  <si>
    <t>F4-S1,F4-S4</t>
  </si>
  <si>
    <t>・FCF利回りは低い。直近12か月のTI定義FCF$8,422M(CHIPS法の受取を含む)を時価総額約$255Bで割ると約3.3%、CHIPS受取$1,104Mを除くと約2.9%(司令塔計算)。2024〜25年の大型設備投資期に比べFCFは大きく改善したが、株価は回復をかなり織り込んでいる。</t>
  </si>
  <si>
    <t>③ 類似企業比較</t>
  </si>
  <si>
    <t>コード</t>
  </si>
  <si>
    <t>社名</t>
  </si>
  <si>
    <t>株価（ドル）</t>
  </si>
  <si>
    <t>PER（実績TTM）</t>
  </si>
  <si>
    <t>ROE</t>
  </si>
  <si>
    <t>営業利益率</t>
  </si>
  <si>
    <t>売上成長率</t>
  </si>
  <si>
    <t>market.json</t>
  </si>
  <si>
    <t>Yahoo Finance（yfinance）・SEC EDGAR</t>
  </si>
  <si>
    <t>類似企業 中央値（対象除く）</t>
  </si>
  <si>
    <t>注1：対象企業の ROE・営業利益率・売上成長率は market.json snapshot に無ければ n.a.</t>
  </si>
  <si>
    <t>出所：Yahoo Finance（yfinance）・SEC EDGAR（各社 SEC 開示・株価）より作成</t>
  </si>
  <si>
    <t>・ピア選定は事業構成の近さ順。1) ADI＝高性能アナログ・ミックスドシグナルの純度が最も高く、最終市場も産業49%・車載25%・通信16%（FQ3'26、2026年8月1日終了）でTXNと重なる。製造は自社ファブに外部ファウンドリを併用（既知・2026-10-05）。2) MCHP＝アナログ＋組込み（MCU）の混成で、TXNのAnalog/Embedded構成に最も似るIDM。3) NXPI＝車載・産業の混成信号とプロセッサ。ファブライト寄りで製造モデルは異なる。4) STM＝アナログ・パワー・MCUのIDMで産業・車載が主力。5) ON＝パワー／SiC中心で車載・産業が重なるが、アナログ比率は低い。6) MPWR＝ファブレスの電源IC専業で、AIデータセンター電源の競合・比較軸として採用。TXNの比率はAnalog 81%（売上$4,911M/$6,055M、2026年7〜9月期）。</t>
  </si>
  <si>
    <t>F2-S1,F2-S2</t>
  </si>
  <si>
    <t>・Infineon（FY26 Q3＝2026年4〜6月期、売上€4.172B・前年比約+13%、粗利率40.8%）とRenesas（2026年4〜6月期、IFRS粗利率58.6%）は事業の近さでは有力なピアだが、米ドル建ての上場が無く、会計基準・決算期も異なるため codes に入れない。参考点としてのみ散布図に載せる（二次・未確認）。</t>
  </si>
  <si>
    <t>F2-S11,F2-S12,F2-S13 ※二次</t>
  </si>
  <si>
    <t>・最新期の成長と粗利率は全社で改善した。TXN（2026年7〜9月期）は売上$6,055M・前年比+28%、粗利率64.2%（前年同期57.4%、売上総利益÷売上で当方算出）。前期比は売上+11%、粗利率は約+2.8%pt。ADI（FQ3'26）は+40%・GAAP粗利率67.3%（調整後72.5%）、MCHP（FQ1'27＝2026年6月30日終了）は+38.0%・63.2%、MPWR（2026年4〜6月期）は+47.6%・55.2%、NXPI（同）は+19%・57.3%、STM（同）は+26.0%・34.8%、ON（同）は+9%・38.4%。粗利率はアナログ専業・混成（TXN・ADI・MCHP）が60%超、パワー／IDM（STM・ON）は30%台と二極化している。</t>
  </si>
  <si>
    <t>F2-S1,F2-S2,F2-S3,F2-S4,F2-S5,F2-S6,F2-S7</t>
  </si>
  <si>
    <t>・未発表のため直前四半期を使う会社が多い点に注意。NXPI・STM・ON・MPWRの2026年7〜9月期は未発表（STMは2026-10-29予定）で、散布図は直前四半期（4〜6月期）の値。ADI・MCHPも決算期がずれる（ADIは8月1日終了、MCHPは6月30日終了）。期間が揃わないため、順位の比較は参考値にとどめる。</t>
  </si>
  <si>
    <t>F2-S2,F2-S3,F2-S4,F2-S5,F2-S6,F2-S7,F2-S14</t>
  </si>
  <si>
    <t>・粗利率の二極化は価格と稼働率の差から来る。TXNは粗利率改善の要因として売上増・価格・ミックスを挙げ、アナログ価格は2026年上期は前年並み、下期に動きが出たと説明した（二次・未確認）。ADI・TXNの値上げ（ADIは2026年2月と9月13日の2回、TXNは4月1日と10月1日の通知）は流通・報道ベースで、割合は情報源により幅がある（二次・未確認）。STMはP&amp;Dセグメントが営業赤字（Q2'26 -$99M）で、未稼働費用は$37M（前年$103M）まで減少した。</t>
  </si>
  <si>
    <t>F2-S8,F2-S9,F2-S6</t>
  </si>
  <si>
    <t>・アナログ市場の順位はTXN首位、ADI第2位が通説（市場調査サイトでTXN約18〜19%、ADI約13.5%、情報源間で不一致のため二次・未確認）。TXNは同業との差を300mm内製で作る。既知（2026-10-17）：300mmで未パッケージのチップが約40%安いと10-Kに記載し、Sherman SM1が2025-12に生産開始。ただし新規として、Infineonが2026-07に€5BのDresden 300mm fabを開所しており（二次）、原価優位は競合に追われ始めている。</t>
  </si>
  <si>
    <t>F2-S15,F2-S12,F2-S16 ※二次</t>
  </si>
  <si>
    <t>・中国の国産化の脅威は、法的・価格面とも未解決。中国商務部は2025-09-13に米国産の汎用インターフェースIC・ゲートドライバIC（40nm以上）の反ダンピング調査を開始し、期限は2026-09-13（最長6か月延長可）。期限後の裁定または延長の有無は今回確認できていない（未取得）。TXNは2026年7〜9月期の決算説明で、自動車売上が前年比で中十%台の伸び（米国と中国が牽引）、中国事業は全社より速く伸びたと述べたとされる（二次・未確認）。</t>
  </si>
  <si>
    <t>F2-S10,F2-S8 ※二次</t>
  </si>
  <si>
    <t>・需給はタイト。TXNは設備投資を2026年$2〜3B（上限寄り）とし、後工程の装置リードタイムが延びていると述べた（二次・未確認）。ADI等のオペアンプ・基準ICは納期60週超との流通情報もある（二次・未確認）。TXNの売上のうちデータセンターは前年比約+95%・全社の約13%、産業は前年比+40%超で過去ピーク超え（二次・未確認）。ピアのAI関連は、STMが2026年のAIデータセンター売上$1B超、MPWRのEnterprise Dataが前年比+164.3%、ADIのCommunicationsが+84%（FQ3'26）で、TXNの追い風は個社固有でなく業界全体の波。</t>
  </si>
  <si>
    <t>F2-S8,F2-S9,F2-S6,F2-S7,F2-S2</t>
  </si>
  <si>
    <t>④ 事業内容・ビジネスモデル</t>
  </si>
  <si>
    <t>セグメント</t>
  </si>
  <si>
    <t>事業内容</t>
  </si>
  <si>
    <t>収益モデル</t>
  </si>
  <si>
    <t>売上構成比</t>
  </si>
  <si>
    <t>Analog（アナログ）</t>
  </si>
  <si>
    <t>Power（バッテリー管理、DC/DCスイッチングレギュレータ、AC/DC・絶縁電源、パワースイッチ、リニアレギュレータ、マルチフェーズコントローラ等）とSignal Chain（アンプ、データコンバータ、インターフェース、モータードライバ、クロック、ロジック、センサー）を、産業機器・車載・データセンター・パーソナルエレクトロニクス・通信機器の設計者と製造者に売る。</t>
  </si>
  <si>
    <t>利益を決めるのは、需要（工場稼働率）、製品ミックス、価格、300mm移行による製造コストの4つ。自社工場の固定費が重く、稼働率が上がると増収分の大半が粗利に落ちる（Q3'26の前期比の限界粗利率は約90%と会社説明、二次）。300mmの未パッケージのチップは200mmより約40%安い（会社説明）。2026年下期は価格が小幅に上昇、2027年の価格交渉は進行中（コール、二次）。償却費の増加は利益率の逆風。</t>
  </si>
  <si>
    <t>F1-S1,F1-S2,F1-S6</t>
  </si>
  <si>
    <t>Embedded Processing（組込みプロセッサ）</t>
  </si>
  <si>
    <t>マイコン、プロセッサ、無線接続、レーダー製品を、主に産業機器と車載の顧客に売る。顧客が自社のソフトウェア資産を載せるため、世代をまたぐ乗り換えが起きにくい。Silicon Labs買収で無線接続製品群が加わる予定（完了前）。</t>
  </si>
  <si>
    <t>利益を決めるのは、工場稼働率（特にLFAB＝購入した稼働中のファブ）と製造コストの償却負担、売上の回復。FY2025は製造コスト増で営業利益率が11.3%に低下したが、LFABの稼働が上がるにつれ組込みが製造コスト低減の恩恵を受ける、と会社は説明している。顧客のソフトウェア資産による囲い込みで製品寿命が長い。Q3'26の営業利益率は26.5%まで回復。</t>
  </si>
  <si>
    <t>F1-S1,F1-S2,F1-S3</t>
  </si>
  <si>
    <t>Other（その他）</t>
  </si>
  <si>
    <t>DLP（高精細画像を投影する製品）、電卓、特定顧客向けのカスタム半導体（ASIC）。このセグメントには買収・統合・リストラ費用や全社項目も含まれる。</t>
  </si>
  <si>
    <t>売上は小さく、利益は製品利益よりも費用項目（FY2025はリストラ費用等$117M、2024年は物件売却益を含む$124Mのクレジット）で振れる。Q3'26はSilicon Labs関連の買収費用$7Mを含む。</t>
  </si>
  <si>
    <t>F1-S1,F1-S2</t>
  </si>
  <si>
    <t>出所：会社資料、The Motley Fool資料より作成（元データは データ_セグメント）</t>
  </si>
  <si>
    <t>F1-S1,F1-S2,F1-S3,F1-S6</t>
  </si>
  <si>
    <t>注1：利益構成比は会社開示のセグメント利益からの算出（調整額を除くセグメント合計に対する比率。赤字セグメントは負）</t>
  </si>
  <si>
    <t>・300mm内製の構造的コスト優位：未パッケージのチップは200mmウエハー品より約40%安いと会社が説明（自己申告）。Richardson・Sherman（テキサス）とLehi（ユタ）の300mm新工場の立ち上げを進め、150mm工場2拠点の閉鎖を計画。製造は大半を内製し、足りない分だけ外部ファウンドリを使う。</t>
  </si>
  <si>
    <t>F1-S1,F1-S3</t>
  </si>
  <si>
    <t>・固定費レバレッジ：自社工場の固定費が重く、稼働率が上がると利益率が跳ね、下がると逆に減益が増幅される。Q3'26は粗利率64.2%（前年同期57.4%）、営業利益率47.5%（同35.1%）と、売上+28%に対し営業利益+73%。</t>
  </si>
  <si>
    <t>F1-S2,F1-S3</t>
  </si>
  <si>
    <t>・直販中心の販売網：FY2025の売上の80%超が直販（TI.com含む）で、顧客は10万社超、売上の約半分は上位50社の外側。注文対応・在庫プログラムなどに投資し、顧客の設計案件への接触を増やす。流通業者は世界1社と一部地域のみを選択肢として提供。</t>
  </si>
  <si>
    <t>・広い製品ポートフォリオと製品寿命：8万点超の製品で産業・車載・データセンター・パーソナルエレクトロニクス・通信機器をカバーし、特定の用途や顧客への依存を抑える。新製品が単期の売上に与える影響は小さく、息の長い製品が積み上がる構造（会社説明）。</t>
  </si>
  <si>
    <t>・在庫の先行構築戦略：用途が広く陳腐化リスクの低い製品は需要に先行して作り置き、リードタイムの競争力を保つ。在庫は$4,672M（2026-09-30）で前年同月$4,829Mより減少、在庫日数は194日（前期比-2日、コール）。</t>
  </si>
  <si>
    <t>・設備投資サイクルとフリーキャッシュフロー：2016〜2025年の10年間で約$24Bを設備投資に配分。6年間の高水準の投資局面は終盤で、2026年の設備投資は$2〜3Bの見込み（コール：高めの水準に寄る）。直近12か月の設備投資$2,578M（前年$4,817M）、FCF$8,422M（売上比40.6%、前年同期$2,415M）。FCFにはCHIPS法の助成金受取$1,104M（直近12か月）を含み、営業CFにもCHIPS法の投資税額控除の現金効果$469Mが含まれる。</t>
  </si>
  <si>
    <t>・地域製造の分散と地政学：北米・アジア・日本・欧州でウエハー製造と組立・テスト拠点を自社運営し、複数拠点・複数工程で供給継続性を確保。『地政学的に頼れる生産能力』を顧客への売りにする。マレーシアの後工程拠点を立ち上げ中（コール、二次）。中国は本社所在地ベースで売上の約21%、出荷先ベースで約50%と、地政学・競合（中国国産化）の影響を受けやすい。</t>
  </si>
  <si>
    <t>F1-S1,F1-S6</t>
  </si>
  <si>
    <t>・経営指標と還元：長期の『1株あたりFCFの成長』を最重要指標とし、FCFの全額を長期に配当と自社株買いで還元する方針。23年連続増配、直近12か月の還元$5,810M。Silicon Labs買収（約$7.5B現金）は完了後の純債務増加と還元余力の要点。</t>
  </si>
  <si>
    <t>F1-S1,F1-S4,F1-S2,F1-S5</t>
  </si>
  <si>
    <t>図2：2025年の売上$17.68B（アナログ$14.01B・組込み$2.70B・その他$979M）と最終市場構成、設備投資$4.6B・R&amp;D$2.1B（出所：会社資料 3）</t>
  </si>
  <si>
    <t>図3：製造拠点15か所・従業員約3.3万人・主要な製造／設計拠点（2025年12月末）（出所：会社資料 3）</t>
  </si>
  <si>
    <t>図4：TI自身が示す4つの競争優位（製造・技術／製品の幅／販売チャネル／多様性と長寿命性）→FCF/株の成長最大化（出所：会社資料 3）</t>
  </si>
  <si>
    <t>F7-S2</t>
  </si>
  <si>
    <t>主力製品と世界シェア</t>
  </si>
  <si>
    <t>製品</t>
  </si>
  <si>
    <t>用途</t>
  </si>
  <si>
    <t>順位</t>
  </si>
  <si>
    <t>世界シェア</t>
  </si>
  <si>
    <t>アナログ全体（Omdia『Power &amp; Analog』定義）</t>
  </si>
  <si>
    <t>アナログ</t>
  </si>
  <si>
    <t>電源管理・信号処理・インタフェース等の主力。TIアナログ売上は2025年$14.01B（売上の約79%）</t>
  </si>
  <si>
    <t>1位</t>
  </si>
  <si>
    <t>世界1位・約11.4%（2023年売上、Omdia定義はパワートランジスタ等を含み、TIのAnalogセグメントとは範囲が異なる。二次・未確認）</t>
  </si>
  <si>
    <t>F7-S3,F7-S4</t>
  </si>
  <si>
    <t>電源管理IC（バッテリー管理・DC/DC・AC/DC・リニア・パワースイッチ等）</t>
  </si>
  <si>
    <t>アナログ（Power）</t>
  </si>
  <si>
    <t>電子機器内の電圧変換・分配・保護。車載・産業・データセンターで使う</t>
  </si>
  <si>
    <t>n.a.</t>
  </si>
  <si>
    <t>シェア開示なし（TIは製品別売上を開示せず、信頼できる第三者推計も見つからず）</t>
  </si>
  <si>
    <t>F7-S3</t>
  </si>
  <si>
    <t>シグナルチェーン（アンプ・データコンバータ・インタフェース・モータードライブ・クロック・ロジック・センシング）</t>
  </si>
  <si>
    <t>アナログ（Signal Chain）</t>
  </si>
  <si>
    <t>実世界の信号を検知・調整・変換してデジタル処理側へ渡す</t>
  </si>
  <si>
    <t>シェア開示なし（同上）</t>
  </si>
  <si>
    <t>マイコン（MSP430・C2000等）</t>
  </si>
  <si>
    <t>組込みプロセッシング</t>
  </si>
  <si>
    <t>家電・工具・産業・車載の制御。顧客が自社ソフトを積み上げるため設計の継続期間が長い</t>
  </si>
  <si>
    <t>全体シェア開示なし（車載向けは次行を参照）</t>
  </si>
  <si>
    <t>車載マイコン</t>
  </si>
  <si>
    <t>車載の制御用。TIの最終市場で車載は売上の33%（2025年）</t>
  </si>
  <si>
    <t>4位</t>
  </si>
  <si>
    <t>世界4位・8.4%（2024年、TechInsights調査の報道。二次・未確認）</t>
  </si>
  <si>
    <t>F7-S5,F7-S1</t>
  </si>
  <si>
    <t>プロセッサ・ミリ波レーダー・無線接続</t>
  </si>
  <si>
    <t>組込み向けの演算、車載・産業のレーダー、無線通信。Silicon Labs買収は完了前（2027年上期見込み）で、連結に含まない</t>
  </si>
  <si>
    <t>シェア開示なし</t>
  </si>
  <si>
    <t>F7-S3,F7-S2</t>
  </si>
  <si>
    <t>DLP・電卓・カスタムASIC</t>
  </si>
  <si>
    <t>その他</t>
  </si>
  <si>
    <t>DLPは主に高精細映像の投影用。その他の売上は2025年$979M</t>
  </si>
  <si>
    <t>シェア開示なし（外部推計の一次・信頼できる二次を今回は確認できず）</t>
  </si>
  <si>
    <t>F7-S3,F7-S1</t>
  </si>
  <si>
    <t>注1：シェアは各出所の定義（数量・金額、対象市場の範囲、年）による。異なる出所のシェアは直接比較できない</t>
  </si>
  <si>
    <t>図5：買収予定のSilicon Labsの用途例（産業向けが売上の約85%、2025年。組込み無線の主な最終用途）（出所：会社資料 5）</t>
  </si>
  <si>
    <t>⑤ 社長の来歴</t>
  </si>
  <si>
    <t>氏名</t>
  </si>
  <si>
    <t>Haviv Ilan（ハビブ・イラン）</t>
  </si>
  <si>
    <t>役職</t>
  </si>
  <si>
    <t>会長兼社長兼CEO（Chairman, President and CEO）</t>
  </si>
  <si>
    <t>生年</t>
  </si>
  <si>
    <t>1968〜69年頃（推定: 8-K・委任状の年齢 52歳[2020-08]、54歳[2023-01]、57歳[2026-03] から逆算）</t>
  </si>
  <si>
    <t>就任</t>
  </si>
  <si>
    <t>CEO 2023-04-01 就任、会長兼務 2026-01-01（Templeton 氏の退任 2025-12-31 を受けて）</t>
  </si>
  <si>
    <t>年</t>
  </si>
  <si>
    <t>経歴・出来事</t>
  </si>
  <si>
    <t>1999頃</t>
  </si>
  <si>
    <t>TI入社（2020-08時点で社歴21年とされる）。入社時期の月日は未確認</t>
  </si>
  <si>
    <t>F3-S1</t>
  </si>
  <si>
    <t>2014</t>
  </si>
  <si>
    <t>この頃から上級職（senior level）に就く。委任状は「2014年から上級職」と記載（具体的な役職名は未確認）</t>
  </si>
  <si>
    <t>F3-S7</t>
  </si>
  <si>
    <t>2018〜2020</t>
  </si>
  <si>
    <t>アナログ事業のシグナルチェーン製品ラインを担当する上級副社長（2020-08 の8-Kが「直前の役職」として記載。開始年は未確認）</t>
  </si>
  <si>
    <t>2020-08</t>
  </si>
  <si>
    <t>取締役会が COO（最高執行責任者）に選任（2020-08-13、同18日付）。事業・営業、IT、技術・製造の全体を統括。基本給 $850,000</t>
  </si>
  <si>
    <t>2021-12</t>
  </si>
  <si>
    <t>取締役に選任（2021-12-02）。COO を継続</t>
  </si>
  <si>
    <t>F3-S2</t>
  </si>
  <si>
    <t>2023-01</t>
  </si>
  <si>
    <t>取締役会が Richard Templeton 氏の後任の社長兼CEOに任命（2023-01-19 決議、2023-04-01 発効）。Templeton 氏は会長に残留。基本給 $1,150,000</t>
  </si>
  <si>
    <t>F3-S3</t>
  </si>
  <si>
    <t>2025-10</t>
  </si>
  <si>
    <t>Templeton 氏が2025-12-31 付で執行会長・取締役を退任すると通知。取締役会が Ilan 氏を新会長に任命（退任日付で発効）</t>
  </si>
  <si>
    <t>F3-S4</t>
  </si>
  <si>
    <t>2026-02</t>
  </si>
  <si>
    <t>Silicon Labs を1株$231の全額現金（EV 約$7.5B）で買収すると発表。TI史上2件目の大型買収（2011年 National Semiconductor に次ぐ）</t>
  </si>
  <si>
    <t>F3-S21</t>
  </si>
  <si>
    <t>2026-04</t>
  </si>
  <si>
    <t>年次株主総会（2026-04-16）で取締役に再選（賛成 726.4M 株、反対 31.3M 株＝賛成率 約95.9%）。報酬の承認議案（Say-on-Pay）の賛成率は約83.2%</t>
  </si>
  <si>
    <t>F3-S8</t>
  </si>
  <si>
    <t>2026-08</t>
  </si>
  <si>
    <t>CFO が Rafael Lizardi 氏から Julie Knecht 氏へ交代（2026-08-01 発効、いずれも社内人材）。SVP Hagop Kozanian 氏（アナログ・シグナルチェーン担当）は 2026-08-31 退任</t>
  </si>
  <si>
    <t>F3-S5,F3-S6</t>
  </si>
  <si>
    <t>・【資本配分と設備投資】CEO就任前の2022年に始まった300mm大型投資は就任後も継続し、設備投資は2021年$2.46B→2023年$5.07B→2024年$4.82B→2025年$4.55B。会社は10-Kで「6年間の高水準設備投資サイクルの終盤」と述べ、2026年は$2〜3Bを見込む。営業CF−設備投資で自己算出した1株FCFは2022年$6.40→2023年$1.47→2025年$2.85と落ち込み、直近12か月（2026-09期）はTI定義のFCFが$8.42B（1株約$9.2、うちCHIPS法の受取$1.10Bを含む）へ回復した。景気の山で投資を増やし、谷でFCFを犠牲にしたあと2026年に回収期へ入った構図で、需要予測は外したが建設の実行自体は予定通りに進めた。</t>
  </si>
  <si>
    <t>F3-S18,F3-S9,F3-S11,F3-S12</t>
  </si>
  <si>
    <t>・【ROIC（自己算出）】税引後営業利益÷平均投下資本（自己資本＋有利子負債−現金・短期投資）で、2021年75%、2022年69%、2023年38%、2024年23%、2025年22%、直近12か月（2026-09期）約29%。分母は設備投資の累積で約2.4倍（2021年末$11.3B→2025年末$25.4B）に膨らみ、分子は2022年のピークを下回る。ROICは資本コスト（会社が買収基準に用いる約10%、二次）を上回る水準を保つが、投資回収は2026年の増収・稼働率上昇に依存する。</t>
  </si>
  <si>
    <t>F3-S18,F3-S12,F3-S19</t>
  </si>
  <si>
    <t>・【約束と実績の突合】入手できた約束（2026-02の資本管理説明会、2024年後半の臨時更新）に対する実績は言行一致に近い。2026年設備投資$2〜3Bは10-K（一次）で確認でき、2026年9か月累計は約$1.65B（Q1 $676M・Q2 $514M・Q3 $463M）。1株FCF「$8超」（二次）は直近12か月で約$9.2（CHIPS受取を除くと約$8.0）。2026年売上は9か月累計$16.34B＋Q4ガイダンス中央値$6.05B＝約$22.4B（推定）で、2024年後半の更新が示した$20〜26B（二次）の範囲内。ただし約束の多くは期中に下方修正された後のもので、2022年の説明会（2026年売上$26Bの見通しとされる）の一次資料はTI IRが403で取得できず、当初約束の達成度は検証できない。</t>
  </si>
  <si>
    <t>F3-S9,F3-S12,F3-S13,F3-S14,F3-S19,F3-S20</t>
  </si>
  <si>
    <t>・【決算ガイダンスの精度】売上は直近6四半期（2025年Q2〜2026年Q3）すべてで実績がガイダンス中央値を上回り、上振れ幅は平均+3.4%（+0.5%〜+7.2%）、2026年Q1・Q2はレンジ上限も超えた。EPSは2026年Q1〜Q3の3四半期連続でレンジ上限超え。レンジは中央値±約4%で、保守的ガイダンスの傾向は弱〜中程度。2026年Q4のガイダンス中央値は売上$6.05B（Q3実績$6.055Bとほぼ同水準）で、前期比の伸びは止まる前提。</t>
  </si>
  <si>
    <t>F3-S12,F3-S13,F3-S14,F3-S15,F3-S16,F3-S17</t>
  </si>
  <si>
    <t>・【株主還元と財務】配当は2023〜2025年にFCF（営業CF−設備投資）の約338%、320%、192%（2025年はTI定義FCF$2.94Bに対し$5.0B、約170%）で、不足分は借入と現金・短期投資の取り崩しで賄った。有利子負債は2021年末$7.7B→2025年末$14.0B、純負債は2021年の純現金約$2.0B→2025年末約$9.2B→2026-09末約$5.4B（自己算出）。自社株買いは2023年$0.29B、2025年$1.48B（平均約$174/株、約8.5M株）、直近12か月$0.64B。配当は23年連続増配（2026-09に$1.52へ増額）。Thorndike『The Outsiders』型の機動的な買い戻し型ではなく、配当優先の定常型と解釈する。</t>
  </si>
  <si>
    <t>F3-S18,F3-S7,F3-S12</t>
  </si>
  <si>
    <t>・【役員報酬とKPIの整合】報酬委員会の賞与は、売上成長率・営業利益率・株主総利回り（TSR）の同業比較と戦略的進捗を総合判断し、公式・目標・閾値は使わない。会社が最重要指標とする1株FCFの成長は評価の文脈に挙がるが、報酬の測定指標ではない。2025年の賞与は前年比+10%（CEO $2.625M）だが、1年TSRは−4.5%（同業中央値を下回る）、2023〜2025年の売上CAGRは−4.1%で同業中央値を下回った。CEOの株式報酬の付与額は2023年$12M→2024年$15M→2025年$18M（半分は4年クリフのRSU、半分はオプションで業績連動株式は無い）、2025年の報酬総額は$22.7M。Say-on-Payの賛成率83.2%は反対が約17%と小さくない。説明（1株FCF重視）と報酬の測定指標がずれている。</t>
  </si>
  <si>
    <t>F3-S7,F3-S8</t>
  </si>
  <si>
    <t>・【持株と利害一致】2025年末時点のIlan氏の実質保有は760,717株（発行済みの1%未満）で、うち権利行使可能なオプション561,511株とRSU 153,125株を除く直接保有は約46,100株（自己算出）。持株ガイドラインはCEOで基本給の6倍（RSUを含む）。インサイダー保有比率は5%の閾値を大きく下回り、実質の利害一致は株式報酬の保有に依存する。株式の担保提供・ヘッジは禁止、役員は雇用契約を持たない。</t>
  </si>
  <si>
    <t>・【Silicon Labs買収の規律】対価は1株$231現金、EV約$7.5B。TI史上の大型買収は2011年（National Semiconductor）に続く2件目。会社は投資収益が資本コスト（約10%）以上になる時期を3〜5年後とする（二次）。買い戻しは買収資金確保のため低位に抑えられている。完了は2027年上期見込みで、規律の成否（シナジー実現、買収後ROIC）は2027年以降でないと判定できない。</t>
  </si>
  <si>
    <t>F3-S21,F3-S9,F3-S19,F3-S12</t>
  </si>
  <si>
    <t>・【後継体制とガバナンス】会長とCEOの兼務は2026-01-01から。取締役12名のうち11名が独立で、筆頭独立取締役は Janet Clark 氏（委任状）。CFOは社内で25年超の Julie Knecht 氏（2021年から最高会計責任者）が2026-08-01に就任。直近1年で会長（Templeton）、CFO（Lizardi）、アナログのシグナルチェーン担当SVP（Kozanian）の3名が入れ替わり、経営の連続性は社内昇格で保たれるが、CEOへの権限集中と上級幹部の世代交代が同時に進んでいる。</t>
  </si>
  <si>
    <t>F3-S4,F3-S5,F3-S6,F3-S7,F3-S9</t>
  </si>
  <si>
    <t>⑥ SWOT</t>
  </si>
  <si>
    <t>S 強み</t>
  </si>
  <si>
    <t>W 弱み</t>
  </si>
  <si>
    <t>・300mm 内製による構造的なコスト優位（未パッケージのチップが 200mm 品より約40%安いと会社が説明）と、直販80%超・顧客10万社超の販売網。</t>
  </si>
  <si>
    <t>・固定費が重い自社製造モデル。減価償却は 2022年 $925M から直近12か月 約 $2,180M（売上比 4.6%→10.5%）に増え、需要減時の利益の振れが大きい。</t>
  </si>
  <si>
    <t>F6-S5,F6-S1,F6-S3</t>
  </si>
  <si>
    <t>・8万点超の製品群と長い製品寿命。需要回復局面で固定費の効果が大きく、Q3'26 の営業利益率は 47.5%（前年同期 35.1%）。</t>
  </si>
  <si>
    <t>・FCF の約19%（直近12か月 $1,573M）は CHIPS 受取と投資税額控除の現金効果。補助金除き FCF は $6,849M（売上比 33.0%）。</t>
  </si>
  <si>
    <t>F6-S1,F6-S2</t>
  </si>
  <si>
    <t>・設備投資のピークアウト（直近12か月 $2.6B、2025年 $4.55B）で TI 定義 FCF は直近12か月 $8.4B（売上比 40.6%）。23年連続増配。</t>
  </si>
  <si>
    <t>F1-S2,F1-S4</t>
  </si>
  <si>
    <t>・還元が配当に偏る。直近12か月の配当は補助金除き FCF の 76%、自社株買いは $636M で希薄化後株数は減っていない。</t>
  </si>
  <si>
    <t>F6-S1,F6-S2,F6-S5</t>
  </si>
  <si>
    <t>・中国依存。最終顧客の本社所在地で売上の 21%（2025年 $3,781M）、出荷先ベースで約 50%。</t>
  </si>
  <si>
    <t>F6-S2</t>
  </si>
  <si>
    <t>・組込み処理の収益力が低い。Q3'26 の営業利益率はアナログ 51.0% に対し組込み 26.5%。</t>
  </si>
  <si>
    <t>F6-S1</t>
  </si>
  <si>
    <t>O 機会</t>
  </si>
  <si>
    <t>T 脅威</t>
  </si>
  <si>
    <t>・データセンター向けが前年比 約+95%・売上の約13%に拡大、産業は前年比 +40%超（決算コール、二次・未確認）。</t>
  </si>
  <si>
    <t>F1-S6 ※二次</t>
  </si>
  <si>
    <t>・中国商務部の反ダンピング調査（インターフェース IC・ゲートドライバ IC）が未決着。米中休戦の期限 2027-01-10 に失効すれば、対象売上（推定 $1.0〜1.5B）に暫定措置の恐れ。</t>
  </si>
  <si>
    <t>F6-S6,F6-S7,F6-S13</t>
  </si>
  <si>
    <t>・2026年下期の小幅値上げと 2027年の価格交渉（コール、二次・未確認）。Silicon Labs 買収で無線接続製品と年 $450M のシナジー（完了後3年以内）を取り込める。</t>
  </si>
  <si>
    <t>F1-S5,F1-S6</t>
  </si>
  <si>
    <t>・Silicon Labs 買収で中国 SAMR の審査が長引く・条件が付くリスク。終了日は 2027-02-04（最長 2028-02-04）、不成立時の違約金 $499M。</t>
  </si>
  <si>
    <t>F6-S15,F6-S17</t>
  </si>
  <si>
    <t>・投資税額控除 35%（OBBBA）などで 2026年以降の実効税率が低下（2027年 13〜14% 見込み、コール、二次）。</t>
  </si>
  <si>
    <t>・景気反転と顧客の在庫調整。前回は売上 −22%（2022→2024年）で営業利益 −46%。</t>
  </si>
  <si>
    <t>F6-S2,F6-S5</t>
  </si>
  <si>
    <t>・中国の国産化と汎用品の値下がり。商務部は対象輸入品の価格が 2022〜2024年で累計 −52% と主張。</t>
  </si>
  <si>
    <t>F6-S10</t>
  </si>
  <si>
    <t>・CHIPS 補助金・投資税額控除の前提変更。契約に返還（クローバック）条項があり、設備投資が減るほど将来の控除も減る。</t>
  </si>
  <si>
    <t>F6-S2,F6-S3</t>
  </si>
  <si>
    <t>⑦ 関連市況</t>
  </si>
  <si>
    <t>系列</t>
  </si>
  <si>
    <t>単位</t>
  </si>
  <si>
    <t>頻度</t>
  </si>
  <si>
    <t>最新時点</t>
  </si>
  <si>
    <t>最新値</t>
  </si>
  <si>
    <t>1年前比</t>
  </si>
  <si>
    <t>5年最小</t>
  </si>
  <si>
    <t>5年最大</t>
  </si>
  <si>
    <t>5年レンジ内の位置</t>
  </si>
  <si>
    <t>観測数（5年）</t>
  </si>
  <si>
    <t>米国PPI 半導体・関連デバイス製造（NSA, 1998/12=100）</t>
  </si>
  <si>
    <t>指数</t>
  </si>
  <si>
    <t>月次</t>
  </si>
  <si>
    <t>F8-S1</t>
  </si>
  <si>
    <t>米国鉱工業生産 半導体・その他電子部品（NAICS3344, SA, 2017=100）</t>
  </si>
  <si>
    <t>指数(2017=100)</t>
  </si>
  <si>
    <t>F8-S2</t>
  </si>
  <si>
    <t>米国軽自動車販売台数（乗用車+軽トラック, SAAR）</t>
  </si>
  <si>
    <t>百万台(年率)</t>
  </si>
  <si>
    <t>F8-S3</t>
  </si>
  <si>
    <t>米国鉱工業生産 製造業（SA, 2017=100）</t>
  </si>
  <si>
    <t>F8-S4</t>
  </si>
  <si>
    <t>米国製造業新規受注 コンピュータ・電子製品（SA）</t>
  </si>
  <si>
    <t>百万ドル</t>
  </si>
  <si>
    <t>F8-S5</t>
  </si>
  <si>
    <t>注1：1年前比は最新時点の 1 年前以前で最も近い観測（月次・週次は 45 日、日次は 10 日以内）との比較。5年レンジ内の位置＝(最新値−5年最小)÷(5年最大−5年最小)（0%＝最安、100%＝最高）</t>
  </si>
  <si>
    <t>業績への効き方：半導体の販売価格水準。TIのアナログ/組込み製品のASP・値上げ余地と粗利率に直結（全セグメント）。</t>
  </si>
  <si>
    <t>業績への効き方：米国内の半導体・電子部品の生産水準。TIの米国ファブ稼働（Sherman/Richardson/Lehi）と顧客の需要・在庫調整局面を映す（Analog・Embedded）。</t>
  </si>
  <si>
    <t>出所：BLS資料より作成</t>
  </si>
  <si>
    <t>出所：Federal Reserve Board資料より作成</t>
  </si>
  <si>
    <t>F8-S1,F8-S2</t>
  </si>
  <si>
    <t>業績への効き方：車載向けが売上の約3割（Automotive）。米新車販売は車載半導体需要の最終需要側先行指標。</t>
  </si>
  <si>
    <t>業績への効き方：産業向け（Industrial）は最大の最終市場。製造業の稼働は産業用機器の設備投資・在庫循環の代理指標。</t>
  </si>
  <si>
    <t>出所：BEA資料より作成</t>
  </si>
  <si>
    <t>F8-S3,F8-S4</t>
  </si>
  <si>
    <t>業績への効き方：電子機器メーカーの新規受注。半導体顧客の発注・在庫補充の需要先行指標（Enterprise/Comms・Personal electronics含む）。</t>
  </si>
  <si>
    <t>出所：Census Bureau資料より作成</t>
  </si>
  <si>
    <t>TXN Texas Instruments　投資判断・目標株価</t>
  </si>
  <si>
    <t>基準日 2026-10-23／金額は百万ドル（株価はドル）／計算過程は 計算_DCF・計算_シナリオ を参照</t>
  </si>
  <si>
    <t>シナリオ切替（1=base, 2=bull, 3=bear）</t>
  </si>
  <si>
    <t>表示中シナリオ（切替セル）のDCF理論株価</t>
  </si>
  <si>
    <t>① 投資判断</t>
  </si>
  <si>
    <t>回避</t>
  </si>
  <si>
    <t>確信度（1〜5）</t>
  </si>
  <si>
    <t>投資期間</t>
  </si>
  <si>
    <t>6〜18か月（2027年1月の Q4 決算・2月の資本管理説明会から、2027年後半のサイクル判定まで）</t>
  </si>
  <si>
    <t>現在株価（2026-10-22）</t>
  </si>
  <si>
    <t>目標株価（＝DCF理論株価 base）</t>
  </si>
  <si>
    <t>確率加重期待値（base/bull/bear、各0ドル下限）</t>
  </si>
  <si>
    <t>期待値ベースの上昇余地</t>
  </si>
  <si>
    <t>注1：目標株価は base の DCF理論株価（シナリオ切替に依存しない）。切替は 3_Assumptions の上書き仮定と 計算_DCF に連動</t>
  </si>
  <si>
    <t>注2：確率加重は各シナリオを0ドルで下限処理（株主の有限責任）。シナリオ表の理論株価は下限処理前の値</t>
  </si>
  <si>
    <t>投資判断の要旨</t>
  </si>
  <si>
    <t>・事業の質は高く、Q3'26 は売上 +28%・営業利益率 47.5% と回復は本物。ただし株価 $279.50 は直近12か月 EPS の約36倍・EV/EBITDA 24.5倍。米10年国債 5.13% を前提にした DCF は base $129・bull $173・bear $85（確率加重 $129）で、WACC を 8% まで下げても base は約 $179 にとどまる。逆DCFでは、現在株価は base の業績なら WACC 約 6.4%（β1.2 なら ERP 約1.1% 相当）を必要とし、2028年 +13%・粗利率 65% が続く強い業績パスでも約 8.2% を要する。市場は強い業績と低い割引率を同時に織り込んでおり、どちらか一方が外れれば下値余地が大きい。新規の買いは見送り、既存保有は下記の条件で縮小を検討する。なお「回避」は DCF の前提の幅には頑健だが、倍率法（PER 30倍）を採れば逆転するため、評価方法の選択には依存する。投資助言ではない。</t>
  </si>
  <si>
    <t>反証条件（これが起きたら判断を撤回）</t>
  </si>
  <si>
    <t>・【回避が誤りとなる条件 → Buy 再検討】株価が bull シナリオの理論株価（約 $173）以下に下落（現値比 約 −38%。実質的には見送りに近い条件）。</t>
  </si>
  <si>
    <t>S2-S4 ※二次</t>
  </si>
  <si>
    <t>・【再評価を起動（いずれか1つ、期限 2027年1月の Q4 決算日）】FQ1'27 売上ガイダンス中央値が $6.3B 以上。</t>
  </si>
  <si>
    <t>・【同上】2027年の値上げを中位一桁%以上と開示。</t>
  </si>
  <si>
    <t>F6-S4,F4-S2 ※二次</t>
  </si>
  <si>
    <t>・【同上】粗利率 64% 以上を2四半期続けて維持（bull の粗利率前提が実現）。</t>
  </si>
  <si>
    <t>・【前提の反証】米10年国債が 5% を超えたまま、TXN の EV/EBITDA が 20倍超で4四半期続き、業績が base 並みなら、市場の割引率は当方の想定（β1.2・ERP 4.2%）より構造的に低い。β・ERP の組合せを見直して DCF を再計算する。</t>
  </si>
  <si>
    <t>S2-S1,S2-S2,S2-S4</t>
  </si>
  <si>
    <t>・【既存保有者の売却を急ぐ条件（いずれか1つ）】FQ1'27 売上ガイダンス中央値が $5.6B 未満、在庫日数が2四半期連続で上昇し 210日超、または粗利率が2四半期連続で低下し 60% 割れ。</t>
  </si>
  <si>
    <t>F6-S1,F6-S4</t>
  </si>
  <si>
    <t>・【同上】補助金除き FCF の直近12か月売上比が 25% 割れ、または配当が補助金除き FCF の 100% 超。</t>
  </si>
  <si>
    <t>・【同上】中国商務部が反ダンピング調査で暫定措置・延長を公告、または米中の停止措置が 2027-01-10 に延長されず失効。</t>
  </si>
  <si>
    <t>F6-S7,F6-S13</t>
  </si>
  <si>
    <t>カタリスト</t>
  </si>
  <si>
    <t>時期</t>
  </si>
  <si>
    <t>イベント</t>
  </si>
  <si>
    <t>2026-10-29</t>
  </si>
  <si>
    <t>STMicroelectronics Q3 決算（受注・book-to-bill でダブルオーダーの程度を確認）</t>
  </si>
  <si>
    <t>2026-10 下旬〜11 上旬</t>
  </si>
  <si>
    <t>NXP（流通在庫週数）・Microchip の決算</t>
  </si>
  <si>
    <t>2026-11 中旬</t>
  </si>
  <si>
    <t>ADI FQ4'26 決算（需要と値上げの外部確認。日付未確認）</t>
  </si>
  <si>
    <t>2026-12</t>
  </si>
  <si>
    <t>WSTS 秋季予測（アナログ 2027年の成長率）</t>
  </si>
  <si>
    <t>2027-01-10</t>
  </si>
  <si>
    <t>米中の関税・非関税措置の停止期限（反ダンピング調査の分岐点）</t>
  </si>
  <si>
    <t>2027-01 下旬</t>
  </si>
  <si>
    <t>Q4'26 決算と 2027年の価格交渉結果の開示（日付未確認）</t>
  </si>
  <si>
    <t>2027-02</t>
  </si>
  <si>
    <t>資本管理説明会・2027年設備投資の設定（日付未確認）</t>
  </si>
  <si>
    <t>2027 上期</t>
  </si>
  <si>
    <t>Silicon Labs 買収の完了見込み（中国 SAMR の承認が条件）</t>
  </si>
  <si>
    <t>② 市場の注目点（市場の見方と当社の見方）</t>
  </si>
  <si>
    <t>テーマ</t>
  </si>
  <si>
    <t>市場の見方</t>
  </si>
  <si>
    <t>当社の見方</t>
  </si>
  <si>
    <t>Q4'26ガイダンスと季節性（需要の強さ）</t>
  </si>
  <si>
    <t>Q4'26(10-12月期)売上ガイダンスは$5.80〜6.30B(中央値$6.05B)、EPSは$2.45〜2.79(中央値$2.62)。決算前のコンセンサスは売上約$5.73〜5.75B・EPS約$2.27〜2.29（二次・未確認）で、レンジ下限が市場予想を上回った。会社は「季節性を上回る」と説明し、理由にデータセンター、産業回復、車載を挙げた（二次の通話記録）。Q3'26実績は売上$6,055M(前年比+28%、前期比+11%)、EPS$2.62(税の離散項目で-$0.01)。ただしレンジ幅は$500Mと広く、中央値より下限が重要との指摘がある（二次）。</t>
  </si>
  <si>
    <t>ガイダンスは市場予想を上回ったが、中央値は Q3 並み。前四半期比で横ばいを示した点を、成長の頭打ちの初期サインとみる。2027年の base は +7% と置き、FQ1'27 ガイダンス（1月）で確かめる。</t>
  </si>
  <si>
    <t>F4-S1,F4-S2,F4-S10,F4-S11</t>
  </si>
  <si>
    <t>粗利率と増分利益率（稼働率・300mm）</t>
  </si>
  <si>
    <t>Q3'26の粗利率は64.2%（粗利$3,887M÷売上$6,055M）、前期比+280bp。会社は主因を売上増とし、工場稼働、価格、製品・最終市場ミックスも寄与と説明した（二次の通話記録）。前期比の増分粗利率は約90%（Q2'26粗利率61.4%・売上$5,463Mは既知、司令塔計算）で、会社の長期目安75〜85%（二次）を上回る。Morgan Stanleyは粗利率のポジティブサプライズを指摘する一方、在庫水準が高くアナログの完全回復と呼ぶのは時期尚早とした（二次）。営業利益率は47.5%（営業利益$2,874M）。</t>
  </si>
  <si>
    <t>増分粗利率 約90% は稼働率の回復によるもので、毎期は続かない。減価償却が売上比 10% 超に増えたため、売上が下を向くと利益率の落ちも大きい。粗利率は 2027年 63% を上限に、2028年は 60.5% に戻すのが base。</t>
  </si>
  <si>
    <t>F4-S1,F4-S2,F4-S3,F4-S8,F4-S20,F6-S5</t>
  </si>
  <si>
    <t>値上げと2027年の価格交渉</t>
  </si>
  <si>
    <t>7月(Q2)コールでは、価格は上期据え置きで値上げを開始、Q3の増収の大半は数量で価格の寄与は小さいと説明（二次）。10月(Q3)コールでは、アナログ価格が2026年下期に改善、2027年向けの顧客別の年次価格交渉が進行中で、詳細は2027年1月の決算で開示する意向（二次）。通常は年1回の交渉だが、供給が急務の顧客向けに期央の値上げ機会があったとの説明もある（二次）。売上増に占める価格寄与の数値開示は確認できない。</t>
  </si>
  <si>
    <t>値上げの寄与はまだ小さい（二次の通話記録）。一方で半導体 PPI は前年比 −2.2% で、業界全体では価格の上昇を確認できない。値上げは bull シナリオの条件として扱い、base には入れない。</t>
  </si>
  <si>
    <t>F4-S2,F4-S3,F4-S7,F4-S18,F8-S1</t>
  </si>
  <si>
    <t>データセンター・産業・車載の需要</t>
  </si>
  <si>
    <t>Q3'26のデータセンター売上は前年比約+95%・前期比約+20%、売上の約13%（Q2'26は前年比約2倍・前期比約+20%）。産業は前年比+40%超で4年ぶりの過去最高水準、車載は前年比で10%台半ば（米国・中国が牽引）、パーソナルエレクトロニクスは前年比ほぼ横ばい（以上、二次の通話記録）。CEOはデータセンター需要の鈍化は見えず来年も成長が続くと述べた。顧客在庫は低く、車載で一部に供給逼迫があるがCOVID期ほどではない。リードタイムは小幅に延伸（二次）。セグメント別は、アナログ売上$4,911M(前年比+32%、営業利益$2,505M)、組込み$858M(同+21%、同$227M)（一次）。</t>
  </si>
  <si>
    <t>データセンター・産業は本物の需要だが、半導体・電子部品の生産 +19.9% に対し製造業全体 +1.4%、中国の自動車生産 −8.7% と、部品の伸びが最終需要を上回る。補充需要が一巡した後の伸びが論点。</t>
  </si>
  <si>
    <t>F4-S1,F4-S2,F4-S3,F4-S7,F5-S5,F5-S8</t>
  </si>
  <si>
    <t>設備投資・FCF・在庫日数（300mm投資の回収）</t>
  </si>
  <si>
    <t>Q3'26の設備投資は$463M(前年同期$1,197M)。直近12か月(2026-09期)の設備投資は$2,578M、営業CFは$9,896M、TI定義のFCFは$8,422M（売上比40.6%、CHIPS法の受取$1,104Mを含む。ITC活用$469Mは営業CF側）（一次）。2026年の設備投資ガイダンスは$2〜3Bで、設備の納入時期次第で上限近辺になり得る（二次）。上限に近づく場合はQ4の投資がQ3の$463Mより増える計算（司令塔推定、1-3Q累計は未照合）。2027年の設備投資は2027年2月に設定する予定で、2027年以降用のクリーンルーム工事は確保済みとの説明（二次）。在庫は$4,672M、194日分（前期比-2日、通話記録）。純債務は有利子負債$13,555M(流動$650M+長期$12,905M)から現金$4,211M・短期投資$3,931Mを引いた約$5.4B（司令塔計算）。配当は$1.42→$1.52に7%増額(23年連続、基準日2026-10-30)（一次）。</t>
  </si>
  <si>
    <t>FCF の回復は設備投資の減少が主因で、約2割は補助金。補助金除きでは売上比 33%。設備投資は 2027年に売上比 10%、2028年 9% まで下がる前提で、FCF の伸びはそこで止まる。</t>
  </si>
  <si>
    <t>F4-S1,F4-S2,F4-S3,F4-S6,F6-S1</t>
  </si>
  <si>
    <t>中国（売上比率・反ダンピング調査・競争）</t>
  </si>
  <si>
    <t>通話では車載で中国が需要を牽引し、中国事業は全社平均より速く成長との説明（二次）。中国商務部は2025-09-13、TI・ADI・Broadcom・Onsemiなど米国産の40nm以上アナログIC（汎用インターフェース、ゲートドライバ）の反ダンピング調査を開始。通常の期限は2026-09-13、特別な場合は6か月延長で最長2027-03-13（検索要約、公告原文は未確認）。2026-10-23時点で延長・仮決定・終局の公告は確認できず、状況は未確認。TIの売上の地理は本社所在地ベースで中国約21%（既知、10-K FY2025）。</t>
  </si>
  <si>
    <t>未決着のまま法定期限を過ぎており、休戦期限 2027-01-10 が分岐点。影響は推定で営業利益の数%で、評価の主因ではないが、反証条件で監視する。</t>
  </si>
  <si>
    <t>F4-S2,F4-S3,F4-S15,F4-S20,F6-S7,F6-S13</t>
  </si>
  <si>
    <t>Silicon Labs買収（資金・承認・完了時期）</t>
  </si>
  <si>
    <t>2026-02-04発表、現金$231.00/株・EV約$7.5B、完了は2027年上期見込み（一次、10-Q）。2026-06に買収完了を条件とする364日つなぎ融資(delayed draw term loan)最大$5Bを設定し、2026-06-30時点の借入はなし（一次）。Silicon Labs株主は2026-04-30に承認、米HSRの待機は2026-05-22に失効（二次）。7月コールでは規制承認は計画通り進行、資金は手元資金と負債と説明（二次）。中国SAMRの決定は確認できない（中国売上比率の指摘は二次・未確認）。10月のQ3コールではSilicon Labsに関する新情報は確認できなかった。</t>
  </si>
  <si>
    <t>完了しても EPS は増えるが、ROIC は下がる見込み。不成立でも違約金 $499M で済むため TXN の下値への影響は限定的。DCF には含めていない。</t>
  </si>
  <si>
    <t>F4-S5,F4-S7,F4-S13,F4-S14,F6-S17</t>
  </si>
  <si>
    <t>決算後の株価反応とセルサイド評価（織り込み）</t>
  </si>
  <si>
    <t>2026-10-22の終値は$279.50で前日比-1.81%、出来高13.87M株（直前20営業日平均5.52M株の約2.5倍）（二次データ）。決算前日の10-21は+2.47%($284.65)、10-23は取引途中で約+1.0%($282.34)。過去2回の反応は、4月(Q1)が+19.4%（4/23、$236.31→$282.23、出来高25.7M株）、7月(Q2)が-3.1%（7/23、$294.19→$284.99、出来高11.7M株）。セルサイド（二次・未確認）は決算後にJPMorgan(Overweight)$340→$365、Stifel(Buy)$360→$370、Rosenblatt(Buy)$350→$360、Barclays(Equal-Weight)$250→$280、Jefferies(Hold)$260→$300、Morgan Stanley(Underweight)$255→$278、Mizuho(Neutral)$305→$290。コンセンサス目標は約$303〜311、格付けはHold中心（16 Buy・10 Hold・4 Sell）。織り込み: 実績PER約36倍（直近4四半期EPS$7.71）、予想PER約28倍（第三者）。</t>
  </si>
  <si>
    <t>決算翌日の下落は、好決算でも上値を追わない局面であることを示す。セルサイドの目標（約 $300）は、base の 2027年 EPS の約30倍、または bull の 2028年 EPS の約22倍に当たり、DCF に直すと「強い業績パス（2028年 +13%・粗利率 65% 永続）× WACC 約 8%」に相当する。当方の base（$129）との差の約7割は業績の前提の差で、割引率の差は約2割。</t>
  </si>
  <si>
    <t>F4-S4,F4-S8,F4-S9,F4-S10,F4-S11,F4-S12,S2-S1</t>
  </si>
  <si>
    <t>③ 伸びる点・懸念点・TAM・強気/弱気の上振れ幅</t>
  </si>
  <si>
    <t>［景気・市況］サイクルは拡張の中盤から後半の入口とみる（後半入りの確率は主観で約6割）</t>
  </si>
  <si>
    <t>・TI の売上は底（2024年1〜3月期）から10四半期で +65% と前回の上昇局面（9四半期 +62%）並みに達し、Q3'26 は前回ピークを 15.5% 上回った。ISM 価格指数・電子部品の不足の長期化・部品生産と最終製造の乖離はダブルオーダーの兆候。一方、ISM の顧客在庫 41.6（少なすぎる状態が24か月連続）と多くの会社の流通在庫の薄さは、補充需要がまだ残ることを示す反対証拠である。サイクルの天井は事後にしか確定しないため、判定は確率付きとする。base は 2027年 +7%（WSTS アナログ 2027年 +6.6% と同水準）、2028年 +4% とし、2028年の利益率を中位循環の水準に戻す（予測ではなく正規化の仮定）。</t>
  </si>
  <si>
    <t>根拠</t>
  </si>
  <si>
    <t>数値</t>
  </si>
  <si>
    <t>・TI 四半期売上: 前回ピーク 2022年7〜9月期 $5,241M、底 2024年1〜3月期 $3,661M、2026年7〜9月期 $6,055M</t>
  </si>
  <si>
    <t>底から +65%・10四半期</t>
  </si>
  <si>
    <t>F5-S13,F5-S9</t>
  </si>
  <si>
    <t>・米 ISM 製造業 2026年9月: 価格 77.9、電子部品の不足 19か月連続（過熱側）。顧客在庫 41.6（少なすぎる、24か月連続）は反対証拠</t>
  </si>
  <si>
    <t>価格 77.9</t>
  </si>
  <si>
    <t>F5-S4</t>
  </si>
  <si>
    <t>・米鉱工業生産 2026年9月 前年比: 半導体・電子部品 +19.9%、製造業全体 +1.4%</t>
  </si>
  <si>
    <t>+19.9% 対 +1.4%</t>
  </si>
  <si>
    <t>F5-S5</t>
  </si>
  <si>
    <t>・NXP 流通在庫 9週→11週（前年比。11週が同社の目標水準かは未確認）</t>
  </si>
  <si>
    <t>11週</t>
  </si>
  <si>
    <t>F5-S14</t>
  </si>
  <si>
    <t>・WSTS 春季予測 アナログ 2026年 +10.2%、2027年 +6.6%</t>
  </si>
  <si>
    <t>+6.6%（2027）</t>
  </si>
  <si>
    <t>F5-S1,F5-S2</t>
  </si>
  <si>
    <t>監視KPI</t>
  </si>
  <si>
    <t>NXP 流通在庫（12週超で警戒）、ISM 顧客在庫（50接近で警戒）、各社 book-to-bill、TI 在庫日数（210日超で警戒）</t>
  </si>
  <si>
    <t>連動する仮定</t>
  </si>
  <si>
    <t>売上成長率（全社共通の基準）、売上総利益率</t>
  </si>
  <si>
    <t>［懸念］織り込み: 株価は bull 並みの業績と低い割引率を同時に織り込む</t>
  </si>
  <si>
    <t>・株価 $279.50 は直近12か月 EPS $7.71 の 36.3倍、EV/EBITDA 24.5倍。WACC 9.79%（rf 5.13%・ERP 4.2%・β1.2）の DCF は base $129。逆DCFでは現在株価に必要な WACC は base 業績で約 6.4%、2028年 +13%・粗利率 65% 永続の強い業績パスでも約 8.2%。WACC 9.79% のままなら 2029〜35年に年約20%の成長が要る。セルサイド目標（約 $300、二次・未確認）との差 約 $151 を、監査時の強気業績パス（2028年 +13%・粗利率 65% 永続）で分解すると、業績パスの寄与が約7割（+$111）、WACC 9.8%→8.5% が +$32、g 4% が +$10 で、主因は割引率ではなく業績の前提。インプライド EV/EBITDA 9.3倍（2027年予想。直近12か月基準では 11.3倍）がピア・自社レンジの下限を下回るのは、ピア倍率が 2026年のピークに近い利益の直近12か月値であることと、自社の5年レンジが 10年債 0.6〜4.9% の時期に形成されたことによる。</t>
  </si>
  <si>
    <t>・株価・PER・EV/EBITDA（2026-10-22、直近12か月）</t>
  </si>
  <si>
    <t>$279.50・36.3倍・24.5倍</t>
  </si>
  <si>
    <t>S2-S4,F6-S22 ※二次</t>
  </si>
  <si>
    <t>・米10年国債利回り 2026-10-21</t>
  </si>
  <si>
    <t>5.13%</t>
  </si>
  <si>
    <t>S2-S1</t>
  </si>
  <si>
    <t>・米国インプライド ERP（2026-10-01）</t>
  </si>
  <si>
    <t>4.20%</t>
  </si>
  <si>
    <t>S2-S2 ※二次</t>
  </si>
  <si>
    <t>・β 自計測 5年月次 Blume 調整 1.24、2年週次 同 1.15</t>
  </si>
  <si>
    <t>採用 1.20</t>
  </si>
  <si>
    <t>S2-S3 ※二次</t>
  </si>
  <si>
    <t>米10年国債利回り、TI の業績が bull の前提（2027年 +16%・粗利率 65%）に近づくか</t>
  </si>
  <si>
    <t>［懸念］FCF の質: 約2割は補助金。2027年以降は剥落していく</t>
  </si>
  <si>
    <t>・直近12か月の TI 定義 FCF $8,422M には CHIPS 受取 $1,104M と投資税額控除の現金効果 $469M が入る。モデルの FCF は補助金を含めず、未回収の CHIPS 関連債権 $2,163M（2026-06-30）だけを株式価値に加算した。</t>
  </si>
  <si>
    <t>・補助金除き FCF（営業CF−ITC 現金効果−設備投資）</t>
  </si>
  <si>
    <t>$6,849M（売上比 33.0%）</t>
  </si>
  <si>
    <t>・CHIPS 関連の受取債権（流動 $1,005M＋長期 $1,158M）</t>
  </si>
  <si>
    <t>$2,163M</t>
  </si>
  <si>
    <t>F6-S3</t>
  </si>
  <si>
    <t>・CHIPS 控除による 2025年の売上原価押し下げ</t>
  </si>
  <si>
    <t>$353M（粗利率 約2pt）</t>
  </si>
  <si>
    <t>補助金除き FCF の売上比（25% 割れで警戒）、10-K FY2026 の CHIPS 関連債権</t>
  </si>
  <si>
    <t>有形・無形の現金投資／売上</t>
  </si>
  <si>
    <t>［成長］データセンター電源と産業の回復が成長を牽引</t>
  </si>
  <si>
    <t>・Q3'26 はアナログ +32%・組込み +21%。データセンター向けは前年比 約+95% で売上の約13%（コール、二次・未確認）。800V 給電への移行はアナログ電源の搭載額を増やすが、ST・MPS・Infineon も同じ市場を狙う。base は 2026年のセグメント別実績見込み（9か月実績＋Q4 ガイダンス中央値）に合わせ、2027年以降は全社同率とした。</t>
  </si>
  <si>
    <t>・Q3'26 セグメント売上（前年比）</t>
  </si>
  <si>
    <t>アナログ $4,911M（+32%）、組込み $858M（+21%）、その他 $286M（−6%）</t>
  </si>
  <si>
    <t>・データセンター売上 前年比 約+95%・売上の約13%（コール、二次・未確認）</t>
  </si>
  <si>
    <t>約13%</t>
  </si>
  <si>
    <t>F1-S6,F4-S2 ※二次</t>
  </si>
  <si>
    <t>・ST はデータセンター売上を 2026年 $1B 超、2027年 $2B を大きく超えると表明（競合）</t>
  </si>
  <si>
    <t>$1B 超</t>
  </si>
  <si>
    <t>F5-S15</t>
  </si>
  <si>
    <t>データセンター比率（コールでの開示）、アナログ前年比</t>
  </si>
  <si>
    <t>成長率加減：Analog、成長率加減：Embedded Processing、成長率加減：Other</t>
  </si>
  <si>
    <t>［市場規模］アナログ市場は 2026年 約 $950〜1,120億。TI のシェアは 16〜19%</t>
  </si>
  <si>
    <t>・WSTS 春季予測は 2026年 $95.4B（+10.2%）だが、上場大手の伸び（+20〜29%）から逆算すると $103.8〜111.8B。TI のシェアは 2021年 19%（二次）から 2025年 16.2% に低下しており、市場の伸びに対しシェア維持を前提とする。</t>
  </si>
  <si>
    <t>・WSTS アナログ 2025年実績・2026年予測（トップダウン）</t>
  </si>
  <si>
    <t>$86.5B → $95.4B</t>
  </si>
  <si>
    <t>・上場6社の加重成長から逆算した 2026年（ボトムアップ）</t>
  </si>
  <si>
    <t>$103.8〜111.8B</t>
  </si>
  <si>
    <t>・TI アナログ ÷ WSTS アナログ（2025年）</t>
  </si>
  <si>
    <t>16.2%</t>
  </si>
  <si>
    <t>F5-S10,F5-S2</t>
  </si>
  <si>
    <t>WSTS 秋季予測、TI アナログ成長率と同業比</t>
  </si>
  <si>
    <t>売上成長率（全社共通の基準）</t>
  </si>
  <si>
    <t>［懸念］固定費と利益率: 現在の 47.5% は前回ピーク（50.6%）に近い</t>
  </si>
  <si>
    <t>・減価償却が売上比 10% 超に増え、売上が前回並みに 22% 落ちれば営業利益は 35〜39% 減る計算。DCF のターミナルは 2028年の利益率で固定されるため、base は 2028年の営業利益率を約 42%（2018〜19年の中位循環 40〜43% に近い水準）に戻す。</t>
  </si>
  <si>
    <t>・減価償却 2022年 → 直近12か月</t>
  </si>
  <si>
    <t>$925M → 約 $2,180M（売上比 4.6%→10.5%）</t>
  </si>
  <si>
    <t>F6-S5,F6-S1</t>
  </si>
  <si>
    <t>・前回サイクル 2022→2024年</t>
  </si>
  <si>
    <t>売上 −21.9%・営業利益 −46.1%</t>
  </si>
  <si>
    <t>F6-S5</t>
  </si>
  <si>
    <t>・Q3'26 営業利益率</t>
  </si>
  <si>
    <t>47.5%</t>
  </si>
  <si>
    <t>粗利率（2四半期連続低下・60% 割れで警戒）、増分粗利率</t>
  </si>
  <si>
    <t>売上総利益率、販管費率、別建て研究開発費率</t>
  </si>
  <si>
    <t>［懸念］資本配分: ROIC は 75%→22% に低下、報酬は FCF/株と連動しない</t>
  </si>
  <si>
    <t>・300mm 投資で投下資本は約2.4倍になり、ROIC（自己算出）は 2021年 75% から 2025年 22%、直近12か月 約29%。会社は FCF/株を最重要指標とするが、賞与の指標は売上成長・営業利益率・TSR の同業比較。Silicon Labs（EV/売上 約9.6倍）は ROIC を希薄化させる見込み。</t>
  </si>
  <si>
    <t>・ROIC（自己算出）</t>
  </si>
  <si>
    <t>2021年 75% → 2025年 22%</t>
  </si>
  <si>
    <t>F3-S18,F3-S9</t>
  </si>
  <si>
    <t>・賞与の指標と 2025年の支給（TSR・売上成長が同業中央値未満でも前年比 +10%）</t>
  </si>
  <si>
    <t>+10%</t>
  </si>
  <si>
    <t>・Silicon Labs FY2025 売上 $785M・GAAP 営業損失 −$71M</t>
  </si>
  <si>
    <t>EV/売上 約9.6倍</t>
  </si>
  <si>
    <t>F6-S25,F6-S26</t>
  </si>
  <si>
    <t>2027年2月 資本管理説明会の FCF/株目標と自社株買い方針</t>
  </si>
  <si>
    <t>［懸念］中国: 反ダンピング調査は未決着、休戦期限 2027-01-10 が分岐点</t>
  </si>
  <si>
    <t>・中国商務部の公告一覧では、2026-10-23 時点で延長・仮決定・終了の公告は見当たらない（一覧に欠番があり不在の証明にはならない）。影響は対象売上の推定 $1.0〜1.5B に限られ、関税 30% を全額吸収しても営業利益 −3.5〜5.3%。DCF には織り込まず、反証条件で監視する。</t>
  </si>
  <si>
    <t>・立案公告 2025年第27号（対象: インターフェース IC・ゲートドライバ IC）</t>
  </si>
  <si>
    <t>2025-09-13 立案</t>
  </si>
  <si>
    <t>F6-S6</t>
  </si>
  <si>
    <t>・延長・仮決定・終了の公告なし（2026-10-23 確認）</t>
  </si>
  <si>
    <t>正在调查</t>
  </si>
  <si>
    <t>F6-S7</t>
  </si>
  <si>
    <t>・米中の停止措置を 2027-01-10 まで延長（商務部 2026-09-28）</t>
  </si>
  <si>
    <t>F6-S13</t>
  </si>
  <si>
    <t>商務部の公告、米中休戦の延長可否</t>
  </si>
  <si>
    <t>TAM（市場規模）</t>
  </si>
  <si>
    <t>市場</t>
  </si>
  <si>
    <t>規模</t>
  </si>
  <si>
    <t>CAGR</t>
  </si>
  <si>
    <t>推計方法</t>
  </si>
  <si>
    <t>アナログIC 世界市場（WSTS 定義・2025実績）</t>
  </si>
  <si>
    <t>top-down</t>
  </si>
  <si>
    <t>アナログIC 世界市場（WSTS 2026春予測）</t>
  </si>
  <si>
    <t>アナログIC 世界市場（検算: 上位10社積み上げ 504億ドル÷上位10社シェア68%、二次）</t>
  </si>
  <si>
    <t>bottom-up</t>
  </si>
  <si>
    <t>F5-S18,F5-S2</t>
  </si>
  <si>
    <t>アナログIC 世界市場（TI アナログ売上 14,010 ÷ 過去シェア18〜19% の中央値、二次シェア使用）</t>
  </si>
  <si>
    <t>F5-S10,F5-S18</t>
  </si>
  <si>
    <t>アナログIC 世界市場・下限（2025 WSTS実績×(1+20%)：上場アナログ6社の直近四半期前年比を保守化）</t>
  </si>
  <si>
    <t>F5-S2,F5-S9,F5-S13</t>
  </si>
  <si>
    <t>アナログIC 世界市場・上限（2025 WSTS実績×(1+29.2%)：上場アナログ6社の直近四半期売上加重前年比）</t>
  </si>
  <si>
    <t>MCU 世界市場（Omdia、二次）</t>
  </si>
  <si>
    <t>F5-S19 ※二次</t>
  </si>
  <si>
    <t>MCU 世界市場（Mordor Intelligence、二次・定義広め）</t>
  </si>
  <si>
    <t>F5-S20 ※二次</t>
  </si>
  <si>
    <t>マイクロ（MPU+MCU+DSP）世界市場（WSTS 2026春予測・MCUの上限参照）</t>
  </si>
  <si>
    <t>MCU 世界市場（出荷358億個（2026、2022時点予測）×ASP 1.01ドル（2025予測）、二次）</t>
  </si>
  <si>
    <t>F5-S22,F5-S21 ※二次</t>
  </si>
  <si>
    <t>SAM: AIデータセンター電源向けアナログ半導体（48V→800VDC、BofA推計、二次）</t>
  </si>
  <si>
    <t>F5-S23,F5-S24,F5-S25</t>
  </si>
  <si>
    <t>SAM: データセンター向け売上の積み上げ下限（TI 第3四半期DC売上の年率換算 約3,150＋ST 2026見通し 1,000超）</t>
  </si>
  <si>
    <t>F5-S9,F5-S12,F5-S15</t>
  </si>
  <si>
    <t>強気/弱気シナリオの上振れ・下振れ幅（σ＝実績の前年比成長率の標準偏差）</t>
  </si>
  <si>
    <t>ドライバー</t>
  </si>
  <si>
    <t>base成長率</t>
  </si>
  <si>
    <t>bull上振れ</t>
  </si>
  <si>
    <t>bear下振れ</t>
  </si>
  <si>
    <t>実績YoY1</t>
  </si>
  <si>
    <t>実績YoY2</t>
  </si>
  <si>
    <t>実績YoY3</t>
  </si>
  <si>
    <t>実績YoY4</t>
  </si>
  <si>
    <t>実績σ</t>
  </si>
  <si>
    <t>bull/σ</t>
  </si>
  <si>
    <t>bear/σ</t>
  </si>
  <si>
    <t>根拠種別</t>
  </si>
  <si>
    <t>全社売上成長率（2027年）</t>
  </si>
  <si>
    <t>hist_vol</t>
  </si>
  <si>
    <t>F3-S18,F5-S13,F5-S4,F5-S5</t>
  </si>
  <si>
    <t>売上総利益率（2027年／2028年以降）</t>
  </si>
  <si>
    <t>other</t>
  </si>
  <si>
    <t>F1-S2,F6-S5</t>
  </si>
  <si>
    <t>注1：σは 0054 のセグメント売上（実績5期）の前年比成長率の標準偏差。系列が欠ける年は除外（n.a.）</t>
  </si>
  <si>
    <t>・全社売上成長率（2027年）：上振れ +9pt（2027年 +16%）: 過去の上昇局面の実績（2017年 +12%、2021年 +27%）の間に置き、過去5期の前年比の標準偏差の約0.7σ。2028年は +4pt（+8%）に縮め、延長期間に高成長が持ち越されないようにした。下振れは非対称で −18pt（2027年 −11%）、2028年は −4pt（横ばい）: 前回の調整で TI の年間売上は 2023年 −12.5%・2024年 −10.7%。現在の売上は前回ピークを 15.5% 上回り、ISM 価格・部品生産の乖離などダブルオーダーの兆候があるため下振れ幅を大きく置く。確率は base 50%・bull 25%・bear 25%。サイクル後半の主張からは bear を厚くする余地があるが、顧客在庫の薄さという反対証拠を考え対称とした（WACC 8% でも確率加重は株価に届かず、確率の置き方は判断を左右しない）。</t>
  </si>
  <si>
    <t>・売上総利益率（2027年／2028年以降）：2027年は bull 65%（Q3'26 実績 64.2% に値上げ寄与）・bear 58%（前回の底 2024年 58.1%）。ターミナルに使う 2028年は bull 63.5%・bear 58% とし、サイクルのピークや底を永続させず構造要因の差だけを残す。Q3'26 の粗利率には CHIPS による原価の押し下げ（2025年 約2pt）が含まれる。</t>
  </si>
  <si>
    <t>④ 目標株価（＝DCF理論株価 base）とマルチプル翻訳</t>
  </si>
  <si>
    <t>目標株価（ドル）</t>
  </si>
  <si>
    <t>主バリュエーション手法</t>
  </si>
  <si>
    <t>・手法の選択理由：アナログ半導体は売上・利益率がシリコンサイクルで大きく振れ、償却負担も大きいため、ミッドサイクルの EV/EBITDA で倍率を示し、理論株価は FCF-DCF とする（metric_year=2＝2027年）。ピアの EV/EBITDA は直近12か月値で会計期がそろわない（NXPI 2026-03、MCHP 6月、ON 7月、ADI 8月、TXN 9月。STM・MPWR は算出不可）。EBITDA の償却は Depreciation のみで、無形償却の大きい ADI・MCHP は倍率が高めに出る。2026年6月以降の期の3社に限ると 19.9〜36.2倍（中央値 31.0倍）。既知の限界: (1) 期末割引で 2026年を1年目とするため、9か月分の重複計上（−$5.6/株）と割引期間の過大（+$10.4/株）が相殺し、差し引き base は約 $4〜7/株の過小評価。(2) 延長期間は設備投資/売上を償却/売上へ収束させ正味投資ゼロで成長するため、暗黙の RONIC が 100% を超え、RONIC 20% と整合させると base は約 −$6.6/株。(3) 最初の3年を除く価値は EV の約83%で、ターミナル依存度は高い。(4) 持分法投資等の欄に CHIPS 関連の未回収債権 $2,163M（2026-06-30）を入れている。Q3 中の入金の一部が現金と二重になり得る（$0.3〜0.4/株）、粗利率の CHIPS 押し下げが永続する分（最大 約 −$3.9/株）を合わせ、過大側の誤差がある。Q3 の 10-Q で 9/30 残高に更新すること。</t>
  </si>
  <si>
    <t>指標（2027-12-31 E、選択中シナリオの 0054 予測値）</t>
  </si>
  <si>
    <t>予想EPS（ドル）＝親会社株主帰属利益×単位÷株式数</t>
  </si>
  <si>
    <t>BPS（ドル）</t>
  </si>
  <si>
    <t>EBITDA＝営業利益＋減価償却（百万ドル）</t>
  </si>
  <si>
    <t>ROE＝EPS÷BPS</t>
  </si>
  <si>
    <t>インプライドPER（目標株価÷予想EPS）</t>
  </si>
  <si>
    <t>インプライドPBR（目標株価÷BPS）</t>
  </si>
  <si>
    <t>正当化PBR＝(ROE−g)/(r−g)、r=株主資本コスト</t>
  </si>
  <si>
    <t>インプライドEV/EBITDA（目標株価から逆算したEV÷EBITDA）</t>
  </si>
  <si>
    <t>レンジ比較（EV/EBITDA）</t>
  </si>
  <si>
    <t>インプライド</t>
  </si>
  <si>
    <t>下限</t>
  </si>
  <si>
    <t>上限</t>
  </si>
  <si>
    <t>レンジとの位置</t>
  </si>
  <si>
    <t>類似企業レンジ</t>
  </si>
  <si>
    <t>自社過去レンジ</t>
  </si>
  <si>
    <t>注1：BPS はmarket.json 月次の最新 BPS（21.0 ドル）</t>
  </si>
  <si>
    <t>注2：指標は選択中シナリオ（既定 base）の予測値。目標株価は常に base</t>
  </si>
  <si>
    <t>シナリオ別理論株価（計算は 計算_シナリオ。シナリオ切替に依存しない）</t>
  </si>
  <si>
    <t>シナリオ</t>
  </si>
  <si>
    <t>確率</t>
  </si>
  <si>
    <t>理論株価</t>
  </si>
  <si>
    <t>対現在株価</t>
  </si>
  <si>
    <t>base（ベース）</t>
  </si>
  <si>
    <t>2026年は9か月実績＋Q4 ガイダンス中央値で +26.6%。2027年 +7%、2028年 +4%。粗利率 62.0%→63.0%→60.5%、2028年の営業利益率は約 42%（中位循環への正規化）。延長期間後の 2035年売上は約 $32B。</t>
  </si>
  <si>
    <t>bull（強気）</t>
  </si>
  <si>
    <t>データセンターと値上げが続き、2027年 +16%・2028年 +8%。粗利率は 2027年 65%、2028年以降 63.5%（値上げとデータセンターの構成変化という構造要因だけを残す）。値上げの根拠は通話記録（二次）。</t>
  </si>
  <si>
    <t>bear（弱気）</t>
  </si>
  <si>
    <t>2027年にダブルオーダーが解け売上 −11%、2028年は横ばい（前回の調整 −12.5%・−10.7% より浅い）。粗利率は 58% に低下し、中国の競争という構造要因で戻らない前提。</t>
  </si>
  <si>
    <t>確率加重期待値（各0ドル下限）</t>
  </si>
  <si>
    <t>注1：目標株価（base）には下限をかけない（負の場合は検証シートに記載）</t>
  </si>
  <si>
    <t>⑤ DCF の要約と感応度（選択中シナリオ。計算は 計算_DCF）</t>
  </si>
  <si>
    <t>割引率と成長率</t>
  </si>
  <si>
    <t>WACC</t>
  </si>
  <si>
    <t>株主資本コスト</t>
  </si>
  <si>
    <t>ターミナル成長率 g</t>
  </si>
  <si>
    <t>ターミナル価値の方式</t>
  </si>
  <si>
    <t>延長期間（年）</t>
  </si>
  <si>
    <t>事業価値から株式価値への橋渡し（百万ドル）</t>
  </si>
  <si>
    <t>事業価値（EV）</t>
  </si>
  <si>
    <t>　うちターミナル価値の現在価値</t>
  </si>
  <si>
    <t>（−）純有利子負債</t>
  </si>
  <si>
    <t>（−）非支配持分</t>
  </si>
  <si>
    <t>（＋）持分法投資等</t>
  </si>
  <si>
    <t>株式価値</t>
  </si>
  <si>
    <t>株式数（自己株除く、株）</t>
  </si>
  <si>
    <t>理論株価（ドル）</t>
  </si>
  <si>
    <t>ターミナル価値 / EV</t>
  </si>
  <si>
    <t>注1：ターミナル価値の比率が高いほど理論株価は WACC と g に敏感</t>
  </si>
  <si>
    <t>感応度①：理論株価（ドル）　WACC（行）× ターミナル成長率 g（列）</t>
  </si>
  <si>
    <t>WACC ＼ g</t>
  </si>
  <si>
    <t>注1：g はターミナル成長率のみを動かす。中央セル（枠）＝理論株価</t>
  </si>
  <si>
    <t>感応度②：理論株価（ドル）　3期目営業利益率（行）× 1期目売上成長率（列）</t>
  </si>
  <si>
    <t>営業利益率 ＼ 成長率</t>
  </si>
  <si>
    <t>注1：利益率・成長率を全期間に一律加減した近似。中央セル（枠）＝理論株価</t>
  </si>
  <si>
    <t>TEXAS INSTRUMENTS INC Summary</t>
  </si>
  <si>
    <t>USD 百万単位。年次・連結実績。n.a. = 未抽出／対象外</t>
  </si>
  <si>
    <t>2021-12-31 A</t>
  </si>
  <si>
    <t>2022-12-31 A</t>
  </si>
  <si>
    <t>2023-12-31 A</t>
  </si>
  <si>
    <t>2024-12-31 A</t>
  </si>
  <si>
    <t>2025-12-31 A</t>
  </si>
  <si>
    <t>2026-12-31 E</t>
  </si>
  <si>
    <t>2027-12-31 E</t>
  </si>
  <si>
    <t>2028-12-31 E</t>
  </si>
  <si>
    <t>売上高</t>
  </si>
  <si>
    <t>営業利益</t>
  </si>
  <si>
    <t>親会社株主帰属利益</t>
  </si>
  <si>
    <t>総資産</t>
  </si>
  <si>
    <t>資本合計（非支配持分含む）</t>
  </si>
  <si>
    <t>営業活動によるCF</t>
  </si>
  <si>
    <t>投資活動によるCF</t>
  </si>
  <si>
    <t>財務活動によるCF</t>
  </si>
  <si>
    <t>現金同等物の期末残高（CF定義）</t>
  </si>
  <si>
    <t>純利益率</t>
  </si>
  <si>
    <t>営業CF / 売上高</t>
  </si>
  <si>
    <t>売上高成長率</t>
  </si>
  <si>
    <t>対象と読み方</t>
  </si>
  <si>
    <t>TXN: 取得関連無形資産の残高はFY2021〜FY2025の10-K貸借対照表に独立表示なし、取得関連無形資産償却はFY2024・FY2025の10-K CF計算書に表示なし（該当行はn.a.のまま）。無形資産・D&amp;Aは司令塔判断（案A）により資産計上ソフトウェアの表示値で代替。代替宣言：理想＝0054定義の無形資産・純粋D&amp;A／10-K FY2021-25のBSに取得関連無形資産の行が無いことを確認済み／代替＝資産計上ソフトウェア（Capitalized software licenses）の表示値とその償却／バイアス＝無形資産の過小は軽微、償却率は有形中心の値になる</t>
  </si>
  <si>
    <t>異なる年度のセグメント再編・会計基準変更は自動で組み替えない。比較値は出典の定義を確認。</t>
  </si>
  <si>
    <t>年次連結実績。将来予測は別のモデル仮定で設定。会社予想と区別する。</t>
  </si>
  <si>
    <t>財務整理用。投資助言ではありません。</t>
  </si>
  <si>
    <t>予測3年は機械的初期仮定によるモデル予測E。会社予想ではありません。</t>
  </si>
  <si>
    <t>未抽出の三表セル: 2。すべての空欄を未開示と解釈しない。</t>
  </si>
  <si>
    <t>青字：原数値。緑字：他シート参照。黒字：計算・Summary。A：実績。</t>
  </si>
  <si>
    <t>BSの現預金とCFの現金同等物は範囲が異なる場合があります。差額をゼロに強制しません。</t>
  </si>
  <si>
    <t>TEXAS INSTRUMENTS INC PL</t>
  </si>
  <si>
    <t>売上原価</t>
  </si>
  <si>
    <t>売上総利益</t>
  </si>
  <si>
    <t>販売費及び一般管理費</t>
  </si>
  <si>
    <t>研究開発費（内数の場合あり）</t>
  </si>
  <si>
    <t>その他営業費用・損益調整（計算値）</t>
  </si>
  <si>
    <t>税引前利益</t>
  </si>
  <si>
    <t>法人所得税</t>
  </si>
  <si>
    <t>当期利益（非支配持分含む）</t>
  </si>
  <si>
    <t>非支配持分帰属利益</t>
  </si>
  <si>
    <t>TEXAS INSTRUMENTS INC BS</t>
  </si>
  <si>
    <t>現金及び預金・現金同等物（BS定義）</t>
  </si>
  <si>
    <t>売上債権</t>
  </si>
  <si>
    <t>棚卸資産</t>
  </si>
  <si>
    <t>流動資産</t>
  </si>
  <si>
    <t>有形固定資産</t>
  </si>
  <si>
    <t>無形資産（のれんを除く場合あり）</t>
  </si>
  <si>
    <t>仕入債務</t>
  </si>
  <si>
    <t>流動負債</t>
  </si>
  <si>
    <t>負債合計</t>
  </si>
  <si>
    <t>TEXAS INSTRUMENTS INC CF</t>
  </si>
  <si>
    <t>減価償却・償却費</t>
  </si>
  <si>
    <t>減価償却費（有形資産）</t>
  </si>
  <si>
    <t>無形資産償却費</t>
  </si>
  <si>
    <t>設備投資支出（正額）</t>
  </si>
  <si>
    <t>親会社配当支払額（正額）</t>
  </si>
  <si>
    <t>現金同等物の為替換算差額</t>
  </si>
  <si>
    <t>現金同等物の増減（会社発表）</t>
  </si>
  <si>
    <t>TEXAS INSTRUMENTS INC セグメント売上</t>
  </si>
  <si>
    <t>Analog</t>
  </si>
  <si>
    <t>Embedded Processing</t>
  </si>
  <si>
    <t>Other</t>
  </si>
  <si>
    <t>Total revenue</t>
  </si>
  <si>
    <t>内数を除いた抽出売上合計</t>
  </si>
  <si>
    <t>報告セグメントAnalog・Embedded Processing＋Other（報告セグメント外の事業）。10-K表示名</t>
  </si>
  <si>
    <t>TEXAS INSTRUMENTS INC 地域別売上</t>
  </si>
  <si>
    <t>United States</t>
  </si>
  <si>
    <t>China</t>
  </si>
  <si>
    <t>Rest of Asia</t>
  </si>
  <si>
    <t>Europe, Middle East and Africa</t>
  </si>
  <si>
    <t>Japan</t>
  </si>
  <si>
    <t>Rest of world</t>
  </si>
  <si>
    <t>TI推計：エンドカスタマー本社所在地ベース（出荷先ベースとは別表・混在させない）。内数行なし（ドイツは脚注の比率のみ）</t>
  </si>
  <si>
    <t>TEXAS INSTRUMENTS INC Forecast</t>
  </si>
  <si>
    <t>予測期間の日数</t>
  </si>
  <si>
    <t>別建て研究開発費</t>
  </si>
  <si>
    <t>その他営業費用（収益は負）</t>
  </si>
  <si>
    <t>基礎の純営業外損益</t>
  </si>
  <si>
    <t>追加借入の利息</t>
  </si>
  <si>
    <t>運転資本増加（AR＋在庫−AP）</t>
  </si>
  <si>
    <t>期首有形・無形資産</t>
  </si>
  <si>
    <t>有形・無形の現金投資</t>
  </si>
  <si>
    <t>期末有形固定資産</t>
  </si>
  <si>
    <t>期末無形資産</t>
  </si>
  <si>
    <t>営業CF</t>
  </si>
  <si>
    <t>投資CF</t>
  </si>
  <si>
    <t>親会社株主配当</t>
  </si>
  <si>
    <t>非支配株主配当</t>
  </si>
  <si>
    <t>計画追加借入</t>
  </si>
  <si>
    <t>新株発行</t>
  </si>
  <si>
    <t>追加資金調達前の期末現金</t>
  </si>
  <si>
    <t>最低現金方針による追加借入</t>
  </si>
  <si>
    <t>財務CF</t>
  </si>
  <si>
    <t>為替効果（予測仮定0）</t>
  </si>
  <si>
    <t>現金増減</t>
  </si>
  <si>
    <t>CF期末現金</t>
  </si>
  <si>
    <t>予測開始後の累積追加借入</t>
  </si>
  <si>
    <t>BS現預金（CF定義との差額固定）</t>
  </si>
  <si>
    <t>その他流動資産（固定）</t>
  </si>
  <si>
    <t>その他非流動資産（固定）</t>
  </si>
  <si>
    <t>その他流動負債（固定）</t>
  </si>
  <si>
    <t>資本合計</t>
  </si>
  <si>
    <t>貸借差額</t>
  </si>
  <si>
    <t>CF現金−最低現金</t>
  </si>
  <si>
    <t>現金ロールフォワード差額</t>
  </si>
  <si>
    <t>TEXAS INSTRUMENTS INC Assumptions</t>
  </si>
  <si>
    <t>USD 百万単位。青字・淡黄色の予測前提を変更。Eはモデル予測。</t>
  </si>
  <si>
    <t>シナリオ別入力（report_spec.json の model.assumptions。青字を編集）</t>
  </si>
  <si>
    <t>前提</t>
  </si>
  <si>
    <t>変数（spec）</t>
  </si>
  <si>
    <t>base 1期</t>
  </si>
  <si>
    <t>base 2期</t>
  </si>
  <si>
    <t>base 3期</t>
  </si>
  <si>
    <t>bull 1期</t>
  </si>
  <si>
    <t>bull 2期</t>
  </si>
  <si>
    <t>bull 3期</t>
  </si>
  <si>
    <t>bear 1期</t>
  </si>
  <si>
    <t>bear 2期</t>
  </si>
  <si>
    <t>bear 3期</t>
  </si>
  <si>
    <t>0054初期値 1期</t>
  </si>
  <si>
    <t>0054初期値 2期</t>
  </si>
  <si>
    <t>0054初期値 3期</t>
  </si>
  <si>
    <t>同一報告書の比較売上前年比。各セグメントの加減を下で設定</t>
  </si>
  <si>
    <t>売上成長率（全社共通の基準） → 売上成長率（全社共通の基準）</t>
  </si>
  <si>
    <t>売上総利益率</t>
  </si>
  <si>
    <t>直近期実績</t>
  </si>
  <si>
    <t>成長率加減：Analog → 成長率加減：Analog</t>
  </si>
  <si>
    <t>販管費率</t>
  </si>
  <si>
    <t>直近期実績。研究開発費の内数を二重加算しない</t>
  </si>
  <si>
    <t>成長率加減：Embedded Processing → 成長率加減：Embedded Processing</t>
  </si>
  <si>
    <t>別建て研究開発費率</t>
  </si>
  <si>
    <t>日本の研究開発費は販管費等の内数として初期値0</t>
  </si>
  <si>
    <t>成長率加減：Other → 成長率加減：Other</t>
  </si>
  <si>
    <t>その他営業費用率（収益は負）</t>
  </si>
  <si>
    <t>直近3期の残差費用率の中央値</t>
  </si>
  <si>
    <t>売上総利益率 → 売上総利益率</t>
  </si>
  <si>
    <t>直近期の税前利益－営業利益。百万単位</t>
  </si>
  <si>
    <t>販管費率 → 販管費率</t>
  </si>
  <si>
    <t>実効税率</t>
  </si>
  <si>
    <t>税前黒字かつ0〜100%の観測の直近3件の中央値</t>
  </si>
  <si>
    <t>別建て研究開発費率 → 別建て研究開発費率</t>
  </si>
  <si>
    <t>非支配持分への利益配分率</t>
  </si>
  <si>
    <t>有効な直近3観測の中央値。非継続事業の将来利益は0</t>
  </si>
  <si>
    <t>実効税率 → 実効税率</t>
  </si>
  <si>
    <t>売上債権回収日数</t>
  </si>
  <si>
    <t>直近期AR／売上×365</t>
  </si>
  <si>
    <t>棚卸資産回転日数 → 棚卸資産回転日数</t>
  </si>
  <si>
    <t>棚卸資産回転日数</t>
  </si>
  <si>
    <t>直近期棚卸／売上原価×365</t>
  </si>
  <si>
    <t>有形・無形の現金投資／売上 → 有形・無形の現金投資／売上</t>
  </si>
  <si>
    <t>仕入債務支払日数</t>
  </si>
  <si>
    <t>直近期AP／売上原価×365</t>
  </si>
  <si>
    <t>直近期CFの取得支出。発生主義の設備投資額とは区別</t>
  </si>
  <si>
    <t>注1：上書きした 0054 入力セルは =CHOOSE(シナリオ番号, base, bull, bear) の式（緑字）。シナリオ番号は 2_投資判断 の C4 で切替</t>
  </si>
  <si>
    <t>期首償却対象資産の償却率</t>
  </si>
  <si>
    <t>純粋D&amp;A／有形・無形資産。D&amp;A及びその他で代用しない</t>
  </si>
  <si>
    <t>現金投資の有形資産配賦比率</t>
  </si>
  <si>
    <t>直近の現金投資配賦。合算開示時は簿価比率。償却は各期首簿価で配賦</t>
  </si>
  <si>
    <t>親会社株主への配当支払</t>
  </si>
  <si>
    <t>直近実績額を固定した初期仮定。百万単位</t>
  </si>
  <si>
    <t>非支配株主への配当支払</t>
  </si>
  <si>
    <t>直近実績額。未抽出時0の仮定。百万単位</t>
  </si>
  <si>
    <t>計画した追加借入</t>
  </si>
  <si>
    <t>既存債務は固定。返済予定はこの版では未モデル化。百万単位</t>
  </si>
  <si>
    <t>新株発行による現金調達</t>
  </si>
  <si>
    <t>初期仮定0。百万単位</t>
  </si>
  <si>
    <t>追加借入の年利（仮置き）</t>
  </si>
  <si>
    <t>初期仮定5%。期首の追加借入残高に適用</t>
  </si>
  <si>
    <t>最低現金残高</t>
  </si>
  <si>
    <t>現金不足時の自動借入（1/0）</t>
  </si>
  <si>
    <t>1で最低現金まで明示的に借入。0で負の現金を表示</t>
  </si>
  <si>
    <t>成長率加減：Analog</t>
  </si>
  <si>
    <t>成長率加減：Embedded Processing</t>
  </si>
  <si>
    <t>成長率加減：Other</t>
  </si>
  <si>
    <t>地域配分ウェイト：United States</t>
  </si>
  <si>
    <t>地域配分ウェイト：China</t>
  </si>
  <si>
    <t>地域配分ウェイト：Rest of Asia</t>
  </si>
  <si>
    <t>地域配分ウェイト：Europe, Middle East and Africa</t>
  </si>
  <si>
    <t>地域配分ウェイト：Japan</t>
  </si>
  <si>
    <t>地域配分ウェイト：Rest of world</t>
  </si>
  <si>
    <t>売上成長率の初期値は同一報告書の比較売上から算出。売却事業を含む非比較年度へ遡ったCAGRは使わない。比較値が無い場合は0%仮定。</t>
  </si>
  <si>
    <t>粗利率・販管費率は直近期。その他営業費用率は直近3期の中央値で、一過性損益を固定しない。</t>
  </si>
  <si>
    <t>税率は税引前利益が正かつ税率0〜100%の観測の直近3件の中央値。税率の外れ値は初期値に使わない。</t>
  </si>
  <si>
    <t>非支配持分利益率は0〜100%の観測の直近3件の中央値。非継続事業の将来損益はゼロ仮定。</t>
  </si>
  <si>
    <t>設備投資は直近の現金投資比率（合算開示時は簿価比率）で配賦し、償却は各期首簿価で配賦。投資は期末発生と仮定。</t>
  </si>
  <si>
    <t>親会社・非支配株主配当は直近支払額を固定する初期仮定。その他資産・負債・OCI・M&amp;A・自社株買い・為替効果は固定またはゼロ仮定。</t>
  </si>
  <si>
    <t>新規借入の利率5%は仮置き。期首の追加借入残高に適用し、循環参照を避ける。既存借入の純金融損益は直近期の純営業外損益に含めて固定。</t>
  </si>
  <si>
    <t>現金不足時は明示した最低現金方針に従い追加借入。自動調達を0にすると負の現金を表示して検出する。</t>
  </si>
  <si>
    <t>地域配分は編集可能なウェイトを正規化。内数は別表示し合計へ加えない。</t>
  </si>
  <si>
    <t>計算_DCF　DCF 理論株価の計算（選択中シナリオ）</t>
  </si>
  <si>
    <t>TXN Texas Instruments／金額は百万ドル（株価はドル）。青字＝入力、黒字＝計算、緑字＝他シート参照。シナリオは 2_投資判断 の切替セルに連動</t>
  </si>
  <si>
    <t>割引率（WACC）・ターミナル成長率</t>
  </si>
  <si>
    <t>リスクフリーレート</t>
  </si>
  <si>
    <t>β</t>
  </si>
  <si>
    <t>株式リスクプレミアム</t>
  </si>
  <si>
    <t>サイズプレミアム</t>
  </si>
  <si>
    <t>株主資本コスト＝rf＋β×ERP＋サイズ</t>
  </si>
  <si>
    <t>負債コスト（税引前）</t>
  </si>
  <si>
    <t>税率（NOPAT・負債節税）</t>
  </si>
  <si>
    <t>目標負債比率 D/(D+E)</t>
  </si>
  <si>
    <t>列数に連動するため変更は spec で行い再 build</t>
  </si>
  <si>
    <t>value_driver</t>
  </si>
  <si>
    <t>バリュードライバー式: TV＝NOPAT_{n+1}×(1−g/RONIC)/(WACC−g)、NOPAT_{n+1}＝NOPAT_n×(1+g)</t>
  </si>
  <si>
    <t>RONIC（新規投資の税引後資本利益率）</t>
  </si>
  <si>
    <t>spec dcf.ronic</t>
  </si>
  <si>
    <t>株式価値への調整（百万ドル）</t>
  </si>
  <si>
    <t>純有利子負債</t>
  </si>
  <si>
    <t>spec dcf.net_debt_override</t>
  </si>
  <si>
    <t>非支配持分（DCF 用）</t>
  </si>
  <si>
    <t>spec dcf.minority_interest</t>
  </si>
  <si>
    <t>非支配持分（SOTP 用）</t>
  </si>
  <si>
    <t>minority_interest_sotp 未入力：DCF 用を流用</t>
  </si>
  <si>
    <t>持分法投資等</t>
  </si>
  <si>
    <t>spec dcf.equity_investments</t>
  </si>
  <si>
    <t>株式数（株）</t>
  </si>
  <si>
    <t>発行済（outstanding、自己株控除後の流通株式。2026-07-15 時点）。希薄化（RSU・ストックオプション）は反映しない</t>
  </si>
  <si>
    <t>金額単位→ドルの倍率</t>
  </si>
  <si>
    <t>0054 は百万ドル単位</t>
  </si>
  <si>
    <t>注1：非支配持分は DCF 用（DCF と同じ物差し）と SOTP 用（時価）を使い分ける（詳細は検証シート）</t>
  </si>
  <si>
    <t>DCF（選択中シナリオ。予測期間は 3_Forecast を直接参照、百万ドル）</t>
  </si>
  <si>
    <t>DCF（選択中シナリオ）</t>
  </si>
  <si>
    <t>延長+1</t>
  </si>
  <si>
    <t>延長+2</t>
  </si>
  <si>
    <t>延長+3</t>
  </si>
  <si>
    <t>延長+4</t>
  </si>
  <si>
    <t>延長+5</t>
  </si>
  <si>
    <t>延長+6</t>
  </si>
  <si>
    <t>延長+7</t>
  </si>
  <si>
    <t>ターミナル</t>
  </si>
  <si>
    <t>期（年）</t>
  </si>
  <si>
    <t>バリュードライバー式</t>
  </si>
  <si>
    <t>NOPAT（営業利益×(1−税率)）</t>
  </si>
  <si>
    <t>設備投資（有形・無形の現金投資）</t>
  </si>
  <si>
    <t>運転資本増加</t>
  </si>
  <si>
    <t>FCF（NOPAT＋償却−投資−運転資本増加）</t>
  </si>
  <si>
    <t>割引係数 1/(1+WACC)^t</t>
  </si>
  <si>
    <t>FCF 現在価値</t>
  </si>
  <si>
    <t>予測・延長期間 FCF 現在価値合計</t>
  </si>
  <si>
    <t>ターミナル価値 現在価値</t>
  </si>
  <si>
    <t>発行済株式数（自己株除く、株）</t>
  </si>
  <si>
    <t>ターミナル価値 現在価値 / 株式価値</t>
  </si>
  <si>
    <t>EV が 1% 動いたときの理論株価の変化（%）＝EV/株式価値</t>
  </si>
  <si>
    <t>運転資本 / 売上（3期目、延長期間で固定）</t>
  </si>
  <si>
    <t>注1：延長期間は売上成長率を g へ線形収束、営業利益率・償却/売上・運転資本/売上は 3期目水準、投資/売上は償却/売上へ収束</t>
  </si>
  <si>
    <t>注2：期末割引（期中割引・スタブ期間調整なし）</t>
  </si>
  <si>
    <t>注1：各セルは FCF 行を参照する閉形式 DCF 式（データテーブル機能は使わない）。中央セル＝理論株価</t>
  </si>
  <si>
    <t>注2：g はターミナル成長率のみを動かす（延長期間の収束経路は基準 g のまま）</t>
  </si>
  <si>
    <t>感応度②：理論株価（ドル）　営業利益率（行、全期間に加減）× 売上成長率（列、全期間に加減）</t>
  </si>
  <si>
    <t>3期目営業利益率 ＼ 1期目成長率</t>
  </si>
  <si>
    <t>注1：営業利益率を全期間で一律加減し、売上を (1+Δg)^t 倍（償却・投資・運転資本も同率）とする近似。中央セルは厳密に理論株価</t>
  </si>
  <si>
    <t>計算_シナリオ　シナリオ別の並列計算（base / bull / bear）</t>
  </si>
  <si>
    <t>0054 Forecast の計算（セグメント売上→営業利益→運転資本→償却ロール）を各シナリオの仮定で複製。選択中シナリオの FCF が 計算_DCF と一致することを検証シートで確認</t>
  </si>
  <si>
    <t>シナリオ別理論株価と確率加重期待値（ドル）</t>
  </si>
  <si>
    <t>確率加重期待値（各シナリオを0ドルで下限処理）</t>
  </si>
  <si>
    <t>注1：確率加重は各シナリオを0ドルで下限処理（株主の有限責任）。上の理論株価は下限処理前の値</t>
  </si>
  <si>
    <t>シナリオ: base（ベース）</t>
  </si>
  <si>
    <t>項目（0054 の計算を複製、百万ドル）</t>
  </si>
  <si>
    <t>全社成長率</t>
  </si>
  <si>
    <t>売上：Analog</t>
  </si>
  <si>
    <t>売上：Embedded Processing</t>
  </si>
  <si>
    <t>売上：Other</t>
  </si>
  <si>
    <t>その他営業費用率</t>
  </si>
  <si>
    <t>運転資本（AR＋在庫−AP）</t>
  </si>
  <si>
    <t>期末有形・無形資産</t>
  </si>
  <si>
    <t>DCF（base）</t>
  </si>
  <si>
    <t>シナリオ: bull（強気）</t>
  </si>
  <si>
    <t>DCF（bull）</t>
  </si>
  <si>
    <t>シナリオ: bear（弱気）</t>
  </si>
  <si>
    <t>DCF（bear）</t>
  </si>
  <si>
    <t>データ_株価（market.json）</t>
  </si>
  <si>
    <t>出所：株価・出来高・S&amp;P500 は Yahoo Finance（yfinance 1.4.1、auto_adjust=False）、財務は SEC EDGAR companyfacts（XBRL）と 8-K 決算リリース（EX-99）、為替は FRED DEXJPUS。取得日 2026-10-23。【通貨】金額は米ドル（USD、1ドル単位）。株価はドル。adv60_jpy のみ円（DEXJPUS で換算）。【PIT】月末tの EPS・BPS・純有利子負債・EBITDA は、提出日（filed）の翌日&lt;=t のファクトのみから作成（決算期末日基準の先取りなし）。同一期間が複数回提出された場合は t 時点で最新の提出値。8-K EX-99 の値も提出日の翌日から使用。【eps_actual_ttm】希薄化後 EPS の直近 4 四半期合計（3か月値が無い期は同一期首の累計差。Q4＝通期−9か月累計）。【会社予想】米国企業は通期の会社予想 EPS・配当を開示しないため eps_forecast・per_forecast・dps_forecast は null（アナリスト予想は使わない）。PER は実績 TTM（per_actual）。【div_yield】宣言配当/株の直近 4 四半期合計÷株価（実績 TTM。予想ではない）。【bps】株主資本（StockholdersEquity、親会社持分）÷発行済株式数（dei:EntityCommonStockSharesOutstanding、表紙記載日時点。米国開示の発行済は自己株控除後の流通株式）。【mcap】株価×同株式数。treasury_shares は null（控除済みのため）。【price】close は yfinance の分割調整済み終値（配当未調整）、adj_close は配当も調整。【ev_ebitda】EV＝時価総額＋有利子負債（長期債務の固定＋1年内返済、短期借入/CP があれば加算）−現金同等物−短期投資、EBITDA＝営業利益 TTM＋減価償却 TTM（XBRL タグは DepreciationDepletionAndAmortization→DepreciationAndAmortization→Depreciation の順で最初に TTM が組めたもの。対象の採用タグ: Depreciation）。リース負債・非支配持分・持分法投資は加減しない。【adv60】直近 60 営業日の close×volume の平均（ドル。取引所公表の売買代金ではなく近似）。adv60_jpy＝adv60×DEXJPUS（158.0 円/ドル、2026-10-16）。【peers】同定義で最新営業日の値（最新 10-Q/10-K の後に決算 8-K があれば EX-99 で補完）。roe＝純利益 TTM／株主資本（期末と 1 年前の平均、無ければ期末）、op_margin＝営業利益 TTM／売上 TTM、sales_growth＝売上 TTM の前年比。 【取れなかった項目/注意】TXN: 2026-10-23 は取引時間中の未確定バーのため除外 / ^GSPC: 2026-10-23 は取引時間中の未確定バーのため除外 / 8-K EX-99（0000097476-26-000165、提出 2026-10-21、有効 翌日）で 2026-09-30 期の値を補完: rev,op,ni,eps,dps,da_dep,cash,sti,debt_cur,debt_nc,equity／未検出 stb / ADI: 2026-10-23 は取引時間中の未確定バーのため除外 / MCHP: 2026-10-23 は取引時間中の未確定バーのため除外 / NXPI: 2026-10-23 は取引時間中の未確定バーのため除外 / peer NXPI: companyfacts 未反映の定期報告あり [('10-Q', '2026-07-28')]（XBRL API の反映遅れ） / 8-K EX-99: 期末表記 June 28 が想定 June 30 と不一致のため補完しない（52/53週決算等） / ON: 2026-10-23 は取引時間中の未確定バーのため除外 / peer ON: null=div_yield / STM: 2026-10-23 は取引時間中の未確定バーのため除外 / peer STM: null=per_actual,roe,op_margin,sales_growth,ev_ebitda（20-F 提出の外国企業（us-gaap）: companyfacts は年次のみ・四半期は 6-K で XBRL 無し → TTM 不可。年次値での代替はしていない） / MPWR: 2026-10-23 は取引時間中の未確定バーのため除外 / peer MPWR: null=ev_ebitda（有利子負債タグなし: 負債タグなし。無借金でも 0 と推定せず null）</t>
  </si>
  <si>
    <t>スナップショット</t>
  </si>
  <si>
    <t>月</t>
  </si>
  <si>
    <t>終値</t>
  </si>
  <si>
    <t>終値（調整後）</t>
  </si>
  <si>
    <t>S&amp;P500</t>
  </si>
  <si>
    <t>対S&amp;P500相対（期初=100）</t>
  </si>
  <si>
    <t>PER（予想）</t>
  </si>
  <si>
    <t>配当利回り</t>
  </si>
  <si>
    <t>株価</t>
  </si>
  <si>
    <t>日付</t>
  </si>
  <si>
    <t>出来高</t>
  </si>
  <si>
    <t>2026-10-22</t>
  </si>
  <si>
    <t>2021-10</t>
  </si>
  <si>
    <t>2021-10-25</t>
  </si>
  <si>
    <t>株価（終値）</t>
  </si>
  <si>
    <t>ドル</t>
  </si>
  <si>
    <t>2021-11</t>
  </si>
  <si>
    <t>2021-10-26</t>
  </si>
  <si>
    <t>発行済株式数（自己株控除後）</t>
  </si>
  <si>
    <t>株</t>
  </si>
  <si>
    <t>2021-10-27</t>
  </si>
  <si>
    <t>自己株式数</t>
  </si>
  <si>
    <t>2022-01</t>
  </si>
  <si>
    <t>2021-10-28</t>
  </si>
  <si>
    <t>時価総額</t>
  </si>
  <si>
    <t>2022-02</t>
  </si>
  <si>
    <t>2021-10-29</t>
  </si>
  <si>
    <t>売買代金 60日平均</t>
  </si>
  <si>
    <t>2022-03</t>
  </si>
  <si>
    <t>2021-11-01</t>
  </si>
  <si>
    <t>売買代金 60日平均（円換算 158.0円/ドル、2026-10-16）</t>
  </si>
  <si>
    <t>円（換算）</t>
  </si>
  <si>
    <t>2022-04</t>
  </si>
  <si>
    <t>2021-11-02</t>
  </si>
  <si>
    <t>2022-05</t>
  </si>
  <si>
    <t>2021-11-03</t>
  </si>
  <si>
    <t>倍</t>
  </si>
  <si>
    <t>2022-06</t>
  </si>
  <si>
    <t>2021-11-04</t>
  </si>
  <si>
    <t>2022-07</t>
  </si>
  <si>
    <t>2021-11-05</t>
  </si>
  <si>
    <t>2022-08</t>
  </si>
  <si>
    <t>2021-11-08</t>
  </si>
  <si>
    <t>2022-09</t>
  </si>
  <si>
    <t>2021-11-09</t>
  </si>
  <si>
    <t>2022-10</t>
  </si>
  <si>
    <t>2021-11-10</t>
  </si>
  <si>
    <t>2022-11</t>
  </si>
  <si>
    <t>2021-11-11</t>
  </si>
  <si>
    <t>発行済株式数は米国開示の outstanding（自己株控除後の流通株式）。自己株式数は控除済みのため空欄</t>
  </si>
  <si>
    <t>2022-12</t>
  </si>
  <si>
    <t>2021-11-12</t>
  </si>
  <si>
    <t>2021-11-15</t>
  </si>
  <si>
    <t>2023-02</t>
  </si>
  <si>
    <t>2021-11-16</t>
  </si>
  <si>
    <t>2023-03</t>
  </si>
  <si>
    <t>2021-11-17</t>
  </si>
  <si>
    <t>2023-04</t>
  </si>
  <si>
    <t>2021-11-18</t>
  </si>
  <si>
    <t>2023-05</t>
  </si>
  <si>
    <t>2021-11-19</t>
  </si>
  <si>
    <t>2023-06</t>
  </si>
  <si>
    <t>2021-11-22</t>
  </si>
  <si>
    <t>2023-07</t>
  </si>
  <si>
    <t>2021-11-23</t>
  </si>
  <si>
    <t>2023-08</t>
  </si>
  <si>
    <t>2021-11-24</t>
  </si>
  <si>
    <t>2023-09</t>
  </si>
  <si>
    <t>2021-11-26</t>
  </si>
  <si>
    <t>2023-10</t>
  </si>
  <si>
    <t>2021-11-29</t>
  </si>
  <si>
    <t>2023-11</t>
  </si>
  <si>
    <t>2021-11-30</t>
  </si>
  <si>
    <t>2023-12</t>
  </si>
  <si>
    <t>2021-12-01</t>
  </si>
  <si>
    <t>2024-01</t>
  </si>
  <si>
    <t>2021-12-02</t>
  </si>
  <si>
    <t>2024-02</t>
  </si>
  <si>
    <t>2021-12-03</t>
  </si>
  <si>
    <t>2024-03</t>
  </si>
  <si>
    <t>2021-12-06</t>
  </si>
  <si>
    <t>2024-04</t>
  </si>
  <si>
    <t>2021-12-07</t>
  </si>
  <si>
    <t>2024-05</t>
  </si>
  <si>
    <t>2021-12-08</t>
  </si>
  <si>
    <t>2024-06</t>
  </si>
  <si>
    <t>2021-12-09</t>
  </si>
  <si>
    <t>2024-07</t>
  </si>
  <si>
    <t>2021-12-10</t>
  </si>
  <si>
    <t>2024-08</t>
  </si>
  <si>
    <t>2021-12-13</t>
  </si>
  <si>
    <t>2024-09</t>
  </si>
  <si>
    <t>2021-12-14</t>
  </si>
  <si>
    <t>2024-10</t>
  </si>
  <si>
    <t>2021-12-15</t>
  </si>
  <si>
    <t>2024-11</t>
  </si>
  <si>
    <t>2021-12-16</t>
  </si>
  <si>
    <t>2024-12</t>
  </si>
  <si>
    <t>2021-12-17</t>
  </si>
  <si>
    <t>2025-01</t>
  </si>
  <si>
    <t>2021-12-20</t>
  </si>
  <si>
    <t>2025-02</t>
  </si>
  <si>
    <t>2021-12-21</t>
  </si>
  <si>
    <t>2025-03</t>
  </si>
  <si>
    <t>2021-12-22</t>
  </si>
  <si>
    <t>2025-04</t>
  </si>
  <si>
    <t>2021-12-23</t>
  </si>
  <si>
    <t>2025-05</t>
  </si>
  <si>
    <t>2021-12-27</t>
  </si>
  <si>
    <t>2025-06</t>
  </si>
  <si>
    <t>2021-12-28</t>
  </si>
  <si>
    <t>2025-07</t>
  </si>
  <si>
    <t>2021-12-29</t>
  </si>
  <si>
    <t>2025-08</t>
  </si>
  <si>
    <t>2021-12-30</t>
  </si>
  <si>
    <t>2025-09</t>
  </si>
  <si>
    <t>2021-12-31</t>
  </si>
  <si>
    <t>2022-01-03</t>
  </si>
  <si>
    <t>2025-11</t>
  </si>
  <si>
    <t>2022-01-04</t>
  </si>
  <si>
    <t>2025-12</t>
  </si>
  <si>
    <t>2022-01-05</t>
  </si>
  <si>
    <t>2026-01</t>
  </si>
  <si>
    <t>2022-01-06</t>
  </si>
  <si>
    <t>2022-01-07</t>
  </si>
  <si>
    <t>2026-03</t>
  </si>
  <si>
    <t>2022-01-10</t>
  </si>
  <si>
    <t>2022-01-11</t>
  </si>
  <si>
    <t>2026-05</t>
  </si>
  <si>
    <t>2022-01-12</t>
  </si>
  <si>
    <t>2026-06</t>
  </si>
  <si>
    <t>2022-01-13</t>
  </si>
  <si>
    <t>2026-07</t>
  </si>
  <si>
    <t>2022-01-14</t>
  </si>
  <si>
    <t>2022-01-18</t>
  </si>
  <si>
    <t>2026-09</t>
  </si>
  <si>
    <t>2022-01-19</t>
  </si>
  <si>
    <t>2026-10</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</si>
  <si>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</si>
  <si>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</si>
  <si>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</si>
  <si>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</si>
  <si>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</si>
  <si>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</si>
  <si>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</si>
  <si>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</si>
  <si>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</si>
  <si>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</si>
  <si>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</si>
  <si>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</si>
  <si>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</si>
  <si>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</si>
  <si>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</si>
  <si>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</si>
  <si>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</si>
  <si>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</si>
  <si>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</si>
  <si>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</si>
  <si>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</si>
  <si>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</si>
  <si>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</si>
  <si>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</si>
  <si>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</si>
  <si>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</si>
  <si>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</si>
  <si>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</si>
  <si>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</si>
  <si>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</si>
  <si>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</si>
  <si>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</si>
  <si>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</si>
  <si>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</si>
  <si>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</si>
  <si>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</si>
  <si>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</si>
  <si>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</si>
  <si>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</si>
  <si>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</si>
  <si>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</si>
  <si>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</si>
  <si>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</si>
  <si>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</si>
  <si>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</si>
  <si>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</si>
  <si>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</si>
  <si>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</si>
  <si>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</si>
  <si>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</si>
  <si>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</si>
  <si>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</si>
  <si>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</si>
  <si>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</si>
  <si>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</si>
  <si>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</si>
  <si>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</si>
  <si>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</si>
  <si>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</si>
  <si>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</si>
  <si>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</si>
  <si>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</si>
  <si>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</si>
  <si>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</si>
  <si>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</si>
  <si>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</si>
  <si>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</si>
  <si>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</si>
  <si>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</si>
  <si>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</si>
  <si>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</si>
  <si>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</si>
  <si>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</si>
  <si>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</si>
  <si>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</si>
  <si>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</si>
  <si>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</si>
  <si>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</si>
  <si>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</si>
  <si>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</si>
  <si>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</si>
  <si>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</si>
  <si>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</si>
  <si>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</si>
  <si>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</si>
  <si>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</si>
  <si>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</si>
  <si>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</si>
  <si>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</si>
  <si>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</si>
  <si>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2022-05-31</t>
  </si>
  <si>
    <t>2022-06-01</t>
  </si>
  <si>
    <t>2022-06-02</t>
  </si>
  <si>
    <t>2022-06-03</t>
  </si>
  <si>
    <t>2022-06-06</t>
  </si>
  <si>
    <t>2022-06-07</t>
  </si>
  <si>
    <t>2022-06-08</t>
  </si>
  <si>
    <t>2022-06-09</t>
  </si>
  <si>
    <t>2022-06-10</t>
  </si>
  <si>
    <t>2022-06-13</t>
  </si>
  <si>
    <t>2022-06-14</t>
  </si>
  <si>
    <t>2022-06-15</t>
  </si>
  <si>
    <t>2022-06-16</t>
  </si>
  <si>
    <t>2022-06-17</t>
  </si>
  <si>
    <t>2022-06-21</t>
  </si>
  <si>
    <t>2022-06-22</t>
  </si>
  <si>
    <t>2022-06-23</t>
  </si>
  <si>
    <t>2022-06-24</t>
  </si>
  <si>
    <t>2022-06-27</t>
  </si>
  <si>
    <t>2022-06-28</t>
  </si>
  <si>
    <t>2022-06-29</t>
  </si>
  <si>
    <t>2022-06-30</t>
  </si>
  <si>
    <t>2022-07-01</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</si>
  <si>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</si>
  <si>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</si>
  <si>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</si>
  <si>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</si>
  <si>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</si>
  <si>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</si>
  <si>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</si>
  <si>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</si>
  <si>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</si>
  <si>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</si>
  <si>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</si>
  <si>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</si>
  <si>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</si>
  <si>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</si>
  <si>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</si>
  <si>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</si>
  <si>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</si>
  <si>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</si>
  <si>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</si>
  <si>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</si>
  <si>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</si>
  <si>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</si>
  <si>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</si>
  <si>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</si>
  <si>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</si>
  <si>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</si>
  <si>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</si>
  <si>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</si>
  <si>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</si>
  <si>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</si>
  <si>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</si>
  <si>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</si>
  <si>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</si>
  <si>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</si>
  <si>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</si>
  <si>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</si>
  <si>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</si>
  <si>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</si>
  <si>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</si>
  <si>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</si>
  <si>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</si>
  <si>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</si>
  <si>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</si>
  <si>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</si>
  <si>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</si>
  <si>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</si>
  <si>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</si>
  <si>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</si>
  <si>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</si>
  <si>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</si>
  <si>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</si>
  <si>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</si>
  <si>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</si>
  <si>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</si>
  <si>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</si>
  <si>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</si>
  <si>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</si>
  <si>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</si>
  <si>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</si>
  <si>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</si>
  <si>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</si>
  <si>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</si>
  <si>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</si>
  <si>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</si>
  <si>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</si>
  <si>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</si>
  <si>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</si>
  <si>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</si>
  <si>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</si>
  <si>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</si>
  <si>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</si>
  <si>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</si>
  <si>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</si>
  <si>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</si>
  <si>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</si>
  <si>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</si>
  <si>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</si>
  <si>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</si>
  <si>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</si>
  <si>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</si>
  <si>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</si>
  <si>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</si>
  <si>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</si>
  <si>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</si>
  <si>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</si>
  <si>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</si>
  <si>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</si>
  <si>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</si>
  <si>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</si>
  <si>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</si>
  <si>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</si>
  <si>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</si>
  <si>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</si>
  <si>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</si>
  <si>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</si>
  <si>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</si>
  <si>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</si>
  <si>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</si>
  <si>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</si>
  <si>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</si>
  <si>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</si>
  <si>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</si>
  <si>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</si>
  <si>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</si>
  <si>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</si>
  <si>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</si>
  <si>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</si>
  <si>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</si>
  <si>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</si>
  <si>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</si>
  <si>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</si>
  <si>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</si>
  <si>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</si>
  <si>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</si>
  <si>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</si>
  <si>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</si>
  <si>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</si>
  <si>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</si>
  <si>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</si>
  <si>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</si>
  <si>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</si>
  <si>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</si>
  <si>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2022-12-27</t>
  </si>
  <si>
    <t>2022-12-28</t>
  </si>
  <si>
    <t>2022-12-29</t>
  </si>
  <si>
    <t>2022-12-30</t>
  </si>
  <si>
    <t>2023-01-03</t>
  </si>
  <si>
    <t>2023-01-04</t>
  </si>
  <si>
    <t>2023-01-05</t>
  </si>
  <si>
    <t>2023-01-06</t>
  </si>
  <si>
    <t>2023-01-09</t>
  </si>
  <si>
    <t>2023-01-10</t>
  </si>
  <si>
    <t>2023-01-11</t>
  </si>
  <si>
    <t>2023-01-12</t>
  </si>
  <si>
    <t>2023-01-13</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</si>
  <si>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</si>
  <si>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</si>
  <si>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</si>
  <si>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</si>
  <si>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</si>
  <si>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</si>
  <si>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</si>
  <si>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</si>
  <si>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</si>
  <si>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</si>
  <si>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</si>
  <si>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</si>
  <si>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</si>
  <si>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</si>
  <si>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</si>
  <si>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</si>
  <si>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</si>
  <si>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</si>
  <si>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</si>
  <si>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</si>
  <si>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</si>
  <si>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</si>
  <si>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</si>
  <si>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</si>
  <si>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</si>
  <si>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</si>
  <si>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</si>
  <si>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</si>
  <si>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</si>
  <si>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</si>
  <si>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</si>
  <si>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</si>
  <si>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</si>
  <si>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</si>
  <si>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</si>
  <si>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</si>
  <si>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</si>
  <si>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</si>
  <si>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</si>
  <si>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</si>
  <si>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</si>
  <si>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</si>
  <si>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</si>
  <si>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</si>
  <si>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</si>
  <si>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</si>
  <si>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</si>
  <si>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</si>
  <si>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</si>
  <si>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</si>
  <si>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</si>
  <si>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</si>
  <si>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</si>
  <si>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</si>
  <si>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</si>
  <si>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</si>
  <si>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</si>
  <si>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</si>
  <si>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</si>
  <si>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</si>
  <si>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</si>
  <si>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</si>
  <si>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</si>
  <si>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</si>
  <si>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</si>
  <si>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</si>
  <si>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</si>
  <si>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</si>
  <si>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</si>
  <si>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</si>
  <si>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</si>
  <si>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</si>
  <si>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</si>
  <si>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</si>
  <si>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</si>
  <si>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</si>
  <si>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</si>
  <si>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</si>
  <si>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</si>
  <si>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</si>
  <si>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</si>
  <si>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</si>
  <si>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</si>
  <si>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</si>
  <si>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</si>
  <si>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</si>
  <si>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</si>
  <si>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</si>
  <si>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</si>
  <si>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</si>
  <si>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</si>
  <si>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</si>
  <si>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2023-05-30</t>
  </si>
  <si>
    <t>2023-05-31</t>
  </si>
  <si>
    <t>2023-06-01</t>
  </si>
  <si>
    <t>2023-06-02</t>
  </si>
  <si>
    <t>2023-06-05</t>
  </si>
  <si>
    <t>2023-06-06</t>
  </si>
  <si>
    <t>2023-06-07</t>
  </si>
  <si>
    <t>2023-06-08</t>
  </si>
  <si>
    <t>2023-06-09</t>
  </si>
  <si>
    <t>2023-06-12</t>
  </si>
  <si>
    <t>2023-06-13</t>
  </si>
  <si>
    <t>2023-06-14</t>
  </si>
  <si>
    <t>2023-06-15</t>
  </si>
  <si>
    <t>2023-06-16</t>
  </si>
  <si>
    <t>2023-06-20</t>
  </si>
  <si>
    <t>2023-06-21</t>
  </si>
  <si>
    <t>2023-06-22</t>
  </si>
  <si>
    <t>2023-06-23</t>
  </si>
  <si>
    <t>2023-06-26</t>
  </si>
  <si>
    <t>2023-06-27</t>
  </si>
  <si>
    <t>2023-06-28</t>
  </si>
  <si>
    <t>2023-06-29</t>
  </si>
  <si>
    <t>2023-06-30</t>
  </si>
  <si>
    <t>2023-07-03</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</si>
  <si>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</si>
  <si>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</si>
  <si>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</si>
  <si>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</si>
  <si>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</si>
  <si>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</si>
  <si>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</si>
  <si>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</si>
  <si>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</si>
  <si>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</si>
  <si>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</si>
  <si>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</si>
  <si>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</si>
  <si>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</si>
  <si>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</si>
  <si>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</si>
  <si>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</si>
  <si>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</si>
  <si>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</si>
  <si>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</si>
  <si>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</si>
  <si>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</si>
  <si>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</si>
  <si>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</si>
  <si>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</si>
  <si>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</si>
  <si>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</si>
  <si>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</si>
  <si>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</si>
  <si>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</si>
  <si>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</si>
  <si>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</si>
  <si>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</si>
  <si>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</si>
  <si>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</si>
  <si>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</si>
  <si>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</si>
  <si>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</si>
  <si>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</si>
  <si>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</si>
  <si>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</si>
  <si>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</si>
  <si>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</si>
  <si>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</si>
  <si>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</si>
  <si>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</si>
  <si>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</si>
  <si>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</si>
  <si>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</si>
  <si>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</si>
  <si>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</si>
  <si>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</si>
  <si>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</si>
  <si>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</si>
  <si>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</si>
  <si>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</si>
  <si>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</si>
  <si>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</si>
  <si>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</si>
  <si>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</si>
  <si>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</si>
  <si>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</si>
  <si>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</si>
  <si>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</si>
  <si>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</si>
  <si>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</si>
  <si>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</si>
  <si>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</si>
  <si>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</si>
  <si>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</si>
  <si>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</si>
  <si>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</si>
  <si>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</si>
  <si>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</si>
  <si>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</si>
  <si>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</si>
  <si>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</si>
  <si>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</si>
  <si>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</si>
  <si>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</si>
  <si>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</si>
  <si>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</si>
  <si>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</si>
  <si>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</si>
  <si>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</si>
  <si>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</si>
  <si>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</si>
  <si>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</si>
  <si>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</si>
  <si>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</si>
  <si>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</si>
  <si>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</si>
  <si>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</si>
  <si>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</si>
  <si>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</si>
  <si>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</si>
  <si>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</si>
  <si>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</si>
  <si>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</si>
  <si>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</si>
  <si>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</si>
  <si>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</si>
  <si>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</si>
  <si>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</si>
  <si>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</si>
  <si>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</si>
  <si>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</si>
  <si>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</si>
  <si>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</si>
  <si>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</si>
  <si>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</si>
  <si>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</si>
  <si>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</si>
  <si>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</si>
  <si>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</si>
  <si>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</si>
  <si>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</si>
  <si>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</si>
  <si>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</si>
  <si>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</si>
  <si>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</si>
  <si>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2023-12-26</t>
  </si>
  <si>
    <t>2023-12-27</t>
  </si>
  <si>
    <t>2023-12-28</t>
  </si>
  <si>
    <t>2023-12-29</t>
  </si>
  <si>
    <t>2024-01-02</t>
  </si>
  <si>
    <t>2024-01-03</t>
  </si>
  <si>
    <t>2024-01-04</t>
  </si>
  <si>
    <t>2024-01-05</t>
  </si>
  <si>
    <t>2024-01-08</t>
  </si>
  <si>
    <t>2024-01-09</t>
  </si>
  <si>
    <t>2024-01-10</t>
  </si>
  <si>
    <t>2024-01-11</t>
  </si>
  <si>
    <t>2024-01-12</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</si>
  <si>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</si>
  <si>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</si>
  <si>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</si>
  <si>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</si>
  <si>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</si>
  <si>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</si>
  <si>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</si>
  <si>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</si>
  <si>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</si>
  <si>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</si>
  <si>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</si>
  <si>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</si>
  <si>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</si>
  <si>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</si>
  <si>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</si>
  <si>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</si>
  <si>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</si>
  <si>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</si>
  <si>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</si>
  <si>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</si>
  <si>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</si>
  <si>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</si>
  <si>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</si>
  <si>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</si>
  <si>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</si>
  <si>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</si>
  <si>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</si>
  <si>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</si>
  <si>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</si>
  <si>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</si>
  <si>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</si>
  <si>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</si>
  <si>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</si>
  <si>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</si>
  <si>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</si>
  <si>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</si>
  <si>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</si>
  <si>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</si>
  <si>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</si>
  <si>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</si>
  <si>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</si>
  <si>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</si>
  <si>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</si>
  <si>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</si>
  <si>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</si>
  <si>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</si>
  <si>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</si>
  <si>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</si>
  <si>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</si>
  <si>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</si>
  <si>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</si>
  <si>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</si>
  <si>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</si>
  <si>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</si>
  <si>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</si>
  <si>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</si>
  <si>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</si>
  <si>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</si>
  <si>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</si>
  <si>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</si>
  <si>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</si>
  <si>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</si>
  <si>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</si>
  <si>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</si>
  <si>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</si>
  <si>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</si>
  <si>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</si>
  <si>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</si>
  <si>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</si>
  <si>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</si>
  <si>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</si>
  <si>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</si>
  <si>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</si>
  <si>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</si>
  <si>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</si>
  <si>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</si>
  <si>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</si>
  <si>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</si>
  <si>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</si>
  <si>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</si>
  <si>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</si>
  <si>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</si>
  <si>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</si>
  <si>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</si>
  <si>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</si>
  <si>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</si>
  <si>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</si>
  <si>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</si>
  <si>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</si>
  <si>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</si>
  <si>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</si>
  <si>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</si>
  <si>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</si>
  <si>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</si>
  <si>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</si>
  <si>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</si>
  <si>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</si>
  <si>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</si>
  <si>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</si>
  <si>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</si>
  <si>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</si>
  <si>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</si>
  <si>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</si>
  <si>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</si>
  <si>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</si>
  <si>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</si>
  <si>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</si>
  <si>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</si>
  <si>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2024-06-20</t>
  </si>
  <si>
    <t>2024-06-21</t>
  </si>
  <si>
    <t>2024-06-24</t>
  </si>
  <si>
    <t>2024-06-25</t>
  </si>
  <si>
    <t>2024-06-26</t>
  </si>
  <si>
    <t>2024-06-27</t>
  </si>
  <si>
    <t>2024-06-28</t>
  </si>
  <si>
    <t>2024-07-01</t>
  </si>
  <si>
    <t>2024-07-02</t>
  </si>
  <si>
    <t>2024-07-03</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</si>
  <si>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</si>
  <si>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</si>
  <si>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</si>
  <si>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</si>
  <si>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</si>
  <si>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</si>
  <si>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</si>
  <si>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</si>
  <si>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</si>
  <si>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</si>
  <si>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</si>
  <si>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</si>
  <si>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</si>
  <si>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</si>
  <si>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</si>
  <si>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</si>
  <si>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</si>
  <si>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</si>
  <si>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</si>
  <si>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</si>
  <si>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</si>
  <si>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</si>
  <si>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</si>
  <si>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</si>
  <si>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</si>
  <si>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</si>
  <si>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</si>
  <si>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</si>
  <si>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</si>
  <si>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</si>
  <si>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</si>
  <si>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</si>
  <si>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</si>
  <si>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</si>
  <si>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</si>
  <si>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</si>
  <si>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</si>
  <si>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</si>
  <si>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</si>
  <si>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</si>
  <si>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</si>
  <si>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</si>
  <si>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</si>
  <si>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</si>
  <si>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</si>
  <si>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</si>
  <si>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</si>
  <si>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</si>
  <si>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</si>
  <si>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</si>
  <si>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</si>
  <si>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</si>
  <si>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</si>
  <si>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</si>
  <si>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</si>
  <si>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</si>
  <si>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</si>
  <si>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</si>
  <si>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</si>
  <si>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</si>
  <si>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</si>
  <si>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</si>
  <si>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</si>
  <si>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</si>
  <si>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</si>
  <si>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</si>
  <si>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</si>
  <si>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</si>
  <si>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</si>
  <si>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</si>
  <si>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</si>
  <si>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</si>
  <si>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</si>
  <si>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</si>
  <si>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</si>
  <si>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</si>
  <si>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</si>
  <si>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</si>
  <si>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</si>
  <si>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</si>
  <si>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</si>
  <si>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</si>
  <si>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</si>
  <si>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</si>
  <si>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</si>
  <si>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</si>
  <si>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</si>
  <si>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</si>
  <si>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</si>
  <si>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</si>
  <si>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</si>
  <si>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</si>
  <si>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</si>
  <si>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</si>
  <si>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</si>
  <si>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</si>
  <si>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</si>
  <si>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</si>
  <si>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</si>
  <si>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</si>
  <si>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</si>
  <si>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</si>
  <si>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</si>
  <si>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</si>
  <si>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</si>
  <si>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</si>
  <si>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</si>
  <si>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</si>
  <si>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</si>
  <si>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</si>
  <si>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</si>
  <si>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</si>
  <si>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</si>
  <si>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</si>
  <si>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</si>
  <si>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</si>
  <si>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</si>
  <si>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</si>
  <si>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</si>
  <si>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</si>
  <si>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</si>
  <si>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</si>
  <si>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</si>
  <si>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</si>
  <si>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2024-12-31</t>
  </si>
  <si>
    <t>2025-01-02</t>
  </si>
  <si>
    <t>2025-01-03</t>
  </si>
  <si>
    <t>2025-01-06</t>
  </si>
  <si>
    <t>2025-01-07</t>
  </si>
  <si>
    <t>2025-01-08</t>
  </si>
  <si>
    <t>2025-01-10</t>
  </si>
  <si>
    <t>2025-01-13</t>
  </si>
  <si>
    <t>2025-01-14</t>
  </si>
  <si>
    <t>2025-01-15</t>
  </si>
  <si>
    <t>2025-01-16</t>
  </si>
  <si>
    <t>2025-01-17</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</si>
  <si>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</si>
  <si>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</si>
  <si>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</si>
  <si>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</si>
  <si>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</si>
  <si>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</si>
  <si>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</si>
  <si>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</si>
  <si>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</si>
  <si>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</si>
  <si>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</si>
  <si>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</si>
  <si>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</si>
  <si>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</si>
  <si>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</si>
  <si>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</si>
  <si>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</si>
  <si>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</si>
  <si>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</si>
  <si>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</si>
  <si>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</si>
  <si>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</si>
  <si>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</si>
  <si>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</si>
  <si>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</si>
  <si>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</si>
  <si>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</si>
  <si>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</si>
  <si>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</si>
  <si>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</si>
  <si>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</si>
  <si>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</si>
  <si>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</si>
  <si>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</si>
  <si>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</si>
  <si>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</si>
  <si>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</si>
  <si>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</si>
  <si>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</si>
  <si>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</si>
  <si>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</si>
  <si>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</si>
  <si>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</si>
  <si>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</si>
  <si>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</si>
  <si>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</si>
  <si>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</si>
  <si>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</si>
  <si>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</si>
  <si>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</si>
  <si>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</si>
  <si>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</si>
  <si>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</si>
  <si>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</si>
  <si>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</si>
  <si>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</si>
  <si>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</si>
  <si>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</si>
  <si>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</si>
  <si>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</si>
  <si>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</si>
  <si>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</si>
  <si>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</si>
  <si>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</si>
  <si>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</si>
  <si>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</si>
  <si>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</si>
  <si>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</si>
  <si>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</si>
  <si>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</si>
  <si>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</si>
  <si>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</si>
  <si>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</si>
  <si>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</si>
  <si>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</si>
  <si>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</si>
  <si>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</si>
  <si>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</si>
  <si>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</si>
  <si>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</si>
  <si>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</si>
  <si>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</si>
  <si>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</si>
  <si>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</si>
  <si>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</si>
  <si>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</si>
  <si>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</si>
  <si>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</si>
  <si>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</si>
  <si>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</si>
  <si>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</si>
  <si>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</si>
  <si>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</si>
  <si>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</si>
  <si>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</si>
  <si>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</si>
  <si>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</si>
  <si>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</si>
  <si>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</si>
  <si>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</si>
  <si>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</si>
  <si>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</si>
  <si>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</si>
  <si>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</si>
  <si>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2025-06-20</t>
  </si>
  <si>
    <t>2025-06-23</t>
  </si>
  <si>
    <t>2025-06-24</t>
  </si>
  <si>
    <t>2025-06-25</t>
  </si>
  <si>
    <t>2025-06-26</t>
  </si>
  <si>
    <t>2025-06-27</t>
  </si>
  <si>
    <t>2025-06-30</t>
  </si>
  <si>
    <t>2025-07-01</t>
  </si>
  <si>
    <t>2025-07-02</t>
  </si>
  <si>
    <t>2025-07-03</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</si>
  <si>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</si>
  <si>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</si>
  <si>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</si>
  <si>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</si>
  <si>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</si>
  <si>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</si>
  <si>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</si>
  <si>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</si>
  <si>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</si>
  <si>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</si>
  <si>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</si>
  <si>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</si>
  <si>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</si>
  <si>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</si>
  <si>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</si>
  <si>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</si>
  <si>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</si>
  <si>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</si>
  <si>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</si>
  <si>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</si>
  <si>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</si>
  <si>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</si>
  <si>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</si>
  <si>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</si>
  <si>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</si>
  <si>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</si>
  <si>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</si>
  <si>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</si>
  <si>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</si>
  <si>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</si>
  <si>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</si>
  <si>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</si>
  <si>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</si>
  <si>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</si>
  <si>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</si>
  <si>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</si>
  <si>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</si>
  <si>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</si>
  <si>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</si>
  <si>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</si>
  <si>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</si>
  <si>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</si>
  <si>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</si>
  <si>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</si>
  <si>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</si>
  <si>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</si>
  <si>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</si>
  <si>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</si>
  <si>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</si>
  <si>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</si>
  <si>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</si>
  <si>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</si>
  <si>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</si>
  <si>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</si>
  <si>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</si>
  <si>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</si>
  <si>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</si>
  <si>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</si>
  <si>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</si>
  <si>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</si>
  <si>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</si>
  <si>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</si>
  <si>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</si>
  <si>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</si>
  <si>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</si>
  <si>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</si>
  <si>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</si>
  <si>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</si>
  <si>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</si>
  <si>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</si>
  <si>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</si>
  <si>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</si>
  <si>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</si>
  <si>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</si>
  <si>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</si>
  <si>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</si>
  <si>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</si>
  <si>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</si>
  <si>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</si>
  <si>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</si>
  <si>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</si>
  <si>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</si>
  <si>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</si>
  <si>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</si>
  <si>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</si>
  <si>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</si>
  <si>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</si>
  <si>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</si>
  <si>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</si>
  <si>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</si>
  <si>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</si>
  <si>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</si>
  <si>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</si>
  <si>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</si>
  <si>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</si>
  <si>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</si>
  <si>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</si>
  <si>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</si>
  <si>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</si>
  <si>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</si>
  <si>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</si>
  <si>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</si>
  <si>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</si>
  <si>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</si>
  <si>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</si>
  <si>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</si>
  <si>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</si>
  <si>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</si>
  <si>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</si>
  <si>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</si>
  <si>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</si>
  <si>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</si>
  <si>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</si>
  <si>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</si>
  <si>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</si>
  <si>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</si>
  <si>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</si>
  <si>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</si>
  <si>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</si>
  <si>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</si>
  <si>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</si>
  <si>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</si>
  <si>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</si>
  <si>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</si>
  <si>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</si>
  <si>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</si>
  <si>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</si>
  <si>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</si>
  <si>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</si>
  <si>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</si>
  <si>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</si>
  <si>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</si>
  <si>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</si>
  <si>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</si>
  <si>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</si>
  <si>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</si>
  <si>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</si>
  <si>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</si>
  <si>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</si>
  <si>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</si>
  <si>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</si>
  <si>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</si>
  <si>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</si>
  <si>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</si>
  <si>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</si>
  <si>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</si>
  <si>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</si>
  <si>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</si>
  <si>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</si>
  <si>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</si>
  <si>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</si>
  <si>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</si>
  <si>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</si>
  <si>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</si>
  <si>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</si>
  <si>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</si>
  <si>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</si>
  <si>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</si>
  <si>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</si>
  <si>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</si>
  <si>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</si>
  <si>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</si>
  <si>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</si>
  <si>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</si>
  <si>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</si>
  <si>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</si>
  <si>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</si>
  <si>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</si>
  <si>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</si>
  <si>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</si>
  <si>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</si>
  <si>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</si>
  <si>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</si>
  <si>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</si>
  <si>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</si>
  <si>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</si>
  <si>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</si>
  <si>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</si>
  <si>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</si>
  <si>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</si>
  <si>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</si>
  <si>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</si>
  <si>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</si>
  <si>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</si>
  <si>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</si>
  <si>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</si>
  <si>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</si>
  <si>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</si>
  <si>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</si>
  <si>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</si>
  <si>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</si>
  <si>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</si>
  <si>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</si>
  <si>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</si>
  <si>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</si>
  <si>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</si>
  <si>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</si>
  <si>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</si>
  <si>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</si>
  <si>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</si>
  <si>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</si>
  <si>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</si>
  <si>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</si>
  <si>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</si>
  <si>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</si>
  <si>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</si>
  <si>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</si>
  <si>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</si>
  <si>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</si>
  <si>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</si>
  <si>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</si>
  <si>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</si>
  <si>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</si>
  <si>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</si>
  <si>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</si>
  <si>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</si>
  <si>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</si>
  <si>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</si>
  <si>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</si>
  <si>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</si>
  <si>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</si>
  <si>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</si>
  <si>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</si>
  <si>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2026-05-26</t>
  </si>
  <si>
    <t>2026-05-27</t>
  </si>
  <si>
    <t>2026-05-28</t>
  </si>
  <si>
    <t>2026-05-29</t>
  </si>
  <si>
    <t>2026-06-01</t>
  </si>
  <si>
    <t>2026-06-02</t>
  </si>
  <si>
    <t>2026-06-03</t>
  </si>
  <si>
    <t>2026-06-04</t>
  </si>
  <si>
    <t>2026-06-05</t>
  </si>
  <si>
    <t>2026-06-08</t>
  </si>
  <si>
    <t>2026-06-09</t>
  </si>
  <si>
    <t>2026-06-10</t>
  </si>
  <si>
    <t>2026-06-11</t>
  </si>
  <si>
    <t>2026-06-12</t>
  </si>
  <si>
    <t>2026-06-15</t>
  </si>
  <si>
    <t>2026-06-16</t>
  </si>
  <si>
    <t>2026-06-17</t>
  </si>
  <si>
    <t>2026-06-18</t>
  </si>
  <si>
    <t>2026-06-22</t>
  </si>
  <si>
    <t>2026-06-23</t>
  </si>
  <si>
    <t>2026-06-24</t>
  </si>
  <si>
    <t>2026-06-25</t>
  </si>
  <si>
    <t>2026-06-26</t>
  </si>
  <si>
    <t>2026-06-29</t>
  </si>
  <si>
    <t>2026-06-30</t>
  </si>
  <si>
    <t>2026-07-01</t>
  </si>
  <si>
    <t>2026-07-02</t>
  </si>
  <si>
    <t>2026-07-06</t>
  </si>
  <si>
    <t>2026-07-07</t>
  </si>
  <si>
    <t>2026-07-08</t>
  </si>
  <si>
    <t>2026-07-09</t>
  </si>
  <si>
    <t>2026-07-10</t>
  </si>
  <si>
    <t>2026-07-13</t>
  </si>
  <si>
    <t>2026-07-14</t>
  </si>
  <si>
    <t>2026-07-15</t>
  </si>
  <si>
    <t>2026-07-16</t>
  </si>
  <si>
    <t>2026-07-17</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</si>
  <si>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</si>
  <si>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</si>
  <si>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</si>
  <si>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</si>
  <si>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</si>
  <si>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</si>
  <si>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</si>
  <si>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</si>
  <si>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</si>
  <si>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</si>
  <si>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</si>
  <si>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</si>
  <si>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</si>
  <si>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</si>
  <si>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</si>
  <si>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</si>
  <si>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</si>
  <si>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</si>
  <si>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</si>
  <si>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2026-08-14</t>
  </si>
  <si>
    <t>2026-08-17</t>
  </si>
  <si>
    <t>2026-08-18</t>
  </si>
  <si>
    <t>2026-08-19</t>
  </si>
  <si>
    <t>2026-08-20</t>
  </si>
  <si>
    <t>2026-08-21</t>
  </si>
  <si>
    <t>2026-08-24</t>
  </si>
  <si>
    <t>2026-08-25</t>
  </si>
  <si>
    <t>2026-08-26</t>
  </si>
  <si>
    <t>2026-08-27</t>
  </si>
  <si>
    <t>2026-08-28</t>
  </si>
  <si>
    <t>2026-08-31</t>
  </si>
  <si>
    <t>2026-09-01</t>
  </si>
  <si>
    <t>2026-09-02</t>
  </si>
  <si>
    <t>2026-09-03</t>
  </si>
  <si>
    <t>2026-09-04</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</si>
  <si>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</si>
  <si>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</si>
  <si>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</si>
  <si>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</si>
  <si>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</si>
  <si>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</si>
  <si>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</si>
  <si>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</si>
  <si>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</si>
  <si>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</si>
  <si>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</si>
  <si>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</si>
  <si>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</si>
  <si>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</si>
  <si>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</si>
  <si>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</si>
  <si>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</si>
  <si>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</si>
  <si>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</si>
  <si>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</si>
  <si>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</si>
  <si>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</si>
  <si>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</si>
  <si>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</si>
  <si>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2026-10-12</t>
  </si>
  <si>
    <t>2026-10-13</t>
  </si>
  <si>
    <t>2026-10-14</t>
  </si>
  <si>
    <t>2026-10-15</t>
  </si>
  <si>
    <t>2026-10-16</t>
  </si>
  <si>
    <t>2026-10-19</t>
  </si>
  <si>
    <t>2026-10-20</t>
  </si>
  <si>
    <t>2026-10-21</t>
  </si>
  <si>
    <t>データ_類似企業（market.json peers）</t>
  </si>
  <si>
    <t>対象企業の行はスナップショット。対象の ROE・営業利益率・売上成長率は market.json snapshot に無ければ n.a.</t>
  </si>
  <si>
    <t>時価総額（ドル）</t>
  </si>
  <si>
    <t>ポジショニング図（名称）</t>
  </si>
  <si>
    <t>売上高 前年同期比（%、各社の直近四半期）</t>
  </si>
  <si>
    <t>売上総利益率（%、GAAP／IFRS、各社の直近四半期）</t>
  </si>
  <si>
    <t>Texas Instruments（対象）</t>
  </si>
  <si>
    <t>market.json snapshot</t>
  </si>
  <si>
    <t>TXN（2026年7〜9月期）</t>
  </si>
  <si>
    <t>ADI</t>
  </si>
  <si>
    <t>ANALOG DEVICES INC</t>
  </si>
  <si>
    <t>yfinance（株価）・SEC companyfacts（財務、TTM・PIT）［us-gaap・直近四半期末 2026-08-01・BS 2026-08-01・株数 2026-08-01］</t>
  </si>
  <si>
    <t>ADI（FQ3'26、〜2026/8/1）</t>
  </si>
  <si>
    <t>MCHP</t>
  </si>
  <si>
    <t>MICROCHIP TECHNOLOGY INC</t>
  </si>
  <si>
    <t>yfinance（株価）・SEC companyfacts（財務、TTM・PIT）［us-gaap・直近四半期末 2026-06-30・BS 2026-06-30・株数 2026-07-28］</t>
  </si>
  <si>
    <t>MCHP（FQ1'27、〜2026/6/30）</t>
  </si>
  <si>
    <t>NXPI</t>
  </si>
  <si>
    <t>NXP Semiconductors N.V.</t>
  </si>
  <si>
    <t>yfinance（株価）・SEC companyfacts（財務、TTM・PIT）［us-gaap・直近四半期末 2026-03-29・BS 2026-03-29・株数 2026-04-24］</t>
  </si>
  <si>
    <t>NXPI（2026年4〜6月期）</t>
  </si>
  <si>
    <t>ON</t>
  </si>
  <si>
    <t>ON SEMICONDUCTOR CORP</t>
  </si>
  <si>
    <t>yfinance（株価）・SEC companyfacts（財務、TTM・PIT）［us-gaap・直近四半期末 2026-07-03・BS 2026-07-03・株数 2026-07-29］</t>
  </si>
  <si>
    <t>STM（2026年4〜6月期）</t>
  </si>
  <si>
    <t>STM</t>
  </si>
  <si>
    <t>STMicroelectronics N.V.</t>
  </si>
  <si>
    <t>yfinance（株価）・SEC companyfacts（財務、TTM・PIT）［us-gaap・直近四半期末 n.a.・BS 2025-12-31・株数 2025-12-31］</t>
  </si>
  <si>
    <t>ON（2026年4〜6月期）</t>
  </si>
  <si>
    <t>MPWR</t>
  </si>
  <si>
    <t>MONOLITHIC POWER SYSTEMS, INC.</t>
  </si>
  <si>
    <t>yfinance（株価）・SEC companyfacts（財務、TTM・PIT）［us-gaap・直近四半期末 2026-06-30・BS 2026-06-30・株数 2026-07-29］</t>
  </si>
  <si>
    <t>MPWR（2026年4〜6月期）</t>
  </si>
  <si>
    <t>参考：Infineon（FY26 Q3、二次）</t>
  </si>
  <si>
    <t>参考：Renesas（2026年4〜6月期、二次）</t>
  </si>
  <si>
    <t>データ_セグメント（セグメント構成比グラフの元データ）</t>
  </si>
  <si>
    <t>推計利益＝会社開示のセグメント利益（op_profit、百万ドル）。利益構成比＝推計利益÷セグメント合計（調整額を除く）</t>
  </si>
  <si>
    <t>営業利益（開示、百万ドル）</t>
  </si>
  <si>
    <t>推計利益（百万ドル）</t>
  </si>
  <si>
    <t>利益構成比</t>
  </si>
  <si>
    <t>グラフ表示名</t>
  </si>
  <si>
    <t>合計</t>
  </si>
  <si>
    <t>注1：利益構成比は会社開示のセグメント利益（op_profit）。赤字セグメントは負の構成比になる。合計が 0 以下なら n.a.</t>
  </si>
  <si>
    <t>注2：売上構成比の合計が 100% に満たない場合、不足分を「その他・調整（差分）」として売上構成比グラフに含める</t>
  </si>
  <si>
    <t>データ_市況（⑦ 関連市況の元データ）</t>
  </si>
  <si>
    <t>各系列の出所は 1_企業分析 ⑦ の表と 出典 シートを参照。時点の昇順</t>
  </si>
  <si>
    <t>指数／月次</t>
  </si>
  <si>
    <t>指数(2017=100)／月次</t>
  </si>
  <si>
    <t>百万台(年率)／月次</t>
  </si>
  <si>
    <t>百万ドル／月次</t>
  </si>
  <si>
    <t>時点</t>
  </si>
  <si>
    <t>軸ラベル</t>
  </si>
  <si>
    <t>2021-09</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</si>
  <si>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</si>
  <si>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</si>
  <si>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</si>
  <si>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</si>
  <si>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</si>
  <si>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</si>
  <si>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</si>
  <si>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</si>
  <si>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</si>
  <si>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</si>
  <si>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</si>
  <si>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</si>
  <si>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</si>
  <si>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</si>
  <si>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</si>
  <si>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</si>
  <si>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</si>
  <si>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</si>
  <si>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</si>
  <si>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</si>
  <si>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</si>
  <si>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</si>
  <si>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</si>
  <si>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</si>
  <si>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</si>
  <si>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</si>
  <si>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</si>
  <si>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</si>
  <si>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</si>
  <si>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</si>
  <si>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</si>
  <si>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</si>
  <si>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</si>
  <si>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</si>
  <si>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</si>
  <si>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</si>
  <si>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</si>
  <si>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</si>
  <si>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</si>
  <si>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</si>
  <si>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</si>
  <si>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</si>
  <si>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</si>
  <si>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</si>
  <si>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</si>
  <si>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</si>
  <si>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</si>
  <si>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</si>
  <si>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</si>
  <si>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</si>
  <si>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</si>
  <si>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</si>
  <si>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</si>
  <si>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</si>
  <si>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</si>
  <si>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</si>
  <si>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</si>
  <si>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</si>
  <si>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</si>
  <si>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</si>
  <si>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</si>
  <si>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会社発表値と出典</t>
  </si>
  <si>
    <t>金額は原単位。発表値を保持し、換算・符号調整は各シートで計算。</t>
  </si>
  <si>
    <t>期間開始</t>
  </si>
  <si>
    <t>期間終了</t>
  </si>
  <si>
    <t>原数値</t>
  </si>
  <si>
    <t>通貨</t>
  </si>
  <si>
    <t>提出日時</t>
  </si>
  <si>
    <t>タグ・表位置</t>
  </si>
  <si>
    <t>原本URL</t>
  </si>
  <si>
    <t>変換</t>
  </si>
  <si>
    <t>2021-01-01</t>
  </si>
  <si>
    <t>USD</t>
  </si>
  <si>
    <t>RevenueFromContractWithCustomerExcludingAssessedTax | 0000097476-24-000007</t>
  </si>
  <si>
    <t>https://www.sec.gov/Archives/edgar/data/97476/000009747624000007/0000097476-24-000007-index.html</t>
  </si>
  <si>
    <t>identity</t>
  </si>
  <si>
    <t>2022-01-01</t>
  </si>
  <si>
    <t>2022-12-31</t>
  </si>
  <si>
    <t>RevenueFromContractWithCustomerExcludingAssessedTax | 0000097476-25-000007</t>
  </si>
  <si>
    <t>https://www.sec.gov/Archives/edgar/data/97476/000009747625000007/0000097476-25-000007-index.html</t>
  </si>
  <si>
    <t>2023-01-01</t>
  </si>
  <si>
    <t>2023-12-31</t>
  </si>
  <si>
    <t>RevenueFromContractWithCustomerExcludingAssessedTax | 0000097476-26-000059</t>
  </si>
  <si>
    <t>https://www.sec.gov/Archives/edgar/data/97476/000009747626000059/0000097476-26-000059-index.html</t>
  </si>
  <si>
    <t>2024-01-01</t>
  </si>
  <si>
    <t>2025-01-01</t>
  </si>
  <si>
    <t>CostOfGoodsAndServicesSold | 0000097476-24-000007</t>
  </si>
  <si>
    <t>CostOfGoodsAndServicesSold | 0000097476-25-000007</t>
  </si>
  <si>
    <t>CostOfGoodsAndServicesSold | 0000097476-26-000059</t>
  </si>
  <si>
    <t>GrossProfit | 0000097476-24-000007</t>
  </si>
  <si>
    <t>GrossProfit | 0000097476-25-000007</t>
  </si>
  <si>
    <t>GrossProfit | 0000097476-26-000059</t>
  </si>
  <si>
    <t>SellingGeneralAndAdministrativeExpense | 0000097476-24-000007</t>
  </si>
  <si>
    <t>SellingGeneralAndAdministrativeExpense | 0000097476-25-000007</t>
  </si>
  <si>
    <t>SellingGeneralAndAdministrativeExpense | 0000097476-26-000059</t>
  </si>
  <si>
    <t>ResearchAndDevelopmentExpense | 0000097476-24-000007</t>
  </si>
  <si>
    <t>ResearchAndDevelopmentExpense | 0000097476-25-000007</t>
  </si>
  <si>
    <t>ResearchAndDevelopmentExpense | 0000097476-26-000059</t>
  </si>
  <si>
    <t>OperatingIncomeLoss | 0000097476-24-000007</t>
  </si>
  <si>
    <t>OperatingIncomeLoss | 0000097476-25-000007</t>
  </si>
  <si>
    <t>OperatingIncomeLoss | 0000097476-26-000059</t>
  </si>
  <si>
    <t>IncomeLossFromContinuingOperationsBeforeIncomeTaxesExtraordinaryItemsNoncontrollingInterest | 0000097476-24-000007</t>
  </si>
  <si>
    <t>IncomeLossFromContinuingOperationsBeforeIncomeTaxesExtraordinaryItemsNoncontrollingInterest | 0000097476-25-000007</t>
  </si>
  <si>
    <t>IncomeLossFromContinuingOperationsBeforeIncomeTaxesExtraordinaryItemsNoncontrollingInterest | 0000097476-26-000059</t>
  </si>
  <si>
    <t>IncomeTaxExpenseBenefit | 0000097476-24-000007</t>
  </si>
  <si>
    <t>IncomeTaxExpenseBenefit | 0000097476-25-000007</t>
  </si>
  <si>
    <t>IncomeTaxExpenseBenefit | 0000097476-26-000059</t>
  </si>
  <si>
    <t>NetIncomeLoss | 0000097476-24-000007</t>
  </si>
  <si>
    <t>NetIncomeLoss | 0000097476-25-000007</t>
  </si>
  <si>
    <t>NetIncomeLoss | 0000097476-26-000059</t>
  </si>
  <si>
    <t>CashAndCashEquivalentsAtCarryingValue | 0000097476-23-000007</t>
  </si>
  <si>
    <t>https://www.sec.gov/Archives/edgar/data/97476/000009747623000007/0000097476-23-000007-index.html</t>
  </si>
  <si>
    <t>CashAndCashEquivalentsAtCarryingValue | 0000097476-24-000007</t>
  </si>
  <si>
    <t>CashAndCashEquivalentsAtCarryingValue | 0000097476-25-000007</t>
  </si>
  <si>
    <t>CashAndCashEquivalentsAtCarryingValue | 0000097476-26-000059</t>
  </si>
  <si>
    <t>AccountsReceivableNetCurrent | 0000097476-23-000007</t>
  </si>
  <si>
    <t>AccountsReceivableNetCurrent | 0000097476-24-000007</t>
  </si>
  <si>
    <t>AccountsReceivableNetCurrent | 0000097476-25-000007</t>
  </si>
  <si>
    <t>AccountsReceivableNetCurrent | 0000097476-26-000059</t>
  </si>
  <si>
    <t>InventoryNet | 0000097476-23-000007</t>
  </si>
  <si>
    <t>InventoryNet | 0000097476-24-000007</t>
  </si>
  <si>
    <t>InventoryNet | 0000097476-25-000007</t>
  </si>
  <si>
    <t>InventoryNet | 0000097476-26-000059</t>
  </si>
  <si>
    <t>AssetsCurrent | 0000097476-23-000007</t>
  </si>
  <si>
    <t>AssetsCurrent | 0000097476-24-000007</t>
  </si>
  <si>
    <t>AssetsCurrent | 0000097476-25-000007</t>
  </si>
  <si>
    <t>AssetsCurrent | 0000097476-26-000059</t>
  </si>
  <si>
    <t>PropertyPlantAndEquipmentNet | 0000097476-23-000007</t>
  </si>
  <si>
    <t>PropertyPlantAndEquipmentNet | 0000097476-24-000007</t>
  </si>
  <si>
    <t>PropertyPlantAndEquipmentNet | 0000097476-25-000007</t>
  </si>
  <si>
    <t>PropertyPlantAndEquipmentNet | 0000097476-26-000059</t>
  </si>
  <si>
    <t>Assets | 0000097476-23-000007</t>
  </si>
  <si>
    <t>Assets | 0000097476-24-000007</t>
  </si>
  <si>
    <t>Assets | 0000097476-25-000007</t>
  </si>
  <si>
    <t>Assets | 0000097476-26-000059</t>
  </si>
  <si>
    <t>AccountsPayableCurrent | 0000097476-23-000007</t>
  </si>
  <si>
    <t>AccountsPayableCurrent | 0000097476-24-000007</t>
  </si>
  <si>
    <t>AccountsPayableCurrent | 0000097476-25-000007</t>
  </si>
  <si>
    <t>AccountsPayableCurrent | 0000097476-26-000059</t>
  </si>
  <si>
    <t>LiabilitiesCurrent | 0000097476-23-000007</t>
  </si>
  <si>
    <t>LiabilitiesCurrent | 0000097476-24-000007</t>
  </si>
  <si>
    <t>LiabilitiesCurrent | 0000097476-25-000007</t>
  </si>
  <si>
    <t>LiabilitiesCurrent | 0000097476-26-000059</t>
  </si>
  <si>
    <t>Liabilities | 0000097476-23-000007</t>
  </si>
  <si>
    <t>Liabilities | 0000097476-24-000007</t>
  </si>
  <si>
    <t>Liabilities | 0000097476-25-000007</t>
  </si>
  <si>
    <t>Liabilities | 0000097476-26-000059</t>
  </si>
  <si>
    <t>StockholdersEquity | ie846fa343e4f4bf1bc19f8ade4f4d6b0_I20211231</t>
  </si>
  <si>
    <t>https://www.sec.gov/Archives/edgar/data/97476/000009747623000007/txn-20221231.htm</t>
  </si>
  <si>
    <t>StockholdersEquity | c-7</t>
  </si>
  <si>
    <t>https://www.sec.gov/Archives/edgar/data/97476/000009747624000007/txn-20231231.htm</t>
  </si>
  <si>
    <t>https://www.sec.gov/Archives/edgar/data/97476/000009747625000007/txn-20241231.htm</t>
  </si>
  <si>
    <t>https://www.sec.gov/Archives/edgar/data/97476/000009747626000059/txn-20251231.htm</t>
  </si>
  <si>
    <t>StockholdersEquity | c-6</t>
  </si>
  <si>
    <t>NetCashProvidedByUsedInOperatingActivities | 0000097476-24-000007</t>
  </si>
  <si>
    <t>NetCashProvidedByUsedInOperatingActivities | 0000097476-25-000007</t>
  </si>
  <si>
    <t>NetCashProvidedByUsedInOperatingActivities | 0000097476-26-000059</t>
  </si>
  <si>
    <t>NetCashProvidedByUsedInInvestingActivities | 0000097476-24-000007</t>
  </si>
  <si>
    <t>NetCashProvidedByUsedInInvestingActivities | 0000097476-25-000007</t>
  </si>
  <si>
    <t>NetCashProvidedByUsedInInvestingActivities | 0000097476-26-000059</t>
  </si>
  <si>
    <t>NetCashProvidedByUsedInFinancingActivities | 0000097476-24-000007</t>
  </si>
  <si>
    <t>NetCashProvidedByUsedInFinancingActivities | 0000097476-25-000007</t>
  </si>
  <si>
    <t>NetCashProvidedByUsedInFinancingActivities | 0000097476-26-000059</t>
  </si>
  <si>
    <t>TXNCashFXEffectNotPresented | c-5: CF計算書に為替影響行なし・営業＋投資＋財務＝現金増減</t>
  </si>
  <si>
    <t>TXNCashFXEffectNotPresented | c-4: CF計算書に為替影響行なし・営業＋投資＋財務＝現金増減</t>
  </si>
  <si>
    <t>TXNCashFXEffectNotPresented | c-1: CF計算書に為替影響行なし・営業＋投資＋財務＝現金増減</t>
  </si>
  <si>
    <t>CashCashEquivalentsRestrictedCashAndRestrictedCashEquivalentsPeriodIncreaseDecreaseIncludingExchangeRateEffect | c-5</t>
  </si>
  <si>
    <t>CashCashEquivalentsRestrictedCashAndRestrictedCashEquivalentsPeriodIncreaseDecreaseIncludingExchangeRateEffect | c-4</t>
  </si>
  <si>
    <t>CashCashEquivalentsRestrictedCashAndRestrictedCashEquivalentsPeriodIncreaseDecreaseIncludingExchangeRateEffect | c-1</t>
  </si>
  <si>
    <t>TXNPresentedDepreciationAndAmortization | c-5: CF表示値の合計 Depreciation 755＋Amortization of capitalized software 57＋Amortization of acquisition-related intangibles 142</t>
  </si>
  <si>
    <t>TXNPresentedDepreciationAndAmortization | c-5: CF表示値の合計 Depreciation 925＋Amortization of capitalized software 54</t>
  </si>
  <si>
    <t>TXNPresentedDepreciationAndAmortization | c-5: CF表示値の合計 Depreciation 1175＋Amortization of capitalized software 63</t>
  </si>
  <si>
    <t>TXNPresentedDepreciationAndAmortization | c-4: CF表示値の合計 Depreciation 1508＋Amortization of capitalized software 72</t>
  </si>
  <si>
    <t>TXNPresentedDepreciationAndAmortization | c-1: CF表示値の合計 Depreciation 1918＋Amortization of capitalized software 81</t>
  </si>
  <si>
    <t>PaymentsToAcquirePropertyPlantAndEquipment | 0000097476-24-000007</t>
  </si>
  <si>
    <t>absolute</t>
  </si>
  <si>
    <t>PaymentsToAcquirePropertyPlantAndEquipment | 0000097476-25-000007</t>
  </si>
  <si>
    <t>PaymentsToAcquirePropertyPlantAndEquipment | 0000097476-26-000059</t>
  </si>
  <si>
    <t>TXNNoncontrollingInterestNotPresented | i4318962e5e42482e8147add103655653_D20210101-20211231: Net income単一表示・非支配持分の区分表示なし</t>
  </si>
  <si>
    <t>TXNNoncontrollingInterestNotPresented | c-4: Net income単一表示・非支配持分の区分表示なし</t>
  </si>
  <si>
    <t>TXNNoncontrollingInterestNotPresented | c-1: Net income単一表示・非支配持分の区分表示なし</t>
  </si>
  <si>
    <t>CapitalizedComputerSoftwareNet | ie846fa343e4f4bf1bc19f8ade4f4d6b0_I20211231</t>
  </si>
  <si>
    <t>CapitalizedComputerSoftwareNet | c-7</t>
  </si>
  <si>
    <t>CapitalizedComputerSoftwareNet | c-6</t>
  </si>
  <si>
    <t>Depreciation | 0000097476-24-000007</t>
  </si>
  <si>
    <t>Depreciation | 0000097476-25-000007</t>
  </si>
  <si>
    <t>Depreciation | 0000097476-26-000059</t>
  </si>
  <si>
    <t>AmortizationOfIntangibleAssets | 0000097476-24-000007</t>
  </si>
  <si>
    <t>PaymentsOfDividends | 0000097476-24-000007</t>
  </si>
  <si>
    <t>PaymentsOfDividends | 0000097476-25-000007</t>
  </si>
  <si>
    <t>PaymentsOfDividends | 0000097476-26-000059</t>
  </si>
  <si>
    <t>RevenueFromContractWithCustomerExcludingAssessedTax | c-42 | StatementBusinessSegmentsAxis=AnalogMember</t>
  </si>
  <si>
    <t>RevenueFromContractWithCustomerExcludingAssessedTax | c-43 | StatementBusinessSegmentsAxis=EmbeddedProcessingMember</t>
  </si>
  <si>
    <t>RevenueFromContractWithCustomerExcludingAssessedTax | c-44 | StatementBusinessSegmentsAxis=AllOtherSegmentsMember</t>
  </si>
  <si>
    <t>RevenueFromContractWithCustomerExcludingAssessedTax | c-45 | StatementBusinessSegmentsAxis=AnalogMember</t>
  </si>
  <si>
    <t>RevenueFromContractWithCustomerExcludingAssessedTax | c-46 | StatementBusinessSegmentsAxis=EmbeddedProcessingMember</t>
  </si>
  <si>
    <t>RevenueFromContractWithCustomerExcludingAssessedTax | c-47 | StatementBusinessSegmentsAxis=AllOtherSegmentsMember</t>
  </si>
  <si>
    <t>RevenueFromContractWithCustomerExcludingAssessedTax | c-48 | StatementBusinessSegmentsAxis=AnalogMember</t>
  </si>
  <si>
    <t>RevenueFromContractWithCustomerExcludingAssessedTax | c-49 | StatementBusinessSegmentsAxis=EmbeddedProcessingMember</t>
  </si>
  <si>
    <t>RevenueFromContractWithCustomerExcludingAssessedTax | c-50 | StatementBusinessSegmentsAxis=AllOtherSegmentsMember</t>
  </si>
  <si>
    <t>RevenueFromContractWithCustomerExcludingAssessedTax | c-4</t>
  </si>
  <si>
    <t>RevenueFromContractWithCustomerExcludingAssessedTax | c-1</t>
  </si>
  <si>
    <t>RevenueFromContractWithCustomerExcludingAssessedTax | c-5</t>
  </si>
  <si>
    <t>RevenueFromContractWithCustomerExcludingAssessedTax | c-51 | ConcentrationRiskByTypeAxis=GeographicConcentrationRiskMember | StatementGeographicalAxis=US</t>
  </si>
  <si>
    <t>RevenueFromContractWithCustomerExcludingAssessedTax | c-52 | ConcentrationRiskByTypeAxis=GeographicConcentrationRiskMember | StatementGeographicalAxis=US</t>
  </si>
  <si>
    <t>RevenueFromContractWithCustomerExcludingAssessedTax | c-53 | ConcentrationRiskByTypeAxis=GeographicConcentrationRiskMember | StatementGeographicalAxis=US</t>
  </si>
  <si>
    <t>RevenueFromContractWithCustomerExcludingAssessedTax | c-54 | ConcentrationRiskByTypeAxis=GeographicConcentrationRiskMember | StatementGeographicalAxis=CN</t>
  </si>
  <si>
    <t>RevenueFromContractWithCustomerExcludingAssessedTax | c-55 | ConcentrationRiskByTypeAxis=GeographicConcentrationRiskMember | StatementGeographicalAxis=CN</t>
  </si>
  <si>
    <t>RevenueFromContractWithCustomerExcludingAssessedTax | c-56 | ConcentrationRiskByTypeAxis=GeographicConcentrationRiskMember | StatementGeographicalAxis=CN</t>
  </si>
  <si>
    <t>RevenueFromContractWithCustomerExcludingAssessedTax | c-57 | ConcentrationRiskByTypeAxis=GeographicConcentrationRiskMember | StatementGeographicalAxis=RestOfAsiaMember</t>
  </si>
  <si>
    <t>RevenueFromContractWithCustomerExcludingAssessedTax | c-58 | ConcentrationRiskByTypeAxis=GeographicConcentrationRiskMember | StatementGeographicalAxis=RestOfAsiaMember</t>
  </si>
  <si>
    <t>RevenueFromContractWithCustomerExcludingAssessedTax | c-59 | ConcentrationRiskByTypeAxis=GeographicConcentrationRiskMember | StatementGeographicalAxis=RestOfAsiaMember</t>
  </si>
  <si>
    <t>RevenueFromContractWithCustomerExcludingAssessedTax | c-60 | ConcentrationRiskByTypeAxis=GeographicConcentrationRiskMember | StatementGeographicalAxis=EMEAMember</t>
  </si>
  <si>
    <t>RevenueFromContractWithCustomerExcludingAssessedTax | c-61 | ConcentrationRiskByTypeAxis=GeographicConcentrationRiskMember | StatementGeographicalAxis=EMEAMember</t>
  </si>
  <si>
    <t>RevenueFromContractWithCustomerExcludingAssessedTax | c-62 | ConcentrationRiskByTypeAxis=GeographicConcentrationRiskMember | StatementGeographicalAxis=EMEAMember</t>
  </si>
  <si>
    <t>RevenueFromContractWithCustomerExcludingAssessedTax | c-63 | ConcentrationRiskByTypeAxis=GeographicConcentrationRiskMember | StatementGeographicalAxis=JP</t>
  </si>
  <si>
    <t>RevenueFromContractWithCustomerExcludingAssessedTax | c-64 | ConcentrationRiskByTypeAxis=GeographicConcentrationRiskMember | StatementGeographicalAxis=JP</t>
  </si>
  <si>
    <t>RevenueFromContractWithCustomerExcludingAssessedTax | c-65 | ConcentrationRiskByTypeAxis=GeographicConcentrationRiskMember | StatementGeographicalAxis=JP</t>
  </si>
  <si>
    <t>RevenueFromContractWithCustomerExcludingAssessedTax | c-66 | ConcentrationRiskByTypeAxis=GeographicConcentrationRiskMember | StatementGeographicalAxis=RestOfWorldMember</t>
  </si>
  <si>
    <t>RevenueFromContractWithCustomerExcludingAssessedTax | c-67 | ConcentrationRiskByTypeAxis=GeographicConcentrationRiskMember | StatementGeographicalAxis=RestOfWorldMember</t>
  </si>
  <si>
    <t>RevenueFromContractWithCustomerExcludingAssessedTax | c-68 | ConcentrationRiskByTypeAxis=GeographicConcentrationRiskMember | StatementGeographicalAxis=RestOfWorldMember</t>
  </si>
  <si>
    <t>RevenueFromContractWithCustomerExcludingAssessedTax | c-69 | ConcentrationRiskByTypeAxis=GeographicConcentrationRiskMember</t>
  </si>
  <si>
    <t>RevenueFromContractWithCustomerExcludingAssessedTax | c-70 | ConcentrationRiskByTypeAxis=GeographicConcentrationRiskMember</t>
  </si>
  <si>
    <t>RevenueFromContractWithCustomerExcludingAssessedTax | c-71 | ConcentrationRiskByTypeAxis=GeographicConcentrationRiskMember</t>
  </si>
  <si>
    <t>RevenueFromContractWithCustomerExcludingAssessedTax | c-44 | StatementBusinessSegmentsAxis=AnalogMember</t>
  </si>
  <si>
    <t>RevenueFromContractWithCustomerExcludingAssessedTax | c-47 | StatementBusinessSegmentsAxis=EmbeddedProcessingMember</t>
  </si>
  <si>
    <t>財務・注記の整合性検査</t>
  </si>
  <si>
    <t>貸借差額（総資産−負債−資本）</t>
  </si>
  <si>
    <t>売上総利益差額</t>
  </si>
  <si>
    <t>CF増減差額</t>
  </si>
  <si>
    <t>セグメント売上合計 − 連結売上高</t>
  </si>
  <si>
    <t>地域別売上合計 − 連結売上高</t>
  </si>
  <si>
    <t>n.a.：前提不足または計算値のため独立照合不可。0は一致。</t>
  </si>
  <si>
    <t>差額の単位は百万。5超を強調。元資料の丸め・範囲差を確認。</t>
  </si>
  <si>
    <t>CF現金とBS現預金の差を埋めるプラグは作成しません。</t>
  </si>
  <si>
    <t>出典一覧</t>
  </si>
  <si>
    <t>記述の右端「出所」列の ID に対応。一次＝会社開示・公的統計の原本、二次＝それ以外（出所列に「※二次」）</t>
  </si>
  <si>
    <t>ID</t>
  </si>
  <si>
    <t>種別</t>
  </si>
  <si>
    <t>一次/二次</t>
  </si>
  <si>
    <t>発行者</t>
  </si>
  <si>
    <t>タイトル</t>
  </si>
  <si>
    <t>発行日</t>
  </si>
  <si>
    <t>取得日</t>
  </si>
  <si>
    <t>頁</t>
  </si>
  <si>
    <t>URL</t>
  </si>
  <si>
    <t>引用（短い）</t>
  </si>
  <si>
    <t>D0-S1</t>
  </si>
  <si>
    <t>決算短信</t>
  </si>
  <si>
    <t>一次</t>
  </si>
  <si>
    <t>Texas Instruments Incorporated (SEC EDGAR)</t>
  </si>
  <si>
    <t>TI reports third quarter 2026 financial results and shareholder returns (8-K Exhibit 99)</t>
  </si>
  <si>
    <t>p.4 Consolidated Balance Sheets (Sep 30, 2026); p.3 income statement, p.5-6 supplemental</t>
  </si>
  <si>
    <t>https://www.sec.gov/Archives/edgar/data/97476/000009747626000165/q32026txnex99-eredgar.htm</t>
  </si>
  <si>
    <t>D0-S2</t>
  </si>
  <si>
    <t>Form 10-Q for the quarter ended June 30, 2026</t>
  </si>
  <si>
    <t>cover p.1 (shares 913,247,686 at 2026-07-15); Note 4 investments p.10; Note 6 debt p.13</t>
  </si>
  <si>
    <t>https://www.sec.gov/Archives/edgar/data/97476/000009747626000152/txn-20260630.htm</t>
  </si>
  <si>
    <t>D0-S3</t>
  </si>
  <si>
    <t>U.S. SEC</t>
  </si>
  <si>
    <t>SEC EDGAR submissions API for CIK 0000097476 (filing list check: no Q3 2026 10-Q as of 2026-10-23)</t>
  </si>
  <si>
    <t>recent filings list</t>
  </si>
  <si>
    <t>https://data.sec.gov/submissions/CIK0000097476.json</t>
  </si>
  <si>
    <t>D0-S4</t>
  </si>
  <si>
    <t>Texas Instruments / SEC</t>
  </si>
  <si>
    <t>Texas Instruments Form 10-Q（2026-06-30）CHIPS 関連受取債権 流動 $1,005M＋長期 $1,158M</t>
  </si>
  <si>
    <t>BS 注記（F6-S3 と同一資料）</t>
  </si>
  <si>
    <t>https://www.sec.gov/cgi-bin/browse-edgar?action=getcompany&amp;CIK=0000097476&amp;type=10-Q</t>
  </si>
  <si>
    <t>有価証券報告書</t>
  </si>
  <si>
    <t>Texas Instruments Form 10-K FY2025 (Item 1 事業・市場、MD&amp;Aセグメント、セグメント情報、地域別売上)</t>
  </si>
  <si>
    <t>p.2-8(Item1)、p.9(リスク)、p.21-22(MD&amp;A)、p.32-33(セグメント・地域)</t>
  </si>
  <si>
    <t>more than 80% of our revenue was direct</t>
  </si>
  <si>
    <t>TI reports third quarter 2026 financial results (8-K Exhibit 99)</t>
  </si>
  <si>
    <t>p.1-7</t>
  </si>
  <si>
    <t>F1-S3</t>
  </si>
  <si>
    <t>Texas Instruments Form 10-Q for the quarter ended 2026-06-30</t>
  </si>
  <si>
    <t>p.18-20(事業・製造・MD&amp;A)、Silicon Labs買収注記</t>
  </si>
  <si>
    <t>F1-S4</t>
  </si>
  <si>
    <t>TI increases dividend 7% to $1.52 per share (8-K Exhibit 99)</t>
  </si>
  <si>
    <t>p.1</t>
  </si>
  <si>
    <t>https://www.sec.gov/Archives/edgar/data/97476/000095010326014118/dp253473_ex99.htm</t>
  </si>
  <si>
    <t>F1-S5</t>
  </si>
  <si>
    <t>Texas Instruments / Silicon Labs / SEC</t>
  </si>
  <si>
    <t>Texas Instruments to acquire Silicon Labs (8-K Exhibit 99.1)</t>
  </si>
  <si>
    <t>p.1-2</t>
  </si>
  <si>
    <t>https://www.sec.gov/Archives/edgar/data/97476/000119312526036727/d100130dex991.htm</t>
  </si>
  <si>
    <t>F1-S6</t>
  </si>
  <si>
    <t>報道</t>
  </si>
  <si>
    <t>二次</t>
  </si>
  <si>
    <t>The Motley Fool (決算コール書き起こし、二次)</t>
  </si>
  <si>
    <t>Texas Instruments (TXN) Q3 2026 Earnings Call Transcript</t>
  </si>
  <si>
    <t>プリペアド・リマークス、Q&amp;A</t>
  </si>
  <si>
    <t>https://www.fool.com/earnings/call-transcripts/2026/10/21/texas-instruments-txn-q3-2026-earnings-call-transcript/</t>
  </si>
  <si>
    <t>F1-S7</t>
  </si>
  <si>
    <t>Boardroom Alpha (SEC提出書類の転載、原本はSilicon Labs 8-K accession 0001193125-26-237879)</t>
  </si>
  <si>
    <t>Silicon Labs 8-K (HSR待機期間満了) 2026-05-26 ※閲覧は転載ミラー経由</t>
  </si>
  <si>
    <t>Item 8.01</t>
  </si>
  <si>
    <t>https://www.boardroomalpha.com/sec/slab-8-k-2026-05-26-0001193125-26-237879</t>
  </si>
  <si>
    <t>F2-S1</t>
  </si>
  <si>
    <t>Texas Instruments 8-K Exhibit 99.1 Q3 2026 earnings release</t>
  </si>
  <si>
    <t>Statements of income, segment table</t>
  </si>
  <si>
    <t>https://www.sec.gov/Archives/edgar/data/0000097476/000009747626000165/q32026txnex99-eredgar.htm</t>
  </si>
  <si>
    <t>F2-S2</t>
  </si>
  <si>
    <t>Analog Devices / SEC</t>
  </si>
  <si>
    <t>Analog Devices 8-K Exhibit 99.1 Fiscal Q3 2026 results</t>
  </si>
  <si>
    <t>Revenue by end market, gross margin</t>
  </si>
  <si>
    <t>https://www.sec.gov/Archives/edgar/data/0000006281/000000628126000072/adi3q26exhibit991earnings.htm</t>
  </si>
  <si>
    <t>F2-S3</t>
  </si>
  <si>
    <t>Microchip Technology / SEC</t>
  </si>
  <si>
    <t>Microchip Technology 8-K Exhibit 99.1 Q1 FY2027 results</t>
  </si>
  <si>
    <t>Net sales and gross margin table</t>
  </si>
  <si>
    <t>https://www.sec.gov/Archives/edgar/data/0000827054/000082705426000037/exhibit991q1fy27.htm</t>
  </si>
  <si>
    <t>F2-S4</t>
  </si>
  <si>
    <t>NXP Semiconductors / SEC</t>
  </si>
  <si>
    <t>NXP Semiconductors 8-K Exhibit 99.1 Q2 2026 results</t>
  </si>
  <si>
    <t>Summary table（本文は検索要約で確認、原文の再確認は未）</t>
  </si>
  <si>
    <t>https://www.sec.gov/Archives/edgar/data/0001413447/000141344726000044/nxp2q26exhibit991.htm</t>
  </si>
  <si>
    <t>F2-S5</t>
  </si>
  <si>
    <t>onsemi / SEC</t>
  </si>
  <si>
    <t>onsemi 8-K Exhibit 99.1 Q2 2026 results</t>
  </si>
  <si>
    <t>Revenue and gross margin</t>
  </si>
  <si>
    <t>https://www.sec.gov/Archives/edgar/data/0001097864/000114036126030989/ef20079200_ex99-1.htm</t>
  </si>
  <si>
    <t>F2-S6</t>
  </si>
  <si>
    <t>STMicroelectronics / SEC</t>
  </si>
  <si>
    <t>STMicroelectronics Form 6-K Q2 2026 earnings press release</t>
  </si>
  <si>
    <t>Q2 results, segment table, Q3 outlook</t>
  </si>
  <si>
    <t>https://www.sec.gov/Archives/edgar/data/0000932787/000093278726000052/c3403c-q226earningspressre.htm</t>
  </si>
  <si>
    <t>F2-S7</t>
  </si>
  <si>
    <t>Monolithic Power Systems / SEC</t>
  </si>
  <si>
    <t>Monolithic Power Systems 8-K Exhibit 99.1 Q2 2026 results</t>
  </si>
  <si>
    <t>Revenue and gross margin; Enterprise Data</t>
  </si>
  <si>
    <t>https://www.sec.gov/Archives/edgar/data/0001280452/000162828026051029/mpwr-20260630xexx991.htm</t>
  </si>
  <si>
    <t>F2-S8</t>
  </si>
  <si>
    <t>決算説明資料</t>
  </si>
  <si>
    <t>The Motley Fool ほか（二次）</t>
  </si>
  <si>
    <t>Texas Instruments Q3 2026 earnings call transcript（要約経由）</t>
  </si>
  <si>
    <t>Q&amp;A、価格・設備投資・中国の発言（要約。原文の逐語確認は未）</t>
  </si>
  <si>
    <t>F2-S9</t>
  </si>
  <si>
    <t>TrendForce News</t>
  </si>
  <si>
    <t>ADI reportedly set to raise prices again in September（流通情報）</t>
  </si>
  <si>
    <t>https://www.trendforce.com/news/2026/08/13/news-adi-reportedly-set-to-raise-prices-again-on-september-with-military-chips-facing-up-to-30-hike/</t>
  </si>
  <si>
    <t>F2-S10</t>
  </si>
  <si>
    <t>China SCIO（Ministry of Commerce announcement No.27 of 2025 の報道）</t>
  </si>
  <si>
    <t>China launches anti-dumping probe into certain US analog IC chips</t>
  </si>
  <si>
    <t>2025-09-14</t>
  </si>
  <si>
    <t>http://english.scio.gov.cn/m/pressroom/2025-09/14/content_118077750.html</t>
  </si>
  <si>
    <t>F2-S11</t>
  </si>
  <si>
    <t>Infineon press release（転載）</t>
  </si>
  <si>
    <t>Infineon Q3 FY2026 concluded with record sales driven by strong AI business</t>
  </si>
  <si>
    <t>https://www.placera.se/pressmeddelanden/infineon-technologies-infineon-technolgies-ag-q3-fy-2026-concluded-with-record-sales-driven-by-strong-ai-business-further-significant-increase-in-revenue-and-margin-expected-in-q4-fy-2026-20260805</t>
  </si>
  <si>
    <t>F2-S12</t>
  </si>
  <si>
    <t>Evertiq</t>
  </si>
  <si>
    <t>Infineon opens EUR 5 billion Smart Power Fab in Dresden</t>
  </si>
  <si>
    <t>https://evertiq.com/design/2026-07-02-infineon-opens-5-billion-smart-power-fab-in-dresden</t>
  </si>
  <si>
    <t>F2-S13</t>
  </si>
  <si>
    <t>Business Wire（転載。数値は検索要約で確認）</t>
  </si>
  <si>
    <t>Renesas Reports Financial Results for the Second Quarter Ended June 30, 2026</t>
  </si>
  <si>
    <t>https://secure.businesswire.com/news/home/20260730481394/en/Renesas-Reports-Financial-Results-for-the-Second-Quarter-Ended-June-30-2026</t>
  </si>
  <si>
    <t>F2-S14</t>
  </si>
  <si>
    <t>GlobeNewswire</t>
  </si>
  <si>
    <t>STMicroelectronics announces timing for third quarter 2026 earnings release</t>
  </si>
  <si>
    <t>https://www.globenewswire.com/news-release/2026/10/05/3374171/0/en/index.html</t>
  </si>
  <si>
    <t>F2-S15</t>
  </si>
  <si>
    <t>外部コンサル</t>
  </si>
  <si>
    <t>GM Insights ほか（市場調査サイト、出典不明瞭）</t>
  </si>
  <si>
    <t>Analog semiconductors market share（TXN約17.8〜19%・ADI約13.5%、情報源間で不一致）</t>
  </si>
  <si>
    <t>2025</t>
  </si>
  <si>
    <t>https://gminsights.com/industry-analysis/analog-semiconductors-market/market-share</t>
  </si>
  <si>
    <t>F2-S16</t>
  </si>
  <si>
    <t>investment-org context（過去調査、10-K を二次引用）</t>
  </si>
  <si>
    <t>TXN 製品・戦略・歴史調査（既知）</t>
  </si>
  <si>
    <t>2026-10-17</t>
  </si>
  <si>
    <t>300mm、規模の経済の節</t>
  </si>
  <si>
    <t>D:\開発用フォルダ\investment-org\context\stocks\TXN_Texas-Instruments\research_20261017_products-strategy-history.md</t>
  </si>
  <si>
    <t>Texas Instruments / SEC EDGAR</t>
  </si>
  <si>
    <t>TI 8-K (Item 5.02) 2020-08-18: Haviv Ilan elected COO</t>
  </si>
  <si>
    <t>2020-08-18</t>
  </si>
  <si>
    <t>Item 5.02</t>
  </si>
  <si>
    <t>https://www.sec.gov/Archives/edgar/data/97476/000119312520223640/d97776d8k.htm</t>
  </si>
  <si>
    <t>TI 8-K (Item 5.02) 2021-12-07: Ilan elected to Board</t>
  </si>
  <si>
    <t>https://www.sec.gov/Archives/edgar/data/97476/000119312521350324/d444198d8k.htm</t>
  </si>
  <si>
    <t>TI 8-K (Item 5.02) 2023-01-20: Ilan appointed President and CEO effective 2023-04-01</t>
  </si>
  <si>
    <t>https://www.sec.gov/Archives/edgar/data/97476/000119312523011991/d398525d8k.htm</t>
  </si>
  <si>
    <t>TI 8-K (Items 5.02/7.01) 2025-10-16: Templeton to retire 2025-12-31, Ilan to become Chairman</t>
  </si>
  <si>
    <t>https://www.sec.gov/Archives/edgar/data/97476/000095010325013275/dp235861_8k.htm</t>
  </si>
  <si>
    <t>F3-S5</t>
  </si>
  <si>
    <t>TI 8-K (Item 5.02) 2026-06-02: Julie Knecht to succeed Rafael Lizardi as CFO effective 2026-08-01</t>
  </si>
  <si>
    <t>https://www.sec.gov/Archives/edgar/data/97476/000095010326008325/dp247795_8k.htm</t>
  </si>
  <si>
    <t>F3-S6</t>
  </si>
  <si>
    <t>TI 8-K (Item 5.02) 2026-03-25: SVP Hagop Kozanian to retire 2026-08-31</t>
  </si>
  <si>
    <t>https://www.sec.gov/Archives/edgar/data/97476/000119312526124057/d136885d8k.htm</t>
  </si>
  <si>
    <t>TI 2026 Proxy Statement (DEF 14A)</t>
  </si>
  <si>
    <t>p.9, 22-32, 46-47, 55-56</t>
  </si>
  <si>
    <t>https://www.sec.gov/Archives/edgar/data/97476/000009747626000078/txn-20260303.htm</t>
  </si>
  <si>
    <t>TI 8-K (Item 5.07) 2026-04-17: 2026 annual meeting vote results</t>
  </si>
  <si>
    <t>Item 5.07</t>
  </si>
  <si>
    <t>https://www.sec.gov/Archives/edgar/data/97476/000009747626000094/txn-20260416.htm</t>
  </si>
  <si>
    <t>F3-S9</t>
  </si>
  <si>
    <t>TI Form 10-K FY2025</t>
  </si>
  <si>
    <t>Item 1 Strategy; Item 7 MD&amp;A (capex outlook, CHIPS Act)</t>
  </si>
  <si>
    <t>F3-S10</t>
  </si>
  <si>
    <t>TI Form 10-K FY2024 (CHIPS Act expectation; elevated capex)</t>
  </si>
  <si>
    <t>Item 7 MD&amp;A</t>
  </si>
  <si>
    <t>F3-S11</t>
  </si>
  <si>
    <t>TI Form 10-K FY2021 (capital expenditures to increase)</t>
  </si>
  <si>
    <t>Item 1 Strategy</t>
  </si>
  <si>
    <t>https://www.sec.gov/Archives/edgar/data/97476/000009747622000009/txn-20211231.htm</t>
  </si>
  <si>
    <t>F3-S12</t>
  </si>
  <si>
    <t>TI 8-K Ex.99 Q3 2026 results (2026-10-21)</t>
  </si>
  <si>
    <t>F3-S13</t>
  </si>
  <si>
    <t>TI 8-K Ex.99 Q2 2026 results (2026-07-22)</t>
  </si>
  <si>
    <t>https://www.sec.gov/Archives/edgar/data/97476/000009747626000148/q22026txnex99-eredgar.htm</t>
  </si>
  <si>
    <t>F3-S14</t>
  </si>
  <si>
    <t>TI 8-K Ex.99 Q1 2026 results (2026-04-22)</t>
  </si>
  <si>
    <t>https://www.sec.gov/Archives/edgar/data/97476/000009747626000097/q12026txnex99-eredgar.htm</t>
  </si>
  <si>
    <t>F3-S15</t>
  </si>
  <si>
    <t>TI 8-K Ex.99 Q4 2025 results (2026-01-27)</t>
  </si>
  <si>
    <t>https://www.sec.gov/Archives/edgar/data/97476/000009747626000003/q42025txnex99-eredgar.htm</t>
  </si>
  <si>
    <t>F3-S16</t>
  </si>
  <si>
    <t>TI 8-K Ex.99 Q3 2025 results (2025-10-21)</t>
  </si>
  <si>
    <t>https://www.sec.gov/Archives/edgar/data/97476/000009747625000056/q32025txnex99-eredgarversi.htm</t>
  </si>
  <si>
    <t>F3-S17</t>
  </si>
  <si>
    <t>TI 8-K Ex.99 Q2 2025 results (2025-07-22)</t>
  </si>
  <si>
    <t>https://www.sec.gov/Archives/edgar/data/97476/000009747625000033/q22025txnex99-er1.htm</t>
  </si>
  <si>
    <t>F3-S18</t>
  </si>
  <si>
    <t>SEC EDGAR (data.sec.gov)</t>
  </si>
  <si>
    <t>SEC XBRL company facts (CIK 0000097476): FY2021-2025 income, cash flow, balance sheet items (自己算出の元データ)</t>
  </si>
  <si>
    <t>us-gaap tags</t>
  </si>
  <si>
    <t>https://data.sec.gov/api/xbrl/companyfacts/CIK0000097476.json</t>
  </si>
  <si>
    <t>F3-S19</t>
  </si>
  <si>
    <t>Yahoo Finance (MarketBeat 要約)</t>
  </si>
  <si>
    <t>Summary of TI Capital Management call 2026-02-24 (via MarketBeat, Yahoo Finance) - capex $2-3B, FCF/share &gt;$8, inventory 150-250 days, Silicon Labs return criteria</t>
  </si>
  <si>
    <t>https://finance.yahoo.com/news/texas-instruments-slashes-2026-capex-101721209.html</t>
  </si>
  <si>
    <t>F3-S20</t>
  </si>
  <si>
    <t>TSI Network</t>
  </si>
  <si>
    <t>Report on TI off-cycle capital management update: 2026 capex $2-5B, FCF/share $8-12 (TI IR deck itself returned HTTP 403, not retrieved)</t>
  </si>
  <si>
    <t>2025-01-20</t>
  </si>
  <si>
    <t>https://www.tsinetwork.ca/daily-advice/dividend-stocks/texas-instruments-cuts-spending-boosts-cash-flow-projections-through-2026</t>
  </si>
  <si>
    <t>TI 8-K 2026-02-04 Ex.99.1: Silicon Labs acquisition announcement ($231/share, EV about $7.5B)</t>
  </si>
  <si>
    <t>F4-S1</t>
  </si>
  <si>
    <t>Texas Instruments 8-K Ex.99 Q3 2026 results (2026-10-21)</t>
  </si>
  <si>
    <t>pp.1-6</t>
  </si>
  <si>
    <t>F4-S2</t>
  </si>
  <si>
    <t>Motley Fool</t>
  </si>
  <si>
    <t>TXN Q3 2026 earnings call transcript (Motley Fool, 2026-10-21)</t>
  </si>
  <si>
    <t>F4-S3</t>
  </si>
  <si>
    <t>Yahoo Finance</t>
  </si>
  <si>
    <t>Texas Instruments Q3 Earnings Call Highlights (Yahoo Finance)</t>
  </si>
  <si>
    <t>https://finance.yahoo.com/markets/stocks/articles/texas-instruments-q3-earnings-call-230316199.html</t>
  </si>
  <si>
    <t>F4-S4</t>
  </si>
  <si>
    <t>Yahoo Finance chart API TXN daily price/volume 2021-01-04 to 2026-10-23</t>
  </si>
  <si>
    <t>https://query1.finance.yahoo.com/v8/finance/chart/TXN</t>
  </si>
  <si>
    <t>F4-S5</t>
  </si>
  <si>
    <t>Texas Instruments 10-Q for quarter ended 2026-06-30</t>
  </si>
  <si>
    <t>Debt note; Note 9 Silicon Labs</t>
  </si>
  <si>
    <t>https://www.sec.gov/Archives/edgar/data/0000097476/000009747626000152/txn-20260630.htm</t>
  </si>
  <si>
    <t>F4-S6</t>
  </si>
  <si>
    <t>Texas Instruments 8-K Ex.99 dividend increase to $1.52 (2026-09-17)</t>
  </si>
  <si>
    <t>F4-S7</t>
  </si>
  <si>
    <t>Texas Instruments Q2 Earnings Call Highlights (Yahoo Finance, 2026-07-22 call)</t>
  </si>
  <si>
    <t>https://finance.yahoo.com/markets/stocks/articles/texas-instruments-q2-earnings-call-220548400.html</t>
  </si>
  <si>
    <t>F4-S8</t>
  </si>
  <si>
    <t>GuruFocus</t>
  </si>
  <si>
    <t>TXN: Morgan Stanley raises price target to $278 (GuruFocus)</t>
  </si>
  <si>
    <t>https://www.gurufocus.com/news/9137481/txn-maintained-by-morgan-stanley-price-target-raised-to-278</t>
  </si>
  <si>
    <t>F4-S9</t>
  </si>
  <si>
    <t>Benzinga</t>
  </si>
  <si>
    <t>These Analysts Revise Their Forecasts On Texas Instruments Following Q3 Results (Benzinga; figures read via search summary)</t>
  </si>
  <si>
    <t>https://www.benzinga.com/analyst-stock-ratings/price-target/26/10/62537249/these-analysts-revise-their-forecasts-on-texas-instruments-following-q3-results</t>
  </si>
  <si>
    <t>F4-S10</t>
  </si>
  <si>
    <t>24/7 Wall St.</t>
  </si>
  <si>
    <t>Texas Instruments Just Guided Above Wall Street as AI Demand Spills Into Analog (24/7 Wall St.)</t>
  </si>
  <si>
    <t>https://247wallst.com/investing/2026/10/22/texas-instruments-just-guided-above-wall-street-as-ai-demand-spills-into-analog/</t>
  </si>
  <si>
    <t>F4-S11</t>
  </si>
  <si>
    <t>FX Leaders</t>
  </si>
  <si>
    <t>TXN Stock Rises to $288 After Texas Instruments Beats Q3 Estimates (FX Leaders)</t>
  </si>
  <si>
    <t>https://www.fxleaders.com/news/2026/10/22/texas-instruments-stock-forecast/</t>
  </si>
  <si>
    <t>F4-S12</t>
  </si>
  <si>
    <t>MarketBeat</t>
  </si>
  <si>
    <t>Is Texas Instruments Setting Up for Its Next Big Breakout? (MarketBeat)</t>
  </si>
  <si>
    <t>https://www.marketbeat.com/articles/is-texas-instruments-setting-up-for-its-next-big-breakout/</t>
  </si>
  <si>
    <t>F4-S13</t>
  </si>
  <si>
    <t>MLex</t>
  </si>
  <si>
    <t>Texas Instruments $7.5B acquisition of Silicon Labs receives HSR clearance (MLex)</t>
  </si>
  <si>
    <t>https://www.mlex.com/mlex/mergers-acquisitions/articles/2481610/texas-instruments-7-5-billion-acquisition-of-silicon-labs-receives-hsr-clearance</t>
  </si>
  <si>
    <t>F4-S14</t>
  </si>
  <si>
    <t>Investing.com</t>
  </si>
  <si>
    <t>Silicon Laboratories shareholders approve merger with Texas Instruments (Investing.com)</t>
  </si>
  <si>
    <t>https://uk.investing.com/news/sec-filings/silicon-laboratories-shareholders-approve-merger-with-texas-instruments-93CH-4641929</t>
  </si>
  <si>
    <t>F4-S15</t>
  </si>
  <si>
    <t>新華網</t>
  </si>
  <si>
    <t>商務部公告2025年第27号 米国産アナログチップ反ダンピング調査立案（新華網 報道; 期限規定は検索要約経由）</t>
  </si>
  <si>
    <t>2025-09-13</t>
  </si>
  <si>
    <t>https://www.news.cn/fortune/20250913/37be7ecc9ee249b0b33e50ab431f0e9d/c.html</t>
  </si>
  <si>
    <t>F4-S16</t>
  </si>
  <si>
    <t>Texas Instruments 8-K Item 5.02 CFO succession (2026-06-02)</t>
  </si>
  <si>
    <t>F4-S17</t>
  </si>
  <si>
    <t>Texas Instruments 10-K FY2025 (diluted EPS 2023-2025)</t>
  </si>
  <si>
    <t>Consolidated Statements of Income</t>
  </si>
  <si>
    <t>https://www.sec.gov/Archives/edgar/data/97476/000009747626000080/ti2025ars.pdf</t>
  </si>
  <si>
    <t>F4-S18</t>
  </si>
  <si>
    <t>Texas Instruments: 3 Key Takeaways for Long-Term Investors (Motley Fool)</t>
  </si>
  <si>
    <t>https://www.fool.com/earnings/takeaways/2026/10/22/texas-instruments-3-key-takeaways-for-long-term-investors/</t>
  </si>
  <si>
    <t>F4-S19</t>
  </si>
  <si>
    <t>Texas Instruments price target raised to 400 (MarketBeat, 2026-07-23)</t>
  </si>
  <si>
    <t>https://www.marketbeat.com/instant-alerts/texas-instruments-nasdaqtxn-price-target-raised-to-40000-2026-07-23/</t>
  </si>
  <si>
    <t>F4-S20</t>
  </si>
  <si>
    <t>社内調査</t>
  </si>
  <si>
    <t>既知調査 TXN stock-deep-dive 2026-10-15（Q3決算前の情報; 社内ファイル analysis_20261015_stock-deep-dive.md）</t>
  </si>
  <si>
    <t>D:\開発用フォルダ\investment-org\context\stocks\TXN_Texas-Instruments\analysis_20261015_stock-deep-dive.md</t>
  </si>
  <si>
    <t>F4-S21</t>
  </si>
  <si>
    <t>RTTNews</t>
  </si>
  <si>
    <t>Texas Instruments Q4 25 earnings conference call at 4:30 pm ET (RTTNews; 前年Q4決算日の参照)</t>
  </si>
  <si>
    <t>https://www.rttnews.com/3613656/texas-instruments-q4-25-earnings-conference-call-at-4-30-pm-et.aspx</t>
  </si>
  <si>
    <t>F5-S1</t>
  </si>
  <si>
    <t>業界団体</t>
  </si>
  <si>
    <t>World Semiconductor Trade Statistics</t>
  </si>
  <si>
    <t>WSTS Spring 2026 Semiconductor Market Forecast（プレスリリース）</t>
  </si>
  <si>
    <t>p.2 表 WSTS Forecast Summary</t>
  </si>
  <si>
    <t>https://www.wsts.org/esraCMS/extension/media/f/WST/7618/WSTS_FC-Release-2026-May.pdf</t>
  </si>
  <si>
    <t>F5-S2</t>
  </si>
  <si>
    <t>WSTS日本協議会</t>
  </si>
  <si>
    <t>WSTS 2026年春季半導体市場予測について（公表文・添付資料1-2）</t>
  </si>
  <si>
    <t>p.2-4（2020-2027 製品別系列）</t>
  </si>
  <si>
    <t>https://www.jeita.or.jp/japanese/stat/wsts/docs/20260602WSTS.pdf</t>
  </si>
  <si>
    <t>F5-S3</t>
  </si>
  <si>
    <t>Semiconductor Industry Association（転載: AnySilicon）</t>
  </si>
  <si>
    <t>SIA: Global semiconductor sales August 2026（AnySilicon 転載）</t>
  </si>
  <si>
    <t>https://anysilicon.com/news/year-to-date-global-semiconductor-sales-top-1-trillion-through-august/</t>
  </si>
  <si>
    <t>マクロ統計</t>
  </si>
  <si>
    <t>Institute for Supply Management</t>
  </si>
  <si>
    <t>ISM Manufacturing PMI Report, September 2026</t>
  </si>
  <si>
    <t>p.1-3（Manufacturing at a Glance・Commodities）</t>
  </si>
  <si>
    <t>https://www.ismworld.org/globalassets/pub/research-and-surveys/rob/pmi/baby202609pmi.pdf</t>
  </si>
  <si>
    <t>官公庁統計</t>
  </si>
  <si>
    <t>Federal Reserve Board / FRED</t>
  </si>
  <si>
    <t>Industrial Production and Capacity Utilization G.17（IPMAN・IPG3344S・CAPUTLG3344S・IPB51120S、FRED経由）</t>
  </si>
  <si>
    <t>2026年9月値</t>
  </si>
  <si>
    <t>https://fred.stlouisfed.org/series/IPG3344S</t>
  </si>
  <si>
    <t>F5-S6</t>
  </si>
  <si>
    <t>U.S. Bureau of Labor Statistics / FRED</t>
  </si>
  <si>
    <t>PPI: Semiconductor and other electronic component mfg（PCU33443344、FRED経由）</t>
  </si>
  <si>
    <t>https://fred.stlouisfed.org/series/PCU33443344</t>
  </si>
  <si>
    <t>F5-S7</t>
  </si>
  <si>
    <t>National Bureau of Statistics of China</t>
  </si>
  <si>
    <t>Purchasing Managers' Index for September 2026</t>
  </si>
  <si>
    <t>https://www.stats.gov.cn/english/PressRelease/202610/t20261008_1965466.html</t>
  </si>
  <si>
    <t>F5-S8</t>
  </si>
  <si>
    <t>SteelOrbis / MarkLines（原典: 中国汽車工業協会）</t>
  </si>
  <si>
    <t>CAAM 2026年9月 自動車生産（報道）</t>
  </si>
  <si>
    <t>https://www.steelorbis.com/steel-news/latest-news/caam-chinas-auto-vehicle-sales-down-45-percent-in-january-september-2026-1484072.htm</t>
  </si>
  <si>
    <t>F5-S9</t>
  </si>
  <si>
    <t>Texas Instruments</t>
  </si>
  <si>
    <t>TI reports third quarter 2026 financial results（8-K Exhibit 99）</t>
  </si>
  <si>
    <t>p.1-6（Segment results）</t>
  </si>
  <si>
    <t>F5-S10</t>
  </si>
  <si>
    <t>Texas Instruments Form 10-K FY2025</t>
  </si>
  <si>
    <t>Item 1 Markets for our products・Analog/Embedded</t>
  </si>
  <si>
    <t>https://www.sec.gov/cgi-bin/browse-edgar?action=getcompany&amp;CIK=0000097476&amp;type=10-K</t>
  </si>
  <si>
    <t>F5-S11</t>
  </si>
  <si>
    <t>Texas Instruments Form 10-Q Q2 2026</t>
  </si>
  <si>
    <t>Segment information</t>
  </si>
  <si>
    <t>F5-S12</t>
  </si>
  <si>
    <t>The Motley Fool（書き起こし）</t>
  </si>
  <si>
    <t>Texas Instruments Q3 2026 Earnings Call Transcript</t>
  </si>
  <si>
    <t>F5-S13</t>
  </si>
  <si>
    <t>U.S. SEC EDGAR</t>
  </si>
  <si>
    <t>SEC XBRL companyfacts（TXN・ADI・MPWR・SWKS・QRVO・MCHP・ON・NXPI の売上高）</t>
  </si>
  <si>
    <t>各社 10-K/10-Q 提出値</t>
  </si>
  <si>
    <t>https://data.sec.gov/api/xbrl/companyfacts/</t>
  </si>
  <si>
    <t>NXP Semiconductors</t>
  </si>
  <si>
    <t>NXP Semiconductors Reports Second Quarter 2026 Results</t>
  </si>
  <si>
    <t>Distribution channel inventory 表</t>
  </si>
  <si>
    <t>https://mfn.se/all/a/nxp-semiconductors/nxp-semiconductors-reports-second-quarter-2026-results-5d29ebc9</t>
  </si>
  <si>
    <t>STMicroelectronics</t>
  </si>
  <si>
    <t>STMicroelectronics Reports Q2 2026 Financial Results（Form 6-K）</t>
  </si>
  <si>
    <t>Inventory in distribution is now below our standard target</t>
  </si>
  <si>
    <t>F5-S16</t>
  </si>
  <si>
    <t>AlphaSense 等の要約（二次）</t>
  </si>
  <si>
    <t>STMicroelectronics Q2 2026 決算説明会要旨（book-to-bill・翌年分受注比率）</t>
  </si>
  <si>
    <t>https://www.alpha-sense.com/earnings/stm/</t>
  </si>
  <si>
    <t>F5-S17</t>
  </si>
  <si>
    <t>Kavout 等の解説（二次）</t>
  </si>
  <si>
    <t>Microchip FQ1'27 決算コール要旨（流通在庫日数）</t>
  </si>
  <si>
    <t>https://www.kavout.com/market-lens/microchip-technology-s-premium-prices-recovery-not-long-term-acceleration</t>
  </si>
  <si>
    <t>F5-S18</t>
  </si>
  <si>
    <t>IC Insights（転載: Design &amp; Reuse）</t>
  </si>
  <si>
    <t>IC Insights 2021 Top-10 Analog IC Suppliers（Design-Reuse 転載）</t>
  </si>
  <si>
    <t>https://us.design-reuse.com/news/52101/2021-top-10-analog-suppliers.html</t>
  </si>
  <si>
    <t>F5-S19</t>
  </si>
  <si>
    <t>Omdia（報道: heise online）</t>
  </si>
  <si>
    <t>Omdia MCU 2025 市場（heise/c't 記事）</t>
  </si>
  <si>
    <t>https://www.heise.de/en/news/Europe-s-microcontroller-market-leaders-Infineon-NXP-and-STMicroelectronics-11247952.html</t>
  </si>
  <si>
    <t>F5-S20</t>
  </si>
  <si>
    <t>Mordor Intelligence（販売ページ要旨）</t>
  </si>
  <si>
    <t>Mordor Intelligence Microcontroller (MCU) Market 要旨</t>
  </si>
  <si>
    <t>2026</t>
  </si>
  <si>
    <t>https://www.giiresearch.com/report/moi1911374-microcontroller-mcu-market-share-analysis-industry.html</t>
  </si>
  <si>
    <t>F5-S21</t>
  </si>
  <si>
    <t>TechInsights</t>
  </si>
  <si>
    <t>TechInsights McClean Report Feb 2025: Microcontroller Market Update（要旨）</t>
  </si>
  <si>
    <t>https://techinsights.com/ko/node/59326</t>
  </si>
  <si>
    <t>F5-S22</t>
  </si>
  <si>
    <t>IC Insights MCU market history and forecast（Design-Reuse 転載）</t>
  </si>
  <si>
    <t>2022</t>
  </si>
  <si>
    <t>https://us.design-reuse.com/news/51679/mcu-market-history-and-forecast.html</t>
  </si>
  <si>
    <t>F5-S23</t>
  </si>
  <si>
    <t>Longport（原典: BofA Securities）</t>
  </si>
  <si>
    <t>AI Sparks a Power Architecture Revolution: 800VDC（BofA 推計の紹介記事）</t>
  </si>
  <si>
    <t>https://longportapp.cn/en/news/287868042</t>
  </si>
  <si>
    <t>F5-S24</t>
  </si>
  <si>
    <t>The Standard (HK)（原典: Citi）</t>
  </si>
  <si>
    <t>AI data center power shift to 800VDC to reach 79% adoption by 2030: Citi</t>
  </si>
  <si>
    <t>https://www.thestandard.com.hk/innovation/article/337678/AI-data-center-power-shift-to-800VDC-to-reach-79pc-adoption-by-2030-Citi</t>
  </si>
  <si>
    <t>F5-S25</t>
  </si>
  <si>
    <t>TI technical article: 800V HVDC power distribution for AI data centers（NVIDIA 協業）</t>
  </si>
  <si>
    <t>https://www.ti.com/lit/ssztd83</t>
  </si>
  <si>
    <t>F5-S26</t>
  </si>
  <si>
    <t>Supply Chain Management Review / First Trust</t>
  </si>
  <si>
    <t>ISM Manufacturing June 2021（Prices 92.1・Customers' Inventories 30.8）報道</t>
  </si>
  <si>
    <t>2021-07-01</t>
  </si>
  <si>
    <t>https://www.scmr.com/article/june_manufacturing_data_marks_a_strong_first_half_of_2021_says_ism/News</t>
  </si>
  <si>
    <t>F5-S27</t>
  </si>
  <si>
    <t>First Trust Portfolios</t>
  </si>
  <si>
    <t>Industrial production increased 0.7% in September（自動車生産 -3.0% m/m）</t>
  </si>
  <si>
    <t>https://www.ftportfolios.com/Commentary/EconomicResearch/2026/10/16/industrial-production-increased-0.7percent-in-september</t>
  </si>
  <si>
    <t>TI reports third quarter 2026 financial results (8-K Ex.99)</t>
  </si>
  <si>
    <t>pp.1-7</t>
  </si>
  <si>
    <t>https://www.sec.gov/Archives/edgar/data/97476/000009747626000165/q32026txnex99.htm</t>
  </si>
  <si>
    <t>Item 1A, Item 7 (liquidity, CHIPS), Note segment/geographic</t>
  </si>
  <si>
    <t>Financial statements, Note 9, MD&amp;A liquidity</t>
  </si>
  <si>
    <t>F6-S4</t>
  </si>
  <si>
    <t>The Motley Fool (transcript)</t>
  </si>
  <si>
    <t>Texas Instruments Q3 2026 earnings call transcript (Motley Fool 掲載の書き起こし)</t>
  </si>
  <si>
    <t>SEC data.sec.gov</t>
  </si>
  <si>
    <t>SEC XBRL company facts API: Texas Instruments (CIK 0000097476)</t>
  </si>
  <si>
    <t>中華人民共和国商務部（中国貿易救済信息網掲載）</t>
  </si>
  <si>
    <t>商务部公告2025年第27号 公布对原产于美国的进口相关模拟芯片发起反倾销立案调查</t>
  </si>
  <si>
    <t>https://cacs.mofcom.gov.cn/cacscms/article/jkdc?articleId=185619&amp;type=1</t>
  </si>
  <si>
    <t>商務部貿易救済調査局 cacs.mofcom.gov.cn</t>
  </si>
  <si>
    <t>中国貿易救済信息網 進口調査(jkdc) 公告一覧（2025-09-05〜2026-10-03 の60件を走査）</t>
  </si>
  <si>
    <t>https://cacs.mofcom.gov.cn/cacscms/view/notice/jkdc</t>
  </si>
  <si>
    <t>F6-S8</t>
  </si>
  <si>
    <t>中華人民共和国商務部</t>
  </si>
  <si>
    <t>2026年商务部公告 一覧（第1〜52号）</t>
  </si>
  <si>
    <t>https://www.mofcom.gov.cn/zcfb/blgg/gg/2026/index.html</t>
  </si>
  <si>
    <t>F6-S9</t>
  </si>
  <si>
    <t>商務部貿易救済調査局</t>
  </si>
  <si>
    <t>关于发放相关模拟芯片反倾销案调查问卷的通知（商救济进二函〔2025〕26号）</t>
  </si>
  <si>
    <t>https://cacs.mofcom.gov.cn/cacscms/article/jkdc?articleId=185989&amp;type=F</t>
  </si>
  <si>
    <t>MOFCOM</t>
  </si>
  <si>
    <t>MOFCOM Spokesperson's Remarks on China's Initiation of an Anti-Dumping Investigation into Certain Analog IC Chip Imported from the United States</t>
  </si>
  <si>
    <t>https://english.mofcom.gov.cn/News/SpokesmansRemarks/art/2025/art_fbe5b1354a344214921101ae311ddffb.html</t>
  </si>
  <si>
    <t>F6-S11</t>
  </si>
  <si>
    <t>商务部公告2026年第38号 公布延长对原产于墨西哥和美国的进口碧根果反倾销调查期限决定</t>
  </si>
  <si>
    <t>https://www.mofcom.gov.cn/zcfb/blgg/gg/2026/art/2026/art_80d0b307ea6b4eaab59d7d3f6f5f7740.html</t>
  </si>
  <si>
    <t>F6-S12</t>
  </si>
  <si>
    <t>商务部公告2026年第32号 公布对原产于墨西哥和美国的进口碧根果反倾销调查的初步裁定</t>
  </si>
  <si>
    <t>https://www.mofcom.gov.cn/zcfb/blgg/gg/2026/art/2026/art_620bc789407b48e994bb95e90d95186b.html</t>
  </si>
  <si>
    <t>商务部美大司负责人解读第八轮中美经贸磋商成果</t>
  </si>
  <si>
    <t>https://www.mofcom.gov.cn/zcjd/dwmy/art/2026/art_c68e66e26aae44278b2a7f1845857270.html</t>
  </si>
  <si>
    <t>F6-S14</t>
  </si>
  <si>
    <t>The White House</t>
  </si>
  <si>
    <t>Fact Sheet: President Donald J. Trump Strikes Deal on Economic and Trade Relations with China</t>
  </si>
  <si>
    <t>2025-11-01</t>
  </si>
  <si>
    <t>https://www.whitehouse.gov/fact-sheets/2025/11/fact-sheet-president-donald-j-trump-strikes-deal-on-economic-and-trade-relations-with-china/</t>
  </si>
  <si>
    <t>F6-S15</t>
  </si>
  <si>
    <t>ION Analytics (Mergermarket)</t>
  </si>
  <si>
    <t>SAMR formally accepts SLAB/TI for review</t>
  </si>
  <si>
    <t>https://ionanalytics.com/insights/mergermarket/parr/samr-formally-accepts-slab-ti-for-review/</t>
  </si>
  <si>
    <t>F6-S16</t>
  </si>
  <si>
    <t>The Capitol Forum</t>
  </si>
  <si>
    <t>Texas Instruments/Silicon Labs: Deal Said To Be Slated for Phase 2 Review by China's Antitrust Enforcer（見出しと導入部のみ閲覧）</t>
  </si>
  <si>
    <t>https://thecapitolforum.com/texas-instruments-silicon-labs-deal-said-to-be-slated-for-phase-2-review-by-chinas-antitrust-enforcer/</t>
  </si>
  <si>
    <t>F6-S17</t>
  </si>
  <si>
    <t>Silicon Laboratories / SEC</t>
  </si>
  <si>
    <t>Silicon Laboratories Definitive Proxy Statement (DEFM14A) 合併契約・終了日・違約金</t>
  </si>
  <si>
    <t>Summary; The Merger Agreement - Termination Fees</t>
  </si>
  <si>
    <t>https://www.sec.gov/Archives/edgar/data/1038074/000119312526128959/d34834ddefm14a.htm</t>
  </si>
  <si>
    <t>F6-S18</t>
  </si>
  <si>
    <t>Silicon Laboratories Form 8-K (HSR 待機期間満了)</t>
  </si>
  <si>
    <t>https://www.sec.gov/Archives/edgar/data/1038074/000119312526237879/d467226d8k.htm</t>
  </si>
  <si>
    <t>F6-S19</t>
  </si>
  <si>
    <t>Silicon Laboratories Form 10-Q for the quarter ended 2026-07-04</t>
  </si>
  <si>
    <t>https://www.sec.gov/Archives/edgar/data/1038074/000103807426000029/slab-20260704.htm</t>
  </si>
  <si>
    <t>F6-S20</t>
  </si>
  <si>
    <t>Texas Instruments Form 8-K Item 5.02 (CFO 交代 2026-08-01)</t>
  </si>
  <si>
    <t>F6-S21</t>
  </si>
  <si>
    <t>TrendForce</t>
  </si>
  <si>
    <t>China Opens Analog Chip Dumping Probe Against TI, Broadcom and Others Over 300% Margin</t>
  </si>
  <si>
    <t>https://www.trendforce.com/news/2025/09/15/news-china-opens-analog-chip-dumping-probe-against-ti-broadcom-and-others-over-300-margin/</t>
  </si>
  <si>
    <t>F6-S22</t>
  </si>
  <si>
    <t>Yahoo Finance chart API: TXN, SLAB 日足終値</t>
  </si>
  <si>
    <t>F6-S23</t>
  </si>
  <si>
    <t>American Bar Association, Antitrust Magazine</t>
  </si>
  <si>
    <t>China Merger Control: Dispelling the Myths &amp; Misconceptions（検索結果の要約のみ。本文は 403 で未閲覧）</t>
  </si>
  <si>
    <t>https://www.americanbar.org/content/dam/aba/publications/antitrust/magazine/2025/vol-39-issue-3/china-merger-control.pdf</t>
  </si>
  <si>
    <t>F6-S24</t>
  </si>
  <si>
    <t>Silicon Laboratories Form 8-K Item 5.07 (特別株主総会 2026-04-30)</t>
  </si>
  <si>
    <t>https://www.sec.gov/Archives/edgar/data/1038074/000103807426000014/slab-20260430.htm</t>
  </si>
  <si>
    <t>F6-S25</t>
  </si>
  <si>
    <t>SEC XBRL company facts API: Silicon Laboratories (CIK 0001038074)</t>
  </si>
  <si>
    <t>https://data.sec.gov/api/xbrl/companyfacts/CIK0001038074.json</t>
  </si>
  <si>
    <t>F6-S26</t>
  </si>
  <si>
    <t>Texas Instruments to acquire Silicon Labs (8-K Ex.99.1 ニュースリリース)</t>
  </si>
  <si>
    <t>F6-S27</t>
  </si>
  <si>
    <t>腾讯新闻（市場監管総局の発表を報道）</t>
  </si>
  <si>
    <t>2026年上半年市场监管总局完成经营者集中反垄断审查298件（二次報道）</t>
  </si>
  <si>
    <t>https://view.inews.qq.com/a/20260716A07IIG00</t>
  </si>
  <si>
    <t>統合報告書</t>
  </si>
  <si>
    <t>TI 2025 Corporate Citizenship Report (Rev. B) p.3 TI at a glance</t>
  </si>
  <si>
    <t>3</t>
  </si>
  <si>
    <t>https://www.ti.com/lit/ml/szzo174/szzo174.pdf</t>
  </si>
  <si>
    <t>Texas Instruments（SEC EDGAR 8-K 添付）</t>
  </si>
  <si>
    <t>TI 8-K Exhibit 99.2 Silicon Labs取引説明資料（2026-02-04）</t>
  </si>
  <si>
    <t>3, 5</t>
  </si>
  <si>
    <t>https://www.sec.gov/Archives/edgar/data/97476/000119312526036727/d100130dex992.htm</t>
  </si>
  <si>
    <t>TI Form 10-K FY2025 Item 1 Business（製品・セグメント説明）</t>
  </si>
  <si>
    <t>Item 1 pp.2-4</t>
  </si>
  <si>
    <t>F7-S4</t>
  </si>
  <si>
    <t>Omdia（二次転載・未確認）</t>
  </si>
  <si>
    <t>Omdia Power &amp; Analog 2023年売上シェア（ROHM統合報告書2024経由、dopodomani.biz の転載）</t>
  </si>
  <si>
    <t>2024</t>
  </si>
  <si>
    <t>https://dopodomani.biz/en/top-analog-semiconductor-companies/</t>
  </si>
  <si>
    <t>F7-S5</t>
  </si>
  <si>
    <t>TechInsights / eeNews Europe（二次報道・未確認）</t>
  </si>
  <si>
    <t>Top ten automotive microcontroller suppliers in 2024（TechInsights調査の報道）</t>
  </si>
  <si>
    <t>https://www.eenewseurope.com/en/top-ten-automotive-microcontroller-suppliers-in-2024</t>
  </si>
  <si>
    <t>BLS（FRED経由）</t>
  </si>
  <si>
    <t>FRED PCU334413334413: Producer Price Index by Industry: Semiconductor and Related Device Manufacturing</t>
  </si>
  <si>
    <t>PCU334413334413</t>
  </si>
  <si>
    <t>https://fred.stlouisfed.org/series/PCU334413334413</t>
  </si>
  <si>
    <t>Federal Reserve Board（FRED経由）</t>
  </si>
  <si>
    <t>FRED IPG3344S: Industrial Production: Durable Goods: Semiconductor and Other Electronic Component</t>
  </si>
  <si>
    <t>IPG3344S</t>
  </si>
  <si>
    <t>BEA（FRED経由）</t>
  </si>
  <si>
    <t>FRED ALTSALES: Light Weight Vehicle Sales: Autos and Light Trucks</t>
  </si>
  <si>
    <t>ALTSALES</t>
  </si>
  <si>
    <t>https://fred.stlouisfed.org/series/ALTSALES</t>
  </si>
  <si>
    <t>FRED IPMAN: Industrial Production: Manufacturing (NAICS)</t>
  </si>
  <si>
    <t>IPMAN</t>
  </si>
  <si>
    <t>https://fred.stlouisfed.org/series/IPMAN</t>
  </si>
  <si>
    <t>Census Bureau（FRED経由）</t>
  </si>
  <si>
    <t>FRED A34SNO: Manufacturers' New Orders: Computers and Electronic Products</t>
  </si>
  <si>
    <t>A34SNO</t>
  </si>
  <si>
    <t>https://fred.stlouisfed.org/series/A34SNO</t>
  </si>
  <si>
    <t>FRB St. Louis（原典 FRB H.15）</t>
  </si>
  <si>
    <t>FRED DGS10 米国10年国債利回り（2026-10-21 5.13%）</t>
  </si>
  <si>
    <t>2026-10-21 観測値</t>
  </si>
  <si>
    <t>https://fred.stlouisfed.org/series/DGS10</t>
  </si>
  <si>
    <t>S2-S2</t>
  </si>
  <si>
    <t>Aswath Damodaran（NYU Stern）</t>
  </si>
  <si>
    <t>Damodaran Implied ERP by month（2026-10-01、持続的配当性向ベース T12m 4.20%）</t>
  </si>
  <si>
    <t>ERPbymonth.xlsx 2026-10 行</t>
  </si>
  <si>
    <t>https://pages.stern.nyu.edu/~adamodar/</t>
  </si>
  <si>
    <t>S2-S3</t>
  </si>
  <si>
    <t>司令塔計算（Yahoo Finance 調整後終値）</t>
  </si>
  <si>
    <t>TXN β 自計測（対 S&amp;P500、5年月次 1.354・Blume調整 1.24／2年週次 1.231・同 1.15）とベンダー値 1.339</t>
  </si>
  <si>
    <t>D0 報告</t>
  </si>
  <si>
    <t>D:/開発用フォルダ/data/shared/txn_market/</t>
  </si>
  <si>
    <t>S2-S4</t>
  </si>
  <si>
    <t>0055 erw.marketdata</t>
  </si>
  <si>
    <t>erw market.json（TXN・ピア6社。株価 yfinance、PER・PBR・EV/EBITDA は SEC companyfacts の四半期値から提出日基準で算出）</t>
  </si>
  <si>
    <t>snapshot・valuation_monthly・peers</t>
  </si>
  <si>
    <t>D:/開発用フォルダ/data/projects/0055_equity-research-workbook/TXN_20261023/market.json</t>
  </si>
  <si>
    <t>検証（検査結果）</t>
  </si>
  <si>
    <t>C：再計算エンジン検査（build/check 時の値）／A：ライブ数式検査（Excel で常時再評価）／B：静的検査（build 時）</t>
  </si>
  <si>
    <t>総合判定</t>
  </si>
  <si>
    <t>C. 再計算エンジン検査（build / erw check 実行時の値。数式ではない）</t>
  </si>
  <si>
    <t>再計算エンジン</t>
  </si>
  <si>
    <t>数式エラー件数（全シート #REF!/#DIV/0!/#VALUE!/#NAME? 等）</t>
  </si>
  <si>
    <t>数式エラー例（先頭10件）</t>
  </si>
  <si>
    <t>⑤DCF理論株価 シナリオ1/2/3（ドル）</t>
  </si>
  <si>
    <t>シナリオ切替で値が変わる</t>
  </si>
  <si>
    <t>目標株価＝DCF理論株価（シナリオ1）</t>
  </si>
  <si>
    <t>感応度①中央＝理論株価</t>
  </si>
  <si>
    <t>感応度②中央＝理論株価</t>
  </si>
  <si>
    <t>0054 整合検査の差額 |x|&gt;5 件数（FAIL 引継ぎ）</t>
  </si>
  <si>
    <t>実行日時</t>
  </si>
  <si>
    <t>A. ライブ数式検査（数式。シナリオ切替・仮定変更に追随）</t>
  </si>
  <si>
    <t>基準</t>
  </si>
  <si>
    <t>判定</t>
  </si>
  <si>
    <t>説明</t>
  </si>
  <si>
    <t>感応度①中央 − 理論株価（ドル）</t>
  </si>
  <si>
    <t>|差|&lt;0.01</t>
  </si>
  <si>
    <t>感応度①の全セルは FCF 行を参照する閉形式 DCF 式</t>
  </si>
  <si>
    <t>感応度②中央 − 理論株価（ドル）</t>
  </si>
  <si>
    <t>目標株価 − DCF理論株価（ドル、base 選択時）</t>
  </si>
  <si>
    <t>目標株価は 計算_シナリオ の base、計算シートの理論株価は 3_Forecast 由来</t>
  </si>
  <si>
    <t>並列計算と 3_Forecast の FCF 最大乖離（百万ドル）</t>
  </si>
  <si>
    <t>&lt;1</t>
  </si>
  <si>
    <t>0054 のロジックを複製した並列ブロックが選択中シナリオで 0054 と一致するか</t>
  </si>
  <si>
    <t>WACC − g</t>
  </si>
  <si>
    <t>&gt;0</t>
  </si>
  <si>
    <t>シナリオ確率の合計</t>
  </si>
  <si>
    <t>≦85%（超過は警告）</t>
  </si>
  <si>
    <t>TV 依存が高いと結論は g・WACC に過敏</t>
  </si>
  <si>
    <t>負の理論株価のシナリオ件数（base/bull/bear）</t>
  </si>
  <si>
    <t>0（&gt;0 は警告）</t>
  </si>
  <si>
    <t>確率加重期待値では負のシナリオを 0 ドルに下限処理（株主の有限責任）。シナリオ表は下限前の値</t>
  </si>
  <si>
    <t>目標株価（base DCF、下限処理なし）</t>
  </si>
  <si>
    <t>≧0</t>
  </si>
  <si>
    <t>目標株価には下限をかけない。負なら株式価値がマイナス（負債・非支配持分の控除が EV を上回る）</t>
  </si>
  <si>
    <t>インプライド倍率 vs 類似企業レンジ</t>
  </si>
  <si>
    <t>レンジ内</t>
  </si>
  <si>
    <t>レンジ外なら投資判断の要旨で理由を説明すること</t>
  </si>
  <si>
    <t>インプライド倍率 vs 自社過去レンジ</t>
  </si>
  <si>
    <t>0054 Checks の差額 |x|&gt;5 の件数</t>
  </si>
  <si>
    <t>0</t>
  </si>
  <si>
    <t>データ_整合検査（0054 の貸借・CF・セグメント合計検査）の引継ぎ</t>
  </si>
  <si>
    <t>B. 静的検査（build 時に Python で判定）</t>
  </si>
  <si>
    <t>件数</t>
  </si>
  <si>
    <t>出典ID 参照切れ</t>
  </si>
  <si>
    <t>PASS</t>
  </si>
  <si>
    <t>出典の無い記述</t>
  </si>
  <si>
    <t>spec の警告（未知キー等）</t>
  </si>
  <si>
    <t>market.json の警告</t>
  </si>
  <si>
    <t>組立時の警告</t>
  </si>
  <si>
    <t>数式中のシート参照切れ（静的走査）</t>
  </si>
  <si>
    <t>0054 品質ステータス（quality_report）</t>
  </si>
  <si>
    <t>unknown</t>
  </si>
  <si>
    <t>警告</t>
  </si>
  <si>
    <t>missing_statement_cells=None / TXN_fm_20261023_v4.xlsx</t>
  </si>
  <si>
    <t>「※二次」の表示（出典が全て二次の記述。出所列に表示）</t>
  </si>
  <si>
    <t>sheet1.peers.positioning[1]; sheet1.peers.positioning[5]; sheet1.peers.positioning[6]; sheet1.price_valuation.commentary[0]; sheet1.price_valuation.commentary[1]; sheet1.swot.O[0]; sheet2.judgment.falsifiers[0]; sheet2.judgment.falsifiers[2]; sheet2.thesis_points[1].evidence[0]; sheet2.thesis_points[1].evidence[2]; sheet2.thesis_points[1].evidence[3]; sheet2.thesis_points[3].evidence[1]</t>
  </si>
  <si>
    <t>評価モデル</t>
  </si>
  <si>
    <t>FCF-DCF（連結）</t>
  </si>
  <si>
    <t>非支配持分の控除</t>
  </si>
  <si>
    <t>入力あり</t>
  </si>
  <si>
    <t>0054 BS に非支配持分の残高行が無いため spec dcf.minority_interest で入力する。未入力なら株式価値は過大</t>
  </si>
  <si>
    <t>持分法投資等の加算</t>
  </si>
  <si>
    <t>0054 BS に持分法投資の行が無い。spec dcf.equity_investments で入力</t>
  </si>
  <si>
    <t>控除済（米国 outstanding）</t>
  </si>
  <si>
    <t>米国開示の発行済株式数（outstanding）は自己株控除後の流通株式のため、自己株は null で控除不要。希薄化（RSU・ストックオプション）は反映しない</t>
  </si>
  <si>
    <t>純有利子負債の出所</t>
  </si>
  <si>
    <t>0054 BS に有利子負債の行が無いため外部値を使用</t>
  </si>
  <si>
    <t>会社資料の画像（貼付 5 / spec 5 件。file の存在・読込）</t>
  </si>
  <si>
    <t>全件貼付（縮小コピーは 作業フォルダの build_images）</t>
  </si>
  <si>
    <t>σ 対応できない bull_uplift</t>
  </si>
  <si>
    <t>上書きした仮定（10 件。0054 入力セルを CHOOSE 式へ置換）</t>
  </si>
  <si>
    <t>spec 変数 → 0054 ラベル</t>
  </si>
  <si>
    <t>0054初期 1期</t>
  </si>
  <si>
    <t>置換セル</t>
  </si>
  <si>
    <t>3_Assumptions!D6:F6</t>
  </si>
  <si>
    <t>3_Assumptions!D29:F29</t>
  </si>
  <si>
    <t>3_Assumptions!D30:F30</t>
  </si>
  <si>
    <t>3_Assumptions!D31:F31</t>
  </si>
  <si>
    <t>3_Assumptions!D7:F7</t>
  </si>
  <si>
    <t>3_Assumptions!D8:F8</t>
  </si>
  <si>
    <t>3_Assumptions!D9:F9</t>
  </si>
  <si>
    <t>3_Assumptions!D12:F12</t>
  </si>
  <si>
    <t>3_Assumptions!D15:F15</t>
  </si>
  <si>
    <t>3_Assumptions!D17:F17</t>
  </si>
  <si>
    <t>上書きしていない 0054 入力（0054 初期値のまま。20 件）</t>
  </si>
  <si>
    <t>その他営業費用率（収益は負）（0, 0, 0）</t>
  </si>
  <si>
    <t>基礎の純営業外損益（-313, -313, -313）</t>
  </si>
  <si>
    <t>非支配持分への利益配分率（0, 0, 0）</t>
  </si>
  <si>
    <t>売上債権回収日数（40.52, 40.52, 40.52）</t>
  </si>
  <si>
    <t>仕入債務支払日数（36.31, 36.31, 36.31）</t>
  </si>
  <si>
    <t>期首償却対象資産の償却率（0.1592, 0.1592, 0.1592）</t>
  </si>
  <si>
    <t>現金投資の有形資産配賦比率（0.981, 0.981, 0.981）</t>
  </si>
  <si>
    <t>親会社株主への配当支払（4999, 4999, 4999）</t>
  </si>
  <si>
    <t>非支配株主への配当支払（0, 0, 0）</t>
  </si>
  <si>
    <t>計画した追加借入（0, 0, 0）</t>
  </si>
  <si>
    <t>新株発行による現金調達（0, 0, 0）</t>
  </si>
  <si>
    <t>追加借入の年利（仮置き）（0.05, 0.05, 0.05）</t>
  </si>
  <si>
    <t>最低現金残高（0, 0, 0）</t>
  </si>
  <si>
    <t>現金不足時の自動借入（1/0）（1, 1, 1）</t>
  </si>
  <si>
    <t>地域配分ウェイト：United States（0.3825, 0.3825, 0.3825）</t>
  </si>
  <si>
    <t>地域配分ウェイト：China（0.2138, 0.2138, 0.2138）</t>
  </si>
  <si>
    <t>地域配分ウェイト：Rest of Asia（0.1067, 0.1067, 0.1067）</t>
  </si>
  <si>
    <t>地域配分ウェイト：Europe, Middle East and Africa（0.2119, 0.2119, 0.2119）</t>
  </si>
  <si>
    <t>地域配分ウェイト：Japan（0.06634, 0.06634, 0.06634）</t>
  </si>
  <si>
    <t>地域配分ウェイト：Rest of world（0.01872, 0.01872, 0.01872）</t>
  </si>
  <si>
    <t>D. 計算上の取り扱い（読む頁・計算シートの注記の詳細）</t>
  </si>
  <si>
    <t>非支配持分の使い分け</t>
  </si>
  <si>
    <t>非支配持分の使い分け: DCF は DCF と整合する評価の非支配持分、SOTP は上場子会社の市場評価と整合する時価の非支配持分。連結 DCF の EV は上場子会社を DCF 評価で含むため、時価で控除すると評価基準が混在し株式価値が過小になる。</t>
  </si>
  <si>
    <t>感応度表の近似</t>
  </si>
  <si>
    <t>感応度②は営業利益率を全期間で一律加減、売上を(1+Δg)^t 倍（償却・投資・運転資本も同率で拡大）とする近似。感応度①の g はターミナル成長率のみを動かす（延長期間の収束経路は基準 g のまま）。</t>
  </si>
  <si>
    <t>excel</t>
    <phoneticPr fontId="12"/>
  </si>
  <si>
    <t>変化あり</t>
  </si>
  <si>
    <t>base固定</t>
  </si>
  <si>
    <t>⑤は切替で変化し、④目標株価(base 並列計算)は不変であること。上書き仮定が0件なら変化しない</t>
  </si>
  <si>
    <t>値2=数値セル数</t>
  </si>
  <si>
    <t>engine=excel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</si>
</sst>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81" formatCode="#,##0.00;\▲#,##0.00"/>
    <numFmt numFmtId="182" formatCode="#,##0;\▲#,##0"/>
    <numFmt numFmtId="183" formatCode="0.00%;\▲0.00%"/>
    <numFmt numFmtId="184" formatCode="#,##0.0;\▲#,##0.0"/>
    <numFmt numFmtId="185" formatCode="0.0%;\▲0.0%"/>
    <numFmt numFmtId="186" formatCode="0.0&quot;倍&quot;;\▲0.0&quot;倍&quot;"/>
    <numFmt numFmtId="187" formatCode="#,##0.0"/>
    <numFmt numFmtId="188" formatCode="0.0000"/>
    <numFmt numFmtId="190" formatCode="0.00&quot;%&quot;"/>
    <numFmt numFmtId="191" formatCode="0.0&quot;σ&quot;;\▲0.0&quot;σ&quot;"/>
    <numFmt numFmtId="192" formatCode="&quot;$&quot;#,##0.00;\▲&quot;$&quot;#,##0.00"/>
  </numFmts>
  <fonts count="13">
    <font>
      <sz val="11"/>
      <name val="Carlito"/>
    </font>
    <font>
      <b/>
      <sz val="10"/>
      <color rgb="FF1F3864"/>
      <name val="游ゴシック"/>
      <family val="3"/>
      <charset val="128"/>
    </font>
    <font>
      <b/>
      <sz val="10"/>
      <color rgb="FF000000"/>
      <name val="游ゴシック"/>
      <family val="3"/>
      <charset val="128"/>
    </font>
    <font>
      <sz val="10"/>
      <color rgb="FF0000FF"/>
      <name val="游ゴシック"/>
      <family val="3"/>
      <charset val="128"/>
    </font>
    <font>
      <sz val="10"/>
      <color rgb="FF000000"/>
      <name val="游ゴシック"/>
      <family val="3"/>
      <charset val="128"/>
    </font>
    <font>
      <sz val="10"/>
      <color rgb="FF008000"/>
      <name val="游ゴシック"/>
      <family val="3"/>
      <charset val="128"/>
    </font>
    <font>
      <b/>
      <sz val="14"/>
      <color rgb="FF1F3864"/>
      <name val="游ゴシック"/>
      <family val="3"/>
      <charset val="128"/>
    </font>
    <font>
      <b/>
      <sz val="11"/>
      <color rgb="FF1F3864"/>
      <name val="游ゴシック"/>
      <family val="3"/>
      <charset val="128"/>
    </font>
    <font>
      <b/>
      <sz val="10"/>
      <color rgb="FF008000"/>
      <name val="游ゴシック"/>
      <family val="3"/>
      <charset val="128"/>
    </font>
    <font>
      <u/>
      <sz val="10"/>
      <color rgb="FF1F3864"/>
      <name val="游ゴシック"/>
      <family val="3"/>
      <charset val="128"/>
    </font>
    <font>
      <b/>
      <sz val="14"/>
      <color rgb="FF000000"/>
      <name val="游ゴシック"/>
      <family val="3"/>
      <charset val="128"/>
    </font>
    <font>
      <sz val="11"/>
      <name val="Carlito"/>
    </font>
    <font>
      <sz val="6"/>
      <name val="ＭＳ Ｐゴシック"/>
      <family val="3"/>
      <charset val="128"/>
    </font>
  </fonts>
  <fills count="3">
    <fill>
      <patternFill patternType="none"/>
    </fill>
    <fill>
      <patternFill patternType="gray125"/>
    </fill>
    <fill>
      <patternFill patternType="solid">
        <fgColor rgb="FFF2F2F2"/>
      </patternFill>
    </fill>
  </fills>
  <borders count="7">
    <border>
      <left/>
      <right/>
      <top/>
      <bottom/>
      <diagonal/>
    </border>
    <border>
      <left/>
      <right/>
      <top/>
      <bottom style="thin">
        <color rgb="FF9FB3C8"/>
      </bottom>
      <diagonal/>
    </border>
    <border>
      <left/>
      <right/>
      <top style="thin">
        <color rgb="FF808080"/>
      </top>
      <bottom style="thin">
        <color rgb="FF808080"/>
      </bottom>
      <diagonal/>
    </border>
    <border>
      <left/>
      <right/>
      <top/>
      <bottom style="thin">
        <color rgb="FF808080"/>
      </bottom>
      <diagonal/>
    </border>
    <border>
      <left/>
      <right/>
      <top/>
      <bottom style="thin">
        <color rgb="FF1F3864"/>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s>
  <cellStyleXfs count="2">
    <xf numFmtId="0" fontId="0" fillId="0" borderId="0"/>
    <xf numFmtId="0" fontId="11" fillId="0" borderId="0"/>
  </cellStyleXfs>
  <cellXfs count="151">
    <xf numFmtId="0" fontId="0" fillId="0" borderId="0" xfId="0"/>
    <xf numFmtId="0" fontId="6" fillId="0" borderId="0" xfId="1" applyFont="1" applyAlignment="1">
      <alignment vertical="top"/>
    </xf>
    <xf numFmtId="0" fontId="10" fillId="0" borderId="0" xfId="1" applyFont="1" applyAlignment="1">
      <alignment vertical="top"/>
    </xf>
    <xf numFmtId="0" fontId="2" fillId="0" borderId="0" xfId="1" applyFont="1" applyAlignment="1">
      <alignment vertical="top"/>
    </xf>
    <xf numFmtId="0" fontId="4" fillId="0" borderId="0" xfId="1" applyFont="1" applyAlignment="1">
      <alignment horizontal="left"/>
    </xf>
    <xf numFmtId="0" fontId="2" fillId="0" borderId="0" xfId="1" applyFont="1" applyAlignment="1">
      <alignment horizontal="left"/>
    </xf>
    <xf numFmtId="192" fontId="2" fillId="0" borderId="0" xfId="1" applyNumberFormat="1" applyFont="1" applyAlignment="1">
      <alignment horizontal="left"/>
    </xf>
    <xf numFmtId="192" fontId="4" fillId="0" borderId="0" xfId="1" applyNumberFormat="1" applyFont="1" applyAlignment="1">
      <alignment horizontal="left"/>
    </xf>
    <xf numFmtId="185" fontId="4" fillId="0" borderId="0" xfId="1" applyNumberFormat="1" applyFont="1" applyAlignment="1">
      <alignment horizontal="left"/>
    </xf>
    <xf numFmtId="0" fontId="4" fillId="0" borderId="0" xfId="1" applyFont="1" applyAlignment="1">
      <alignment vertical="top"/>
    </xf>
    <xf numFmtId="0" fontId="7" fillId="0" borderId="4" xfId="1" applyFont="1" applyBorder="1" applyAlignment="1">
      <alignment vertical="top"/>
    </xf>
    <xf numFmtId="0" fontId="0" fillId="0" borderId="4" xfId="1" applyFont="1" applyBorder="1"/>
    <xf numFmtId="0" fontId="2" fillId="2" borderId="2" xfId="1" applyFont="1" applyFill="1" applyBorder="1" applyAlignment="1">
      <alignment horizontal="center" vertical="center" wrapText="1"/>
    </xf>
    <xf numFmtId="0" fontId="9" fillId="0" borderId="0" xfId="1" applyFont="1" applyAlignment="1">
      <alignment vertical="top"/>
    </xf>
    <xf numFmtId="0" fontId="4" fillId="0" borderId="0" xfId="1" applyFont="1" applyAlignment="1">
      <alignment vertical="top" wrapText="1"/>
    </xf>
    <xf numFmtId="0" fontId="9" fillId="0" borderId="3" xfId="1" applyFont="1" applyBorder="1" applyAlignment="1">
      <alignment vertical="top"/>
    </xf>
    <xf numFmtId="0" fontId="4" fillId="0" borderId="3" xfId="1" applyFont="1" applyBorder="1" applyAlignment="1">
      <alignment vertical="top" wrapText="1"/>
    </xf>
    <xf numFmtId="0" fontId="1" fillId="0" borderId="4" xfId="1" applyFont="1" applyBorder="1" applyAlignment="1">
      <alignment vertical="top"/>
    </xf>
    <xf numFmtId="0" fontId="0" fillId="2" borderId="2" xfId="1" applyFont="1" applyFill="1" applyBorder="1"/>
    <xf numFmtId="0" fontId="2" fillId="0" borderId="0" xfId="1" applyFont="1" applyAlignment="1">
      <alignment vertical="top" wrapText="1"/>
    </xf>
    <xf numFmtId="0" fontId="2" fillId="0" borderId="3" xfId="1" applyFont="1" applyBorder="1" applyAlignment="1">
      <alignment vertical="top" wrapText="1"/>
    </xf>
    <xf numFmtId="0" fontId="0" fillId="0" borderId="3" xfId="1" applyFont="1" applyBorder="1"/>
    <xf numFmtId="0" fontId="1" fillId="0" borderId="0" xfId="1" applyFont="1" applyAlignment="1">
      <alignment vertical="top"/>
    </xf>
    <xf numFmtId="181" fontId="4" fillId="0" borderId="0" xfId="1" applyNumberFormat="1" applyFont="1" applyAlignment="1">
      <alignment horizontal="right" vertical="top"/>
    </xf>
    <xf numFmtId="181" fontId="4" fillId="0" borderId="0" xfId="1" applyNumberFormat="1" applyFont="1" applyAlignment="1">
      <alignment vertical="top"/>
    </xf>
    <xf numFmtId="185" fontId="4" fillId="0" borderId="0" xfId="1" applyNumberFormat="1" applyFont="1" applyAlignment="1">
      <alignment vertical="top"/>
    </xf>
    <xf numFmtId="1" fontId="4" fillId="0" borderId="0" xfId="1" applyNumberFormat="1" applyFont="1" applyAlignment="1">
      <alignment vertical="top"/>
    </xf>
    <xf numFmtId="186" fontId="4" fillId="0" borderId="0" xfId="1" applyNumberFormat="1" applyFont="1" applyAlignment="1">
      <alignment horizontal="right" vertical="top"/>
    </xf>
    <xf numFmtId="186" fontId="4" fillId="0" borderId="0" xfId="1" applyNumberFormat="1" applyFont="1" applyAlignment="1">
      <alignment vertical="top"/>
    </xf>
    <xf numFmtId="185" fontId="4" fillId="0" borderId="0" xfId="1" applyNumberFormat="1" applyFont="1" applyAlignment="1">
      <alignment horizontal="right" vertical="top"/>
    </xf>
    <xf numFmtId="0" fontId="4" fillId="0" borderId="3" xfId="1" applyFont="1" applyBorder="1" applyAlignment="1">
      <alignment vertical="top"/>
    </xf>
    <xf numFmtId="186" fontId="4" fillId="0" borderId="3" xfId="1" applyNumberFormat="1" applyFont="1" applyBorder="1" applyAlignment="1">
      <alignment horizontal="right" vertical="top"/>
    </xf>
    <xf numFmtId="186" fontId="4" fillId="0" borderId="3" xfId="1" applyNumberFormat="1" applyFont="1" applyBorder="1" applyAlignment="1">
      <alignment vertical="top"/>
    </xf>
    <xf numFmtId="185" fontId="4" fillId="0" borderId="3" xfId="1" applyNumberFormat="1" applyFont="1" applyBorder="1" applyAlignment="1">
      <alignment vertical="top"/>
    </xf>
    <xf numFmtId="1" fontId="4" fillId="0" borderId="3" xfId="1" applyNumberFormat="1" applyFont="1" applyBorder="1" applyAlignment="1">
      <alignment vertical="top"/>
    </xf>
    <xf numFmtId="182" fontId="4" fillId="0" borderId="0" xfId="1" applyNumberFormat="1" applyFont="1" applyAlignment="1">
      <alignment vertical="top"/>
    </xf>
    <xf numFmtId="184" fontId="4" fillId="0" borderId="0" xfId="1" applyNumberFormat="1" applyFont="1" applyAlignment="1">
      <alignment vertical="top"/>
    </xf>
    <xf numFmtId="182" fontId="4" fillId="0" borderId="3" xfId="1" applyNumberFormat="1" applyFont="1" applyBorder="1" applyAlignment="1">
      <alignment vertical="top"/>
    </xf>
    <xf numFmtId="182" fontId="4" fillId="0" borderId="0" xfId="1" applyNumberFormat="1" applyFont="1" applyAlignment="1">
      <alignment horizontal="right" vertical="top"/>
    </xf>
    <xf numFmtId="0" fontId="2" fillId="0" borderId="3" xfId="1" applyFont="1" applyBorder="1" applyAlignment="1">
      <alignment vertical="top"/>
    </xf>
    <xf numFmtId="181" fontId="2" fillId="0" borderId="3" xfId="1" applyNumberFormat="1" applyFont="1" applyBorder="1" applyAlignment="1">
      <alignment vertical="top"/>
    </xf>
    <xf numFmtId="182" fontId="2" fillId="0" borderId="3" xfId="1" applyNumberFormat="1" applyFont="1" applyBorder="1" applyAlignment="1">
      <alignment vertical="top"/>
    </xf>
    <xf numFmtId="186" fontId="2" fillId="0" borderId="3" xfId="1" applyNumberFormat="1" applyFont="1" applyBorder="1" applyAlignment="1">
      <alignment vertical="top"/>
    </xf>
    <xf numFmtId="185" fontId="2" fillId="0" borderId="3" xfId="1" applyNumberFormat="1" applyFont="1" applyBorder="1" applyAlignment="1">
      <alignment vertical="top"/>
    </xf>
    <xf numFmtId="185" fontId="4" fillId="0" borderId="3" xfId="1" applyNumberFormat="1" applyFont="1" applyBorder="1" applyAlignment="1">
      <alignment horizontal="right" vertical="top"/>
    </xf>
    <xf numFmtId="0" fontId="2" fillId="2" borderId="2" xfId="1" applyFont="1" applyFill="1" applyBorder="1" applyAlignment="1">
      <alignment vertical="top"/>
    </xf>
    <xf numFmtId="0" fontId="4" fillId="0" borderId="0" xfId="1" applyFont="1" applyAlignment="1">
      <alignment horizontal="right" vertical="top"/>
    </xf>
    <xf numFmtId="187" fontId="4" fillId="0" borderId="0" xfId="1" applyNumberFormat="1" applyFont="1" applyAlignment="1">
      <alignment vertical="top"/>
    </xf>
    <xf numFmtId="0" fontId="4" fillId="0" borderId="3" xfId="1" applyFont="1" applyBorder="1" applyAlignment="1">
      <alignment horizontal="right" vertical="top"/>
    </xf>
    <xf numFmtId="187" fontId="4" fillId="0" borderId="3" xfId="1" applyNumberFormat="1" applyFont="1" applyBorder="1" applyAlignment="1">
      <alignment vertical="top"/>
    </xf>
    <xf numFmtId="1" fontId="3" fillId="0" borderId="5" xfId="1" applyNumberFormat="1" applyFont="1" applyBorder="1" applyAlignment="1">
      <alignment horizontal="center" vertical="center" wrapText="1"/>
    </xf>
    <xf numFmtId="192" fontId="2" fillId="0" borderId="0" xfId="1" applyNumberFormat="1" applyFont="1" applyAlignment="1">
      <alignment vertical="top"/>
    </xf>
    <xf numFmtId="185" fontId="2" fillId="0" borderId="0" xfId="1" applyNumberFormat="1" applyFont="1" applyAlignment="1">
      <alignment vertical="top"/>
    </xf>
    <xf numFmtId="0" fontId="4" fillId="0" borderId="0" xfId="1" applyFont="1" applyAlignment="1">
      <alignment horizontal="right"/>
    </xf>
    <xf numFmtId="184" fontId="4" fillId="0" borderId="3" xfId="1" applyNumberFormat="1" applyFont="1" applyBorder="1" applyAlignment="1">
      <alignment vertical="top"/>
    </xf>
    <xf numFmtId="0" fontId="4" fillId="0" borderId="3" xfId="1" applyFont="1" applyBorder="1" applyAlignment="1">
      <alignment horizontal="right"/>
    </xf>
    <xf numFmtId="191" fontId="4" fillId="0" borderId="0" xfId="1" applyNumberFormat="1" applyFont="1" applyAlignment="1">
      <alignment vertical="top"/>
    </xf>
    <xf numFmtId="191" fontId="4" fillId="0" borderId="3" xfId="1" applyNumberFormat="1" applyFont="1" applyBorder="1" applyAlignment="1">
      <alignment vertical="top"/>
    </xf>
    <xf numFmtId="192" fontId="2" fillId="0" borderId="3" xfId="1" applyNumberFormat="1" applyFont="1" applyBorder="1" applyAlignment="1">
      <alignment vertical="top"/>
    </xf>
    <xf numFmtId="183" fontId="2" fillId="0" borderId="0" xfId="1" applyNumberFormat="1" applyFont="1" applyAlignment="1">
      <alignment vertical="top"/>
    </xf>
    <xf numFmtId="183" fontId="4" fillId="0" borderId="0" xfId="1" applyNumberFormat="1" applyFont="1" applyAlignment="1">
      <alignment vertical="top"/>
    </xf>
    <xf numFmtId="182" fontId="2" fillId="0" borderId="0" xfId="1" applyNumberFormat="1" applyFont="1" applyAlignment="1">
      <alignment vertical="top"/>
    </xf>
    <xf numFmtId="183" fontId="2" fillId="2" borderId="2" xfId="1" applyNumberFormat="1" applyFont="1" applyFill="1" applyBorder="1" applyAlignment="1">
      <alignment vertical="top"/>
    </xf>
    <xf numFmtId="183" fontId="2" fillId="0" borderId="0" xfId="1" applyNumberFormat="1" applyFont="1" applyAlignment="1">
      <alignment horizontal="center" vertical="center" wrapText="1"/>
    </xf>
    <xf numFmtId="192" fontId="4" fillId="0" borderId="0" xfId="1" applyNumberFormat="1" applyFont="1" applyAlignment="1">
      <alignment vertical="top"/>
    </xf>
    <xf numFmtId="192" fontId="2" fillId="0" borderId="5" xfId="1" applyNumberFormat="1" applyFont="1" applyBorder="1" applyAlignment="1">
      <alignment vertical="top"/>
    </xf>
    <xf numFmtId="183" fontId="2" fillId="0" borderId="3" xfId="1" applyNumberFormat="1" applyFont="1" applyBorder="1" applyAlignment="1">
      <alignment horizontal="center" vertical="center" wrapText="1"/>
    </xf>
    <xf numFmtId="192" fontId="4" fillId="0" borderId="3" xfId="1" applyNumberFormat="1" applyFont="1" applyBorder="1" applyAlignment="1">
      <alignment vertical="top"/>
    </xf>
    <xf numFmtId="185" fontId="2" fillId="2" borderId="2" xfId="1" applyNumberFormat="1" applyFont="1" applyFill="1" applyBorder="1" applyAlignment="1">
      <alignment vertical="top"/>
    </xf>
    <xf numFmtId="185" fontId="2" fillId="0" borderId="0" xfId="1" applyNumberFormat="1" applyFont="1" applyAlignment="1">
      <alignment horizontal="center" vertical="center" wrapText="1"/>
    </xf>
    <xf numFmtId="185" fontId="2" fillId="0" borderId="3" xfId="1" applyNumberFormat="1" applyFont="1" applyBorder="1" applyAlignment="1">
      <alignment horizontal="center" vertical="center" wrapText="1"/>
    </xf>
    <xf numFmtId="0" fontId="4" fillId="0" borderId="0" xfId="1" applyFont="1" applyAlignment="1">
      <alignment vertical="center"/>
    </xf>
    <xf numFmtId="0" fontId="6" fillId="0" borderId="0" xfId="1" applyFont="1" applyAlignment="1">
      <alignment vertical="center"/>
    </xf>
    <xf numFmtId="0" fontId="4" fillId="0" borderId="1" xfId="1" applyFont="1" applyBorder="1" applyAlignment="1">
      <alignment vertical="center"/>
    </xf>
    <xf numFmtId="0" fontId="2" fillId="2" borderId="2" xfId="1" applyFont="1" applyFill="1" applyBorder="1" applyAlignment="1">
      <alignment horizontal="center" vertical="center"/>
    </xf>
    <xf numFmtId="182" fontId="4" fillId="0" borderId="0" xfId="1" applyNumberFormat="1" applyFont="1" applyAlignment="1">
      <alignment horizontal="right" vertical="center"/>
    </xf>
    <xf numFmtId="185" fontId="4" fillId="0" borderId="0" xfId="1" applyNumberFormat="1" applyFont="1" applyAlignment="1">
      <alignment horizontal="right" vertical="center"/>
    </xf>
    <xf numFmtId="0" fontId="2" fillId="0" borderId="0" xfId="1" applyFont="1" applyAlignment="1">
      <alignment vertical="center"/>
    </xf>
    <xf numFmtId="182" fontId="2" fillId="0" borderId="0" xfId="1" applyNumberFormat="1" applyFont="1" applyAlignment="1">
      <alignment horizontal="right" vertical="center"/>
    </xf>
    <xf numFmtId="182" fontId="3" fillId="0" borderId="0" xfId="1" applyNumberFormat="1" applyFont="1" applyAlignment="1">
      <alignment horizontal="right" vertical="center"/>
    </xf>
    <xf numFmtId="182" fontId="5" fillId="0" borderId="0" xfId="1" applyNumberFormat="1" applyFont="1" applyAlignment="1">
      <alignment horizontal="right" vertical="center"/>
    </xf>
    <xf numFmtId="0" fontId="2" fillId="0" borderId="0" xfId="1" applyFont="1"/>
    <xf numFmtId="0" fontId="2" fillId="2" borderId="2" xfId="1" applyFont="1" applyFill="1" applyBorder="1" applyAlignment="1">
      <alignment horizontal="center"/>
    </xf>
    <xf numFmtId="0" fontId="2" fillId="2" borderId="0" xfId="1" applyFont="1" applyFill="1" applyAlignment="1">
      <alignment horizontal="center" wrapText="1"/>
    </xf>
    <xf numFmtId="185" fontId="5" fillId="0" borderId="0" xfId="1" applyNumberFormat="1" applyFont="1" applyAlignment="1">
      <alignment horizontal="right" vertical="center"/>
    </xf>
    <xf numFmtId="184" fontId="4" fillId="0" borderId="0" xfId="1" applyNumberFormat="1" applyFont="1" applyAlignment="1">
      <alignment horizontal="right" vertical="center"/>
    </xf>
    <xf numFmtId="0" fontId="4" fillId="0" borderId="0" xfId="1" applyFont="1"/>
    <xf numFmtId="185" fontId="3" fillId="0" borderId="0" xfId="1" applyNumberFormat="1" applyFont="1"/>
    <xf numFmtId="185" fontId="4" fillId="0" borderId="0" xfId="1" applyNumberFormat="1" applyFont="1"/>
    <xf numFmtId="185" fontId="3" fillId="0" borderId="0" xfId="1" applyNumberFormat="1" applyFont="1" applyAlignment="1">
      <alignment horizontal="right" vertical="center"/>
    </xf>
    <xf numFmtId="184" fontId="3" fillId="0" borderId="0" xfId="1" applyNumberFormat="1" applyFont="1" applyAlignment="1">
      <alignment horizontal="right" vertical="center"/>
    </xf>
    <xf numFmtId="184" fontId="3" fillId="0" borderId="0" xfId="1" applyNumberFormat="1" applyFont="1"/>
    <xf numFmtId="184" fontId="4" fillId="0" borderId="0" xfId="1" applyNumberFormat="1" applyFont="1"/>
    <xf numFmtId="184" fontId="5" fillId="0" borderId="0" xfId="1" applyNumberFormat="1" applyFont="1" applyAlignment="1">
      <alignment horizontal="right" vertical="center"/>
    </xf>
    <xf numFmtId="0" fontId="6" fillId="0" borderId="0" xfId="1" applyFont="1"/>
    <xf numFmtId="0" fontId="7" fillId="0" borderId="4" xfId="1" applyFont="1" applyBorder="1"/>
    <xf numFmtId="183" fontId="3" fillId="0" borderId="0" xfId="1" applyNumberFormat="1" applyFont="1"/>
    <xf numFmtId="2" fontId="3" fillId="0" borderId="0" xfId="1" applyNumberFormat="1" applyFont="1"/>
    <xf numFmtId="183" fontId="4" fillId="0" borderId="0" xfId="1" applyNumberFormat="1" applyFont="1"/>
    <xf numFmtId="183" fontId="2" fillId="0" borderId="0" xfId="1" applyNumberFormat="1" applyFont="1"/>
    <xf numFmtId="1" fontId="3" fillId="0" borderId="0" xfId="1" applyNumberFormat="1" applyFont="1"/>
    <xf numFmtId="0" fontId="4" fillId="0" borderId="3" xfId="1" applyFont="1" applyBorder="1"/>
    <xf numFmtId="183" fontId="3" fillId="0" borderId="3" xfId="1" applyNumberFormat="1" applyFont="1" applyBorder="1"/>
    <xf numFmtId="182" fontId="3" fillId="0" borderId="0" xfId="1" applyNumberFormat="1" applyFont="1"/>
    <xf numFmtId="182" fontId="4" fillId="0" borderId="0" xfId="1" applyNumberFormat="1" applyFont="1"/>
    <xf numFmtId="182" fontId="5" fillId="0" borderId="0" xfId="1" applyNumberFormat="1" applyFont="1"/>
    <xf numFmtId="182" fontId="3" fillId="0" borderId="3" xfId="1" applyNumberFormat="1" applyFont="1" applyBorder="1"/>
    <xf numFmtId="0" fontId="2" fillId="2" borderId="2" xfId="1" applyFont="1" applyFill="1" applyBorder="1"/>
    <xf numFmtId="1" fontId="4" fillId="0" borderId="0" xfId="1" applyNumberFormat="1" applyFont="1"/>
    <xf numFmtId="185" fontId="5" fillId="0" borderId="0" xfId="1" applyNumberFormat="1" applyFont="1"/>
    <xf numFmtId="182" fontId="2" fillId="0" borderId="0" xfId="1" applyNumberFormat="1" applyFont="1"/>
    <xf numFmtId="188" fontId="4" fillId="0" borderId="0" xfId="1" applyNumberFormat="1" applyFont="1"/>
    <xf numFmtId="182" fontId="4" fillId="0" borderId="3" xfId="1" applyNumberFormat="1" applyFont="1" applyBorder="1"/>
    <xf numFmtId="192" fontId="2" fillId="0" borderId="0" xfId="1" applyNumberFormat="1" applyFont="1"/>
    <xf numFmtId="190" fontId="4" fillId="0" borderId="0" xfId="1" applyNumberFormat="1" applyFont="1"/>
    <xf numFmtId="183" fontId="2" fillId="2" borderId="2" xfId="1" applyNumberFormat="1" applyFont="1" applyFill="1" applyBorder="1"/>
    <xf numFmtId="192" fontId="4" fillId="0" borderId="0" xfId="1" applyNumberFormat="1" applyFont="1"/>
    <xf numFmtId="192" fontId="2" fillId="0" borderId="5" xfId="1" applyNumberFormat="1" applyFont="1" applyBorder="1"/>
    <xf numFmtId="192" fontId="4" fillId="0" borderId="3" xfId="1" applyNumberFormat="1" applyFont="1" applyBorder="1"/>
    <xf numFmtId="185" fontId="2" fillId="2" borderId="2" xfId="1" applyNumberFormat="1" applyFont="1" applyFill="1" applyBorder="1"/>
    <xf numFmtId="0" fontId="2" fillId="0" borderId="3" xfId="1" applyFont="1" applyBorder="1"/>
    <xf numFmtId="185" fontId="4" fillId="0" borderId="3" xfId="1" applyNumberFormat="1" applyFont="1" applyBorder="1"/>
    <xf numFmtId="192" fontId="2" fillId="0" borderId="3" xfId="1" applyNumberFormat="1" applyFont="1" applyBorder="1"/>
    <xf numFmtId="1" fontId="5" fillId="0" borderId="0" xfId="1" applyNumberFormat="1" applyFont="1"/>
    <xf numFmtId="184" fontId="5" fillId="0" borderId="0" xfId="1" applyNumberFormat="1" applyFont="1"/>
    <xf numFmtId="182" fontId="8" fillId="0" borderId="0" xfId="1" applyNumberFormat="1" applyFont="1"/>
    <xf numFmtId="188" fontId="5" fillId="0" borderId="0" xfId="1" applyNumberFormat="1" applyFont="1"/>
    <xf numFmtId="192" fontId="8" fillId="0" borderId="0" xfId="1" applyNumberFormat="1" applyFont="1"/>
    <xf numFmtId="181" fontId="4" fillId="0" borderId="0" xfId="1" applyNumberFormat="1" applyFont="1"/>
    <xf numFmtId="181" fontId="4" fillId="0" borderId="3" xfId="1" applyNumberFormat="1" applyFont="1" applyBorder="1"/>
    <xf numFmtId="184" fontId="4" fillId="0" borderId="3" xfId="1" applyNumberFormat="1" applyFont="1" applyBorder="1"/>
    <xf numFmtId="183" fontId="4" fillId="0" borderId="3" xfId="1" applyNumberFormat="1" applyFont="1" applyBorder="1"/>
    <xf numFmtId="185" fontId="2" fillId="0" borderId="3" xfId="1" applyNumberFormat="1" applyFont="1" applyBorder="1"/>
    <xf numFmtId="182" fontId="2" fillId="0" borderId="3" xfId="1" applyNumberFormat="1" applyFont="1" applyBorder="1"/>
    <xf numFmtId="4" fontId="4" fillId="0" borderId="0" xfId="1" applyNumberFormat="1" applyFont="1"/>
    <xf numFmtId="4" fontId="4" fillId="0" borderId="3" xfId="1" applyNumberFormat="1" applyFont="1" applyBorder="1"/>
    <xf numFmtId="181" fontId="4" fillId="0" borderId="0" xfId="1" applyNumberFormat="1" applyFont="1" applyAlignment="1">
      <alignment horizontal="right" vertical="center"/>
    </xf>
    <xf numFmtId="0" fontId="9" fillId="0" borderId="0" xfId="1" applyFont="1" applyAlignment="1">
      <alignment vertical="top" wrapText="1"/>
    </xf>
    <xf numFmtId="0" fontId="9" fillId="0" borderId="3" xfId="1" applyFont="1" applyBorder="1" applyAlignment="1">
      <alignment vertical="top" wrapText="1"/>
    </xf>
    <xf numFmtId="0" fontId="1" fillId="0" borderId="0" xfId="1" applyFont="1"/>
    <xf numFmtId="188" fontId="4" fillId="0" borderId="3" xfId="1" applyNumberFormat="1" applyFont="1" applyBorder="1"/>
    <xf numFmtId="0" fontId="4" fillId="0" borderId="0" xfId="1" applyFont="1" applyAlignment="1">
      <alignment vertical="top" wrapText="1"/>
    </xf>
    <xf numFmtId="0" fontId="0" fillId="0" borderId="0" xfId="0"/>
    <xf numFmtId="0" fontId="4" fillId="0" borderId="3" xfId="1" applyFont="1" applyBorder="1" applyAlignment="1">
      <alignment vertical="top" wrapText="1"/>
    </xf>
    <xf numFmtId="0" fontId="0" fillId="0" borderId="3" xfId="1" applyFont="1" applyBorder="1"/>
    <xf numFmtId="0" fontId="2" fillId="0" borderId="3" xfId="1" applyFont="1" applyBorder="1" applyAlignment="1">
      <alignment vertical="top"/>
    </xf>
    <xf numFmtId="0" fontId="4" fillId="0" borderId="0" xfId="1" applyFont="1" applyAlignment="1">
      <alignment vertical="top"/>
    </xf>
    <xf numFmtId="0" fontId="4" fillId="0" borderId="3" xfId="1" applyFont="1" applyBorder="1" applyAlignment="1">
      <alignment vertical="top"/>
    </xf>
    <xf numFmtId="0" fontId="2" fillId="2" borderId="2" xfId="1" applyFont="1" applyFill="1" applyBorder="1" applyAlignment="1">
      <alignment horizontal="center" vertical="center" wrapText="1"/>
    </xf>
    <xf numFmtId="0" fontId="0" fillId="0" borderId="6" xfId="1" applyFont="1" applyBorder="1"/>
    <xf numFmtId="22" fontId="4" fillId="0" borderId="0" xfId="1" applyNumberFormat="1" applyFont="1"/>
  </cellXfs>
  <cellStyles count="2">
    <cellStyle name="Normal" xfId="1" xr:uid="{00000000-0005-0000-0000-000000000000}"/>
    <cellStyle name="標準" xfId="0" builtinId="0"/>
  </cellStyles>
  <dxfs count="23">
    <dxf>
      <font>
        <b/>
        <color rgb="FF008000"/>
      </font>
    </dxf>
    <dxf>
      <font>
        <b/>
        <color rgb="FFC00000"/>
      </font>
    </dxf>
    <dxf>
      <font>
        <b/>
        <color rgb="FF008000"/>
      </font>
    </dxf>
    <dxf>
      <font>
        <b/>
        <color rgb="FFC00000"/>
      </font>
    </dxf>
    <dxf>
      <font>
        <b/>
        <color rgb="FF008000"/>
      </font>
    </dxf>
    <dxf>
      <font>
        <b/>
        <color rgb="FFC00000"/>
      </font>
    </dxf>
    <dxf>
      <font>
        <b/>
        <color rgb="FF008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株価（調整後月末終値）（ドル）</a:t>
            </a:r>
          </a:p>
        </c:rich>
      </c:tx>
      <c:overlay val="1"/>
    </c:title>
    <c:autoTitleDeleted val="0"/>
    <c:plotArea>
      <c:layout/>
      <c:lineChart>
        <c:grouping val="standard"/>
        <c:varyColors val="0"/>
        <c:ser>
          <c:idx val="0"/>
          <c:order val="0"/>
          <c:tx>
            <c:strRef>
              <c:f>データ_株価!$H$4</c:f>
              <c:strCache>
                <c:ptCount val="1"/>
                <c:pt idx="0">
                  <c:v>終値（調整後）</c:v>
                </c:pt>
              </c:strCache>
            </c:strRef>
          </c:tx>
          <c:spPr>
            <a:ln w="19050">
              <a:solidFill>
                <a:srgbClr val="1F3864"/>
              </a:solidFill>
              <a:prstDash val="solid"/>
            </a:ln>
          </c:spPr>
          <c:marker>
            <c:symbol val="none"/>
          </c:marker>
          <c:cat>
            <c:strRef>
              <c:f>データ_株価!$F$5:$F$65</c:f>
              <c:strCache>
                <c:ptCount val="61"/>
                <c:pt idx="0">
                  <c:v>2021-10</c:v>
                </c:pt>
                <c:pt idx="1">
                  <c:v>2021-11</c:v>
                </c:pt>
                <c:pt idx="2">
                  <c:v>2021-12</c:v>
                </c:pt>
                <c:pt idx="3">
                  <c:v>2022-01</c:v>
                </c:pt>
                <c:pt idx="4">
                  <c:v>2022-02</c:v>
                </c:pt>
                <c:pt idx="5">
                  <c:v>2022-03</c:v>
                </c:pt>
                <c:pt idx="6">
                  <c:v>2022-04</c:v>
                </c:pt>
                <c:pt idx="7">
                  <c:v>2022-05</c:v>
                </c:pt>
                <c:pt idx="8">
                  <c:v>2022-06</c:v>
                </c:pt>
                <c:pt idx="9">
                  <c:v>2022-07</c:v>
                </c:pt>
                <c:pt idx="10">
                  <c:v>2022-08</c:v>
                </c:pt>
                <c:pt idx="11">
                  <c:v>2022-09</c:v>
                </c:pt>
                <c:pt idx="12">
                  <c:v>2022-10</c:v>
                </c:pt>
                <c:pt idx="13">
                  <c:v>2022-11</c:v>
                </c:pt>
                <c:pt idx="14">
                  <c:v>2022-12</c:v>
                </c:pt>
                <c:pt idx="15">
                  <c:v>2023-01</c:v>
                </c:pt>
                <c:pt idx="16">
                  <c:v>2023-02</c:v>
                </c:pt>
                <c:pt idx="17">
                  <c:v>2023-03</c:v>
                </c:pt>
                <c:pt idx="18">
                  <c:v>2023-04</c:v>
                </c:pt>
                <c:pt idx="19">
                  <c:v>2023-05</c:v>
                </c:pt>
                <c:pt idx="20">
                  <c:v>2023-06</c:v>
                </c:pt>
                <c:pt idx="21">
                  <c:v>2023-07</c:v>
                </c:pt>
                <c:pt idx="22">
                  <c:v>2023-08</c:v>
                </c:pt>
                <c:pt idx="23">
                  <c:v>2023-09</c:v>
                </c:pt>
                <c:pt idx="24">
                  <c:v>2023-10</c:v>
                </c:pt>
                <c:pt idx="25">
                  <c:v>2023-11</c:v>
                </c:pt>
                <c:pt idx="26">
                  <c:v>2023-12</c:v>
                </c:pt>
                <c:pt idx="27">
                  <c:v>2024-01</c:v>
                </c:pt>
                <c:pt idx="28">
                  <c:v>2024-02</c:v>
                </c:pt>
                <c:pt idx="29">
                  <c:v>2024-03</c:v>
                </c:pt>
                <c:pt idx="30">
                  <c:v>2024-04</c:v>
                </c:pt>
                <c:pt idx="31">
                  <c:v>2024-05</c:v>
                </c:pt>
                <c:pt idx="32">
                  <c:v>2024-06</c:v>
                </c:pt>
                <c:pt idx="33">
                  <c:v>2024-07</c:v>
                </c:pt>
                <c:pt idx="34">
                  <c:v>2024-08</c:v>
                </c:pt>
                <c:pt idx="35">
                  <c:v>2024-09</c:v>
                </c:pt>
                <c:pt idx="36">
                  <c:v>2024-10</c:v>
                </c:pt>
                <c:pt idx="37">
                  <c:v>2024-11</c:v>
                </c:pt>
                <c:pt idx="38">
                  <c:v>2024-12</c:v>
                </c:pt>
                <c:pt idx="39">
                  <c:v>2025-01</c:v>
                </c:pt>
                <c:pt idx="40">
                  <c:v>2025-02</c:v>
                </c:pt>
                <c:pt idx="41">
                  <c:v>2025-03</c:v>
                </c:pt>
                <c:pt idx="42">
                  <c:v>2025-04</c:v>
                </c:pt>
                <c:pt idx="43">
                  <c:v>2025-05</c:v>
                </c:pt>
                <c:pt idx="44">
                  <c:v>2025-06</c:v>
                </c:pt>
                <c:pt idx="45">
                  <c:v>2025-07</c:v>
                </c:pt>
                <c:pt idx="46">
                  <c:v>2025-08</c:v>
                </c:pt>
                <c:pt idx="47">
                  <c:v>2025-09</c:v>
                </c:pt>
                <c:pt idx="48">
                  <c:v>2025-10</c:v>
                </c:pt>
                <c:pt idx="49">
                  <c:v>2025-11</c:v>
                </c:pt>
                <c:pt idx="50">
                  <c:v>2025-12</c:v>
                </c:pt>
                <c:pt idx="51">
                  <c:v>2026-01</c:v>
                </c:pt>
                <c:pt idx="52">
                  <c:v>2026-02</c:v>
                </c:pt>
                <c:pt idx="53">
                  <c:v>2026-03</c:v>
                </c:pt>
                <c:pt idx="54">
                  <c:v>2026-04</c:v>
                </c:pt>
                <c:pt idx="55">
                  <c:v>2026-05</c:v>
                </c:pt>
                <c:pt idx="56">
                  <c:v>2026-06</c:v>
                </c:pt>
                <c:pt idx="57">
                  <c:v>2026-07</c:v>
                </c:pt>
                <c:pt idx="58">
                  <c:v>2026-08</c:v>
                </c:pt>
                <c:pt idx="59">
                  <c:v>2026-09</c:v>
                </c:pt>
                <c:pt idx="60">
                  <c:v>2026-10</c:v>
                </c:pt>
              </c:strCache>
            </c:strRef>
          </c:cat>
          <c:val>
            <c:numRef>
              <c:f>データ_株価!$H$5:$H$65</c:f>
              <c:numCache>
                <c:formatCode>#,##0.0;\▲#,##0.0</c:formatCode>
                <c:ptCount val="61"/>
                <c:pt idx="0">
                  <c:v>163.72139999999999</c:v>
                </c:pt>
                <c:pt idx="1">
                  <c:v>167.99170000000001</c:v>
                </c:pt>
                <c:pt idx="2">
                  <c:v>164.58600000000001</c:v>
                </c:pt>
                <c:pt idx="3">
                  <c:v>157.78200000000001</c:v>
                </c:pt>
                <c:pt idx="4">
                  <c:v>149.43090000000001</c:v>
                </c:pt>
                <c:pt idx="5">
                  <c:v>161.2894</c:v>
                </c:pt>
                <c:pt idx="6">
                  <c:v>149.65950000000001</c:v>
                </c:pt>
                <c:pt idx="7">
                  <c:v>156.43870000000001</c:v>
                </c:pt>
                <c:pt idx="8">
                  <c:v>135.9855</c:v>
                </c:pt>
                <c:pt idx="9">
                  <c:v>159.36660000000001</c:v>
                </c:pt>
                <c:pt idx="10">
                  <c:v>147.17959999999999</c:v>
                </c:pt>
                <c:pt idx="11">
                  <c:v>137.8878</c:v>
                </c:pt>
                <c:pt idx="12">
                  <c:v>144.24039999999999</c:v>
                </c:pt>
                <c:pt idx="13">
                  <c:v>162.047</c:v>
                </c:pt>
                <c:pt idx="14">
                  <c:v>148.36199999999999</c:v>
                </c:pt>
                <c:pt idx="15">
                  <c:v>160.2627</c:v>
                </c:pt>
                <c:pt idx="16">
                  <c:v>155.05359999999999</c:v>
                </c:pt>
                <c:pt idx="17">
                  <c:v>168.22110000000001</c:v>
                </c:pt>
                <c:pt idx="18">
                  <c:v>151.21</c:v>
                </c:pt>
                <c:pt idx="19">
                  <c:v>158.46180000000001</c:v>
                </c:pt>
                <c:pt idx="20">
                  <c:v>164.0574</c:v>
                </c:pt>
                <c:pt idx="21">
                  <c:v>165.1917</c:v>
                </c:pt>
                <c:pt idx="22">
                  <c:v>154.23400000000001</c:v>
                </c:pt>
                <c:pt idx="23">
                  <c:v>145.92850000000001</c:v>
                </c:pt>
                <c:pt idx="24">
                  <c:v>131.52180000000001</c:v>
                </c:pt>
                <c:pt idx="25">
                  <c:v>141.4315</c:v>
                </c:pt>
                <c:pt idx="26">
                  <c:v>157.8706</c:v>
                </c:pt>
                <c:pt idx="27">
                  <c:v>149.46440000000001</c:v>
                </c:pt>
                <c:pt idx="28">
                  <c:v>156.19460000000001</c:v>
                </c:pt>
                <c:pt idx="29">
                  <c:v>162.61680000000001</c:v>
                </c:pt>
                <c:pt idx="30">
                  <c:v>164.6797</c:v>
                </c:pt>
                <c:pt idx="31">
                  <c:v>183.34460000000001</c:v>
                </c:pt>
                <c:pt idx="32">
                  <c:v>182.89330000000001</c:v>
                </c:pt>
                <c:pt idx="33">
                  <c:v>192.8656</c:v>
                </c:pt>
                <c:pt idx="34">
                  <c:v>202.83019999999999</c:v>
                </c:pt>
                <c:pt idx="35">
                  <c:v>195.47739999999999</c:v>
                </c:pt>
                <c:pt idx="36">
                  <c:v>193.5163</c:v>
                </c:pt>
                <c:pt idx="37">
                  <c:v>191.48740000000001</c:v>
                </c:pt>
                <c:pt idx="38">
                  <c:v>178.60910000000001</c:v>
                </c:pt>
                <c:pt idx="39">
                  <c:v>177.1472</c:v>
                </c:pt>
                <c:pt idx="40">
                  <c:v>188.06710000000001</c:v>
                </c:pt>
                <c:pt idx="41">
                  <c:v>172.4357</c:v>
                </c:pt>
                <c:pt idx="42">
                  <c:v>154.8903</c:v>
                </c:pt>
                <c:pt idx="43">
                  <c:v>176.95519999999999</c:v>
                </c:pt>
                <c:pt idx="44">
                  <c:v>200.92670000000001</c:v>
                </c:pt>
                <c:pt idx="45">
                  <c:v>176.48939999999999</c:v>
                </c:pt>
                <c:pt idx="46">
                  <c:v>197.36869999999999</c:v>
                </c:pt>
                <c:pt idx="47">
                  <c:v>179.09200000000001</c:v>
                </c:pt>
                <c:pt idx="48">
                  <c:v>158.78899999999999</c:v>
                </c:pt>
                <c:pt idx="49">
                  <c:v>165.4863</c:v>
                </c:pt>
                <c:pt idx="50">
                  <c:v>170.62</c:v>
                </c:pt>
                <c:pt idx="51">
                  <c:v>213.36789999999999</c:v>
                </c:pt>
                <c:pt idx="52">
                  <c:v>209.96270000000001</c:v>
                </c:pt>
                <c:pt idx="53">
                  <c:v>192.1746</c:v>
                </c:pt>
                <c:pt idx="54">
                  <c:v>278.23439999999999</c:v>
                </c:pt>
                <c:pt idx="55">
                  <c:v>304.12290000000002</c:v>
                </c:pt>
                <c:pt idx="56">
                  <c:v>296.55160000000001</c:v>
                </c:pt>
                <c:pt idx="57">
                  <c:v>275.74</c:v>
                </c:pt>
                <c:pt idx="58">
                  <c:v>260.91000000000003</c:v>
                </c:pt>
                <c:pt idx="59">
                  <c:v>280.08999999999997</c:v>
                </c:pt>
                <c:pt idx="60">
                  <c:v>279.5</c:v>
                </c:pt>
              </c:numCache>
            </c:numRef>
          </c:val>
          <c:smooth val="0"/>
          <c:extLst>
            <c:ext xmlns:c16="http://schemas.microsoft.com/office/drawing/2014/chart" uri="{C3380CC4-5D6E-409C-BE32-E72D297353CC}">
              <c16:uniqueId val="{00000000-45F8-42A8-8A71-2A1538EE58E9}"/>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2"/>
        <c:noMultiLvlLbl val="1"/>
      </c:catAx>
      <c:valAx>
        <c:axId val="100"/>
        <c:scaling>
          <c:orientation val="minMax"/>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対S&amp;P500相対株価（期初=100）（指数）</a:t>
            </a:r>
          </a:p>
        </c:rich>
      </c:tx>
      <c:overlay val="1"/>
    </c:title>
    <c:autoTitleDeleted val="0"/>
    <c:plotArea>
      <c:layout/>
      <c:lineChart>
        <c:grouping val="standard"/>
        <c:varyColors val="0"/>
        <c:ser>
          <c:idx val="0"/>
          <c:order val="0"/>
          <c:tx>
            <c:strRef>
              <c:f>データ_株価!$J$4</c:f>
              <c:strCache>
                <c:ptCount val="1"/>
                <c:pt idx="0">
                  <c:v>対S&amp;P500相対（期初=100）</c:v>
                </c:pt>
              </c:strCache>
            </c:strRef>
          </c:tx>
          <c:spPr>
            <a:ln w="19050">
              <a:solidFill>
                <a:srgbClr val="1F3864"/>
              </a:solidFill>
              <a:prstDash val="solid"/>
            </a:ln>
          </c:spPr>
          <c:marker>
            <c:symbol val="none"/>
          </c:marker>
          <c:cat>
            <c:strRef>
              <c:f>データ_株価!$F$5:$F$65</c:f>
              <c:strCache>
                <c:ptCount val="61"/>
                <c:pt idx="0">
                  <c:v>2021-10</c:v>
                </c:pt>
                <c:pt idx="1">
                  <c:v>2021-11</c:v>
                </c:pt>
                <c:pt idx="2">
                  <c:v>2021-12</c:v>
                </c:pt>
                <c:pt idx="3">
                  <c:v>2022-01</c:v>
                </c:pt>
                <c:pt idx="4">
                  <c:v>2022-02</c:v>
                </c:pt>
                <c:pt idx="5">
                  <c:v>2022-03</c:v>
                </c:pt>
                <c:pt idx="6">
                  <c:v>2022-04</c:v>
                </c:pt>
                <c:pt idx="7">
                  <c:v>2022-05</c:v>
                </c:pt>
                <c:pt idx="8">
                  <c:v>2022-06</c:v>
                </c:pt>
                <c:pt idx="9">
                  <c:v>2022-07</c:v>
                </c:pt>
                <c:pt idx="10">
                  <c:v>2022-08</c:v>
                </c:pt>
                <c:pt idx="11">
                  <c:v>2022-09</c:v>
                </c:pt>
                <c:pt idx="12">
                  <c:v>2022-10</c:v>
                </c:pt>
                <c:pt idx="13">
                  <c:v>2022-11</c:v>
                </c:pt>
                <c:pt idx="14">
                  <c:v>2022-12</c:v>
                </c:pt>
                <c:pt idx="15">
                  <c:v>2023-01</c:v>
                </c:pt>
                <c:pt idx="16">
                  <c:v>2023-02</c:v>
                </c:pt>
                <c:pt idx="17">
                  <c:v>2023-03</c:v>
                </c:pt>
                <c:pt idx="18">
                  <c:v>2023-04</c:v>
                </c:pt>
                <c:pt idx="19">
                  <c:v>2023-05</c:v>
                </c:pt>
                <c:pt idx="20">
                  <c:v>2023-06</c:v>
                </c:pt>
                <c:pt idx="21">
                  <c:v>2023-07</c:v>
                </c:pt>
                <c:pt idx="22">
                  <c:v>2023-08</c:v>
                </c:pt>
                <c:pt idx="23">
                  <c:v>2023-09</c:v>
                </c:pt>
                <c:pt idx="24">
                  <c:v>2023-10</c:v>
                </c:pt>
                <c:pt idx="25">
                  <c:v>2023-11</c:v>
                </c:pt>
                <c:pt idx="26">
                  <c:v>2023-12</c:v>
                </c:pt>
                <c:pt idx="27">
                  <c:v>2024-01</c:v>
                </c:pt>
                <c:pt idx="28">
                  <c:v>2024-02</c:v>
                </c:pt>
                <c:pt idx="29">
                  <c:v>2024-03</c:v>
                </c:pt>
                <c:pt idx="30">
                  <c:v>2024-04</c:v>
                </c:pt>
                <c:pt idx="31">
                  <c:v>2024-05</c:v>
                </c:pt>
                <c:pt idx="32">
                  <c:v>2024-06</c:v>
                </c:pt>
                <c:pt idx="33">
                  <c:v>2024-07</c:v>
                </c:pt>
                <c:pt idx="34">
                  <c:v>2024-08</c:v>
                </c:pt>
                <c:pt idx="35">
                  <c:v>2024-09</c:v>
                </c:pt>
                <c:pt idx="36">
                  <c:v>2024-10</c:v>
                </c:pt>
                <c:pt idx="37">
                  <c:v>2024-11</c:v>
                </c:pt>
                <c:pt idx="38">
                  <c:v>2024-12</c:v>
                </c:pt>
                <c:pt idx="39">
                  <c:v>2025-01</c:v>
                </c:pt>
                <c:pt idx="40">
                  <c:v>2025-02</c:v>
                </c:pt>
                <c:pt idx="41">
                  <c:v>2025-03</c:v>
                </c:pt>
                <c:pt idx="42">
                  <c:v>2025-04</c:v>
                </c:pt>
                <c:pt idx="43">
                  <c:v>2025-05</c:v>
                </c:pt>
                <c:pt idx="44">
                  <c:v>2025-06</c:v>
                </c:pt>
                <c:pt idx="45">
                  <c:v>2025-07</c:v>
                </c:pt>
                <c:pt idx="46">
                  <c:v>2025-08</c:v>
                </c:pt>
                <c:pt idx="47">
                  <c:v>2025-09</c:v>
                </c:pt>
                <c:pt idx="48">
                  <c:v>2025-10</c:v>
                </c:pt>
                <c:pt idx="49">
                  <c:v>2025-11</c:v>
                </c:pt>
                <c:pt idx="50">
                  <c:v>2025-12</c:v>
                </c:pt>
                <c:pt idx="51">
                  <c:v>2026-01</c:v>
                </c:pt>
                <c:pt idx="52">
                  <c:v>2026-02</c:v>
                </c:pt>
                <c:pt idx="53">
                  <c:v>2026-03</c:v>
                </c:pt>
                <c:pt idx="54">
                  <c:v>2026-04</c:v>
                </c:pt>
                <c:pt idx="55">
                  <c:v>2026-05</c:v>
                </c:pt>
                <c:pt idx="56">
                  <c:v>2026-06</c:v>
                </c:pt>
                <c:pt idx="57">
                  <c:v>2026-07</c:v>
                </c:pt>
                <c:pt idx="58">
                  <c:v>2026-08</c:v>
                </c:pt>
                <c:pt idx="59">
                  <c:v>2026-09</c:v>
                </c:pt>
                <c:pt idx="60">
                  <c:v>2026-10</c:v>
                </c:pt>
              </c:strCache>
            </c:strRef>
          </c:cat>
          <c:val>
            <c:numRef>
              <c:f>データ_株価!$J$5:$J$65</c:f>
              <c:numCache>
                <c:formatCode>#,##0.0;\▲#,##0.0</c:formatCode>
                <c:ptCount val="61"/>
                <c:pt idx="0">
                  <c:v>100</c:v>
                </c:pt>
                <c:pt idx="1">
                  <c:v>103.4706</c:v>
                </c:pt>
                <c:pt idx="2">
                  <c:v>97.136499999999998</c:v>
                </c:pt>
                <c:pt idx="3">
                  <c:v>98.289400000000001</c:v>
                </c:pt>
                <c:pt idx="4">
                  <c:v>96.100999999999999</c:v>
                </c:pt>
                <c:pt idx="5">
                  <c:v>100.1448</c:v>
                </c:pt>
                <c:pt idx="6">
                  <c:v>101.8852</c:v>
                </c:pt>
                <c:pt idx="7">
                  <c:v>106.49469999999999</c:v>
                </c:pt>
                <c:pt idx="8">
                  <c:v>101.05159999999999</c:v>
                </c:pt>
                <c:pt idx="9">
                  <c:v>108.5367</c:v>
                </c:pt>
                <c:pt idx="10">
                  <c:v>104.6794</c:v>
                </c:pt>
                <c:pt idx="11">
                  <c:v>108.1737</c:v>
                </c:pt>
                <c:pt idx="12">
                  <c:v>104.7885</c:v>
                </c:pt>
                <c:pt idx="13">
                  <c:v>111.7196</c:v>
                </c:pt>
                <c:pt idx="14">
                  <c:v>108.6947</c:v>
                </c:pt>
                <c:pt idx="15">
                  <c:v>110.58450000000001</c:v>
                </c:pt>
                <c:pt idx="16">
                  <c:v>109.8588</c:v>
                </c:pt>
                <c:pt idx="17">
                  <c:v>115.152</c:v>
                </c:pt>
                <c:pt idx="18">
                  <c:v>102.0137</c:v>
                </c:pt>
                <c:pt idx="19">
                  <c:v>106.64149999999999</c:v>
                </c:pt>
                <c:pt idx="20">
                  <c:v>103.6952</c:v>
                </c:pt>
                <c:pt idx="21">
                  <c:v>101.2591</c:v>
                </c:pt>
                <c:pt idx="22">
                  <c:v>96.247399999999999</c:v>
                </c:pt>
                <c:pt idx="23">
                  <c:v>95.728300000000004</c:v>
                </c:pt>
                <c:pt idx="24">
                  <c:v>88.216499999999996</c:v>
                </c:pt>
                <c:pt idx="25">
                  <c:v>87.096199999999996</c:v>
                </c:pt>
                <c:pt idx="26">
                  <c:v>93.101799999999997</c:v>
                </c:pt>
                <c:pt idx="27">
                  <c:v>86.765199999999993</c:v>
                </c:pt>
                <c:pt idx="28">
                  <c:v>86.213200000000001</c:v>
                </c:pt>
                <c:pt idx="29">
                  <c:v>87.057500000000005</c:v>
                </c:pt>
                <c:pt idx="30">
                  <c:v>91.990099999999998</c:v>
                </c:pt>
                <c:pt idx="31">
                  <c:v>97.723500000000001</c:v>
                </c:pt>
                <c:pt idx="32">
                  <c:v>94.216499999999996</c:v>
                </c:pt>
                <c:pt idx="33">
                  <c:v>98.241500000000002</c:v>
                </c:pt>
                <c:pt idx="34">
                  <c:v>101.0107</c:v>
                </c:pt>
                <c:pt idx="35">
                  <c:v>95.421700000000001</c:v>
                </c:pt>
                <c:pt idx="36">
                  <c:v>95.408600000000007</c:v>
                </c:pt>
                <c:pt idx="37">
                  <c:v>89.291799999999995</c:v>
                </c:pt>
                <c:pt idx="38">
                  <c:v>85.421300000000002</c:v>
                </c:pt>
                <c:pt idx="39">
                  <c:v>82.493399999999994</c:v>
                </c:pt>
                <c:pt idx="40">
                  <c:v>88.843900000000005</c:v>
                </c:pt>
                <c:pt idx="41">
                  <c:v>86.433300000000003</c:v>
                </c:pt>
                <c:pt idx="42">
                  <c:v>78.235200000000006</c:v>
                </c:pt>
                <c:pt idx="43">
                  <c:v>84.1999</c:v>
                </c:pt>
                <c:pt idx="44">
                  <c:v>91.087599999999995</c:v>
                </c:pt>
                <c:pt idx="45">
                  <c:v>78.3125</c:v>
                </c:pt>
                <c:pt idx="46">
                  <c:v>85.938599999999994</c:v>
                </c:pt>
                <c:pt idx="47">
                  <c:v>75.319999999999993</c:v>
                </c:pt>
                <c:pt idx="48">
                  <c:v>65.299800000000005</c:v>
                </c:pt>
                <c:pt idx="49">
                  <c:v>67.965599999999995</c:v>
                </c:pt>
                <c:pt idx="50">
                  <c:v>70.110799999999998</c:v>
                </c:pt>
                <c:pt idx="51">
                  <c:v>86.494900000000001</c:v>
                </c:pt>
                <c:pt idx="52">
                  <c:v>85.858699999999999</c:v>
                </c:pt>
                <c:pt idx="53">
                  <c:v>82.802099999999996</c:v>
                </c:pt>
                <c:pt idx="54">
                  <c:v>108.5664</c:v>
                </c:pt>
                <c:pt idx="55">
                  <c:v>112.8591</c:v>
                </c:pt>
                <c:pt idx="56">
                  <c:v>111.2336</c:v>
                </c:pt>
                <c:pt idx="57">
                  <c:v>103.5605</c:v>
                </c:pt>
                <c:pt idx="58">
                  <c:v>95.486599999999996</c:v>
                </c:pt>
                <c:pt idx="59">
                  <c:v>102.9695</c:v>
                </c:pt>
                <c:pt idx="60">
                  <c:v>102.5932</c:v>
                </c:pt>
              </c:numCache>
            </c:numRef>
          </c:val>
          <c:smooth val="0"/>
          <c:extLst>
            <c:ext xmlns:c16="http://schemas.microsoft.com/office/drawing/2014/chart" uri="{C3380CC4-5D6E-409C-BE32-E72D297353CC}">
              <c16:uniqueId val="{00000000-A08E-4761-AAB3-2604C95538C8}"/>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2"/>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PER（予想・実績）（倍）</a:t>
            </a:r>
          </a:p>
        </c:rich>
      </c:tx>
      <c:overlay val="1"/>
    </c:title>
    <c:autoTitleDeleted val="0"/>
    <c:plotArea>
      <c:layout/>
      <c:lineChart>
        <c:grouping val="standard"/>
        <c:varyColors val="0"/>
        <c:ser>
          <c:idx val="0"/>
          <c:order val="0"/>
          <c:tx>
            <c:strRef>
              <c:f>データ_株価!$M$4</c:f>
              <c:strCache>
                <c:ptCount val="1"/>
                <c:pt idx="0">
                  <c:v>PER（予想）</c:v>
                </c:pt>
              </c:strCache>
            </c:strRef>
          </c:tx>
          <c:spPr>
            <a:ln w="19050">
              <a:solidFill>
                <a:srgbClr val="1F3864"/>
              </a:solidFill>
              <a:prstDash val="solid"/>
            </a:ln>
          </c:spPr>
          <c:marker>
            <c:symbol val="none"/>
          </c:marker>
          <c:cat>
            <c:strRef>
              <c:f>データ_株価!$L$5:$L$65</c:f>
              <c:strCache>
                <c:ptCount val="61"/>
                <c:pt idx="0">
                  <c:v>2021-10</c:v>
                </c:pt>
                <c:pt idx="1">
                  <c:v>2021-11</c:v>
                </c:pt>
                <c:pt idx="2">
                  <c:v>2021-12</c:v>
                </c:pt>
                <c:pt idx="3">
                  <c:v>2022-01</c:v>
                </c:pt>
                <c:pt idx="4">
                  <c:v>2022-02</c:v>
                </c:pt>
                <c:pt idx="5">
                  <c:v>2022-03</c:v>
                </c:pt>
                <c:pt idx="6">
                  <c:v>2022-04</c:v>
                </c:pt>
                <c:pt idx="7">
                  <c:v>2022-05</c:v>
                </c:pt>
                <c:pt idx="8">
                  <c:v>2022-06</c:v>
                </c:pt>
                <c:pt idx="9">
                  <c:v>2022-07</c:v>
                </c:pt>
                <c:pt idx="10">
                  <c:v>2022-08</c:v>
                </c:pt>
                <c:pt idx="11">
                  <c:v>2022-09</c:v>
                </c:pt>
                <c:pt idx="12">
                  <c:v>2022-10</c:v>
                </c:pt>
                <c:pt idx="13">
                  <c:v>2022-11</c:v>
                </c:pt>
                <c:pt idx="14">
                  <c:v>2022-12</c:v>
                </c:pt>
                <c:pt idx="15">
                  <c:v>2023-01</c:v>
                </c:pt>
                <c:pt idx="16">
                  <c:v>2023-02</c:v>
                </c:pt>
                <c:pt idx="17">
                  <c:v>2023-03</c:v>
                </c:pt>
                <c:pt idx="18">
                  <c:v>2023-04</c:v>
                </c:pt>
                <c:pt idx="19">
                  <c:v>2023-05</c:v>
                </c:pt>
                <c:pt idx="20">
                  <c:v>2023-06</c:v>
                </c:pt>
                <c:pt idx="21">
                  <c:v>2023-07</c:v>
                </c:pt>
                <c:pt idx="22">
                  <c:v>2023-08</c:v>
                </c:pt>
                <c:pt idx="23">
                  <c:v>2023-09</c:v>
                </c:pt>
                <c:pt idx="24">
                  <c:v>2023-10</c:v>
                </c:pt>
                <c:pt idx="25">
                  <c:v>2023-11</c:v>
                </c:pt>
                <c:pt idx="26">
                  <c:v>2023-12</c:v>
                </c:pt>
                <c:pt idx="27">
                  <c:v>2024-01</c:v>
                </c:pt>
                <c:pt idx="28">
                  <c:v>2024-02</c:v>
                </c:pt>
                <c:pt idx="29">
                  <c:v>2024-03</c:v>
                </c:pt>
                <c:pt idx="30">
                  <c:v>2024-04</c:v>
                </c:pt>
                <c:pt idx="31">
                  <c:v>2024-05</c:v>
                </c:pt>
                <c:pt idx="32">
                  <c:v>2024-06</c:v>
                </c:pt>
                <c:pt idx="33">
                  <c:v>2024-07</c:v>
                </c:pt>
                <c:pt idx="34">
                  <c:v>2024-08</c:v>
                </c:pt>
                <c:pt idx="35">
                  <c:v>2024-09</c:v>
                </c:pt>
                <c:pt idx="36">
                  <c:v>2024-10</c:v>
                </c:pt>
                <c:pt idx="37">
                  <c:v>2024-11</c:v>
                </c:pt>
                <c:pt idx="38">
                  <c:v>2024-12</c:v>
                </c:pt>
                <c:pt idx="39">
                  <c:v>2025-01</c:v>
                </c:pt>
                <c:pt idx="40">
                  <c:v>2025-02</c:v>
                </c:pt>
                <c:pt idx="41">
                  <c:v>2025-03</c:v>
                </c:pt>
                <c:pt idx="42">
                  <c:v>2025-04</c:v>
                </c:pt>
                <c:pt idx="43">
                  <c:v>2025-05</c:v>
                </c:pt>
                <c:pt idx="44">
                  <c:v>2025-06</c:v>
                </c:pt>
                <c:pt idx="45">
                  <c:v>2025-07</c:v>
                </c:pt>
                <c:pt idx="46">
                  <c:v>2025-08</c:v>
                </c:pt>
                <c:pt idx="47">
                  <c:v>2025-09</c:v>
                </c:pt>
                <c:pt idx="48">
                  <c:v>2025-10</c:v>
                </c:pt>
                <c:pt idx="49">
                  <c:v>2025-11</c:v>
                </c:pt>
                <c:pt idx="50">
                  <c:v>2025-12</c:v>
                </c:pt>
                <c:pt idx="51">
                  <c:v>2026-01</c:v>
                </c:pt>
                <c:pt idx="52">
                  <c:v>2026-02</c:v>
                </c:pt>
                <c:pt idx="53">
                  <c:v>2026-03</c:v>
                </c:pt>
                <c:pt idx="54">
                  <c:v>2026-04</c:v>
                </c:pt>
                <c:pt idx="55">
                  <c:v>2026-05</c:v>
                </c:pt>
                <c:pt idx="56">
                  <c:v>2026-06</c:v>
                </c:pt>
                <c:pt idx="57">
                  <c:v>2026-07</c:v>
                </c:pt>
                <c:pt idx="58">
                  <c:v>2026-08</c:v>
                </c:pt>
                <c:pt idx="59">
                  <c:v>2026-09</c:v>
                </c:pt>
                <c:pt idx="60">
                  <c:v>2026-10</c:v>
                </c:pt>
              </c:strCache>
            </c:strRef>
          </c:cat>
          <c:val>
            <c:numRef>
              <c:f>データ_株価!$M$5:$M$65</c:f>
              <c:numCache>
                <c:formatCode>General</c:formatCode>
                <c:ptCount val="61"/>
              </c:numCache>
            </c:numRef>
          </c:val>
          <c:smooth val="0"/>
          <c:extLst>
            <c:ext xmlns:c16="http://schemas.microsoft.com/office/drawing/2014/chart" uri="{C3380CC4-5D6E-409C-BE32-E72D297353CC}">
              <c16:uniqueId val="{00000000-7168-4B5C-B8C3-7742745FED3A}"/>
            </c:ext>
          </c:extLst>
        </c:ser>
        <c:ser>
          <c:idx val="1"/>
          <c:order val="1"/>
          <c:tx>
            <c:strRef>
              <c:f>データ_株価!$N$4</c:f>
              <c:strCache>
                <c:ptCount val="1"/>
                <c:pt idx="0">
                  <c:v>PER（実績）</c:v>
                </c:pt>
              </c:strCache>
            </c:strRef>
          </c:tx>
          <c:spPr>
            <a:ln w="19050">
              <a:solidFill>
                <a:srgbClr val="A6A6A6"/>
              </a:solidFill>
              <a:prstDash val="solid"/>
            </a:ln>
          </c:spPr>
          <c:marker>
            <c:symbol val="none"/>
          </c:marker>
          <c:cat>
            <c:strRef>
              <c:f>データ_株価!$L$5:$L$65</c:f>
              <c:strCache>
                <c:ptCount val="61"/>
                <c:pt idx="0">
                  <c:v>2021-10</c:v>
                </c:pt>
                <c:pt idx="1">
                  <c:v>2021-11</c:v>
                </c:pt>
                <c:pt idx="2">
                  <c:v>2021-12</c:v>
                </c:pt>
                <c:pt idx="3">
                  <c:v>2022-01</c:v>
                </c:pt>
                <c:pt idx="4">
                  <c:v>2022-02</c:v>
                </c:pt>
                <c:pt idx="5">
                  <c:v>2022-03</c:v>
                </c:pt>
                <c:pt idx="6">
                  <c:v>2022-04</c:v>
                </c:pt>
                <c:pt idx="7">
                  <c:v>2022-05</c:v>
                </c:pt>
                <c:pt idx="8">
                  <c:v>2022-06</c:v>
                </c:pt>
                <c:pt idx="9">
                  <c:v>2022-07</c:v>
                </c:pt>
                <c:pt idx="10">
                  <c:v>2022-08</c:v>
                </c:pt>
                <c:pt idx="11">
                  <c:v>2022-09</c:v>
                </c:pt>
                <c:pt idx="12">
                  <c:v>2022-10</c:v>
                </c:pt>
                <c:pt idx="13">
                  <c:v>2022-11</c:v>
                </c:pt>
                <c:pt idx="14">
                  <c:v>2022-12</c:v>
                </c:pt>
                <c:pt idx="15">
                  <c:v>2023-01</c:v>
                </c:pt>
                <c:pt idx="16">
                  <c:v>2023-02</c:v>
                </c:pt>
                <c:pt idx="17">
                  <c:v>2023-03</c:v>
                </c:pt>
                <c:pt idx="18">
                  <c:v>2023-04</c:v>
                </c:pt>
                <c:pt idx="19">
                  <c:v>2023-05</c:v>
                </c:pt>
                <c:pt idx="20">
                  <c:v>2023-06</c:v>
                </c:pt>
                <c:pt idx="21">
                  <c:v>2023-07</c:v>
                </c:pt>
                <c:pt idx="22">
                  <c:v>2023-08</c:v>
                </c:pt>
                <c:pt idx="23">
                  <c:v>2023-09</c:v>
                </c:pt>
                <c:pt idx="24">
                  <c:v>2023-10</c:v>
                </c:pt>
                <c:pt idx="25">
                  <c:v>2023-11</c:v>
                </c:pt>
                <c:pt idx="26">
                  <c:v>2023-12</c:v>
                </c:pt>
                <c:pt idx="27">
                  <c:v>2024-01</c:v>
                </c:pt>
                <c:pt idx="28">
                  <c:v>2024-02</c:v>
                </c:pt>
                <c:pt idx="29">
                  <c:v>2024-03</c:v>
                </c:pt>
                <c:pt idx="30">
                  <c:v>2024-04</c:v>
                </c:pt>
                <c:pt idx="31">
                  <c:v>2024-05</c:v>
                </c:pt>
                <c:pt idx="32">
                  <c:v>2024-06</c:v>
                </c:pt>
                <c:pt idx="33">
                  <c:v>2024-07</c:v>
                </c:pt>
                <c:pt idx="34">
                  <c:v>2024-08</c:v>
                </c:pt>
                <c:pt idx="35">
                  <c:v>2024-09</c:v>
                </c:pt>
                <c:pt idx="36">
                  <c:v>2024-10</c:v>
                </c:pt>
                <c:pt idx="37">
                  <c:v>2024-11</c:v>
                </c:pt>
                <c:pt idx="38">
                  <c:v>2024-12</c:v>
                </c:pt>
                <c:pt idx="39">
                  <c:v>2025-01</c:v>
                </c:pt>
                <c:pt idx="40">
                  <c:v>2025-02</c:v>
                </c:pt>
                <c:pt idx="41">
                  <c:v>2025-03</c:v>
                </c:pt>
                <c:pt idx="42">
                  <c:v>2025-04</c:v>
                </c:pt>
                <c:pt idx="43">
                  <c:v>2025-05</c:v>
                </c:pt>
                <c:pt idx="44">
                  <c:v>2025-06</c:v>
                </c:pt>
                <c:pt idx="45">
                  <c:v>2025-07</c:v>
                </c:pt>
                <c:pt idx="46">
                  <c:v>2025-08</c:v>
                </c:pt>
                <c:pt idx="47">
                  <c:v>2025-09</c:v>
                </c:pt>
                <c:pt idx="48">
                  <c:v>2025-10</c:v>
                </c:pt>
                <c:pt idx="49">
                  <c:v>2025-11</c:v>
                </c:pt>
                <c:pt idx="50">
                  <c:v>2025-12</c:v>
                </c:pt>
                <c:pt idx="51">
                  <c:v>2026-01</c:v>
                </c:pt>
                <c:pt idx="52">
                  <c:v>2026-02</c:v>
                </c:pt>
                <c:pt idx="53">
                  <c:v>2026-03</c:v>
                </c:pt>
                <c:pt idx="54">
                  <c:v>2026-04</c:v>
                </c:pt>
                <c:pt idx="55">
                  <c:v>2026-05</c:v>
                </c:pt>
                <c:pt idx="56">
                  <c:v>2026-06</c:v>
                </c:pt>
                <c:pt idx="57">
                  <c:v>2026-07</c:v>
                </c:pt>
                <c:pt idx="58">
                  <c:v>2026-08</c:v>
                </c:pt>
                <c:pt idx="59">
                  <c:v>2026-09</c:v>
                </c:pt>
                <c:pt idx="60">
                  <c:v>2026-10</c:v>
                </c:pt>
              </c:strCache>
            </c:strRef>
          </c:cat>
          <c:val>
            <c:numRef>
              <c:f>データ_株価!$N$5:$N$65</c:f>
              <c:numCache>
                <c:formatCode>#,##0.00;\▲#,##0.00</c:formatCode>
                <c:ptCount val="61"/>
                <c:pt idx="0">
                  <c:v>24.066751698015281</c:v>
                </c:pt>
                <c:pt idx="1">
                  <c:v>24.69447947589056</c:v>
                </c:pt>
                <c:pt idx="2">
                  <c:v>24.193838410873319</c:v>
                </c:pt>
                <c:pt idx="3">
                  <c:v>23.041079010675741</c:v>
                </c:pt>
                <c:pt idx="4">
                  <c:v>20.579903812731729</c:v>
                </c:pt>
                <c:pt idx="5">
                  <c:v>22.2130745432856</c:v>
                </c:pt>
                <c:pt idx="6">
                  <c:v>19.479405034324941</c:v>
                </c:pt>
                <c:pt idx="7">
                  <c:v>20.22425566439771</c:v>
                </c:pt>
                <c:pt idx="8">
                  <c:v>17.580090834838028</c:v>
                </c:pt>
                <c:pt idx="9">
                  <c:v>19.572209998867439</c:v>
                </c:pt>
                <c:pt idx="10">
                  <c:v>18.07549307591545</c:v>
                </c:pt>
                <c:pt idx="11">
                  <c:v>16.934354352220659</c:v>
                </c:pt>
                <c:pt idx="12">
                  <c:v>16.837526717275949</c:v>
                </c:pt>
                <c:pt idx="13">
                  <c:v>18.916143261411651</c:v>
                </c:pt>
                <c:pt idx="14">
                  <c:v>17.31865840887874</c:v>
                </c:pt>
                <c:pt idx="15">
                  <c:v>18.575472401872869</c:v>
                </c:pt>
                <c:pt idx="16">
                  <c:v>18.219978421704798</c:v>
                </c:pt>
                <c:pt idx="17">
                  <c:v>19.767268279153662</c:v>
                </c:pt>
                <c:pt idx="18">
                  <c:v>18.765431756256142</c:v>
                </c:pt>
                <c:pt idx="19">
                  <c:v>19.51515206316639</c:v>
                </c:pt>
                <c:pt idx="20">
                  <c:v>20.204265350444551</c:v>
                </c:pt>
                <c:pt idx="21">
                  <c:v>21.60864345738295</c:v>
                </c:pt>
                <c:pt idx="22">
                  <c:v>20.175269814957229</c:v>
                </c:pt>
                <c:pt idx="23">
                  <c:v>19.088834874770221</c:v>
                </c:pt>
                <c:pt idx="24">
                  <c:v>18.418935733701161</c:v>
                </c:pt>
                <c:pt idx="25">
                  <c:v>19.806745358478231</c:v>
                </c:pt>
                <c:pt idx="26">
                  <c:v>22.108950287142299</c:v>
                </c:pt>
                <c:pt idx="27">
                  <c:v>20.767833348532751</c:v>
                </c:pt>
                <c:pt idx="28">
                  <c:v>23.70113340383211</c:v>
                </c:pt>
                <c:pt idx="29">
                  <c:v>24.675638344740388</c:v>
                </c:pt>
                <c:pt idx="30">
                  <c:v>27.522620619180231</c:v>
                </c:pt>
                <c:pt idx="31">
                  <c:v>30.422776054108571</c:v>
                </c:pt>
                <c:pt idx="32">
                  <c:v>30.34789372531932</c:v>
                </c:pt>
                <c:pt idx="33">
                  <c:v>35.383680131700302</c:v>
                </c:pt>
                <c:pt idx="34">
                  <c:v>37.211804919772682</c:v>
                </c:pt>
                <c:pt idx="35">
                  <c:v>35.862848493787979</c:v>
                </c:pt>
                <c:pt idx="36">
                  <c:v>37.762082465076091</c:v>
                </c:pt>
                <c:pt idx="37">
                  <c:v>37.366170776820979</c:v>
                </c:pt>
                <c:pt idx="38">
                  <c:v>34.853158830266914</c:v>
                </c:pt>
                <c:pt idx="39">
                  <c:v>34.314126507500298</c:v>
                </c:pt>
                <c:pt idx="40">
                  <c:v>37.690385671762321</c:v>
                </c:pt>
                <c:pt idx="41">
                  <c:v>34.557691720815797</c:v>
                </c:pt>
                <c:pt idx="42">
                  <c:v>30.31250057798443</c:v>
                </c:pt>
                <c:pt idx="43">
                  <c:v>34.63068297415068</c:v>
                </c:pt>
                <c:pt idx="44">
                  <c:v>39.321968772194602</c:v>
                </c:pt>
                <c:pt idx="45">
                  <c:v>33.100547999742908</c:v>
                </c:pt>
                <c:pt idx="46">
                  <c:v>37.016452601012617</c:v>
                </c:pt>
                <c:pt idx="47">
                  <c:v>33.588664666826148</c:v>
                </c:pt>
                <c:pt idx="48">
                  <c:v>29.46350487479328</c:v>
                </c:pt>
                <c:pt idx="49">
                  <c:v>30.706205159208199</c:v>
                </c:pt>
                <c:pt idx="50">
                  <c:v>31.658760126489788</c:v>
                </c:pt>
                <c:pt idx="51">
                  <c:v>39.333942162729528</c:v>
                </c:pt>
                <c:pt idx="52">
                  <c:v>38.990808935726392</c:v>
                </c:pt>
                <c:pt idx="53">
                  <c:v>35.687499887803021</c:v>
                </c:pt>
                <c:pt idx="54">
                  <c:v>48.130134687031777</c:v>
                </c:pt>
                <c:pt idx="55">
                  <c:v>52.342464499277611</c:v>
                </c:pt>
                <c:pt idx="56">
                  <c:v>51.039384815790882</c:v>
                </c:pt>
                <c:pt idx="57">
                  <c:v>41.969557113299082</c:v>
                </c:pt>
                <c:pt idx="58">
                  <c:v>39.712329324521967</c:v>
                </c:pt>
                <c:pt idx="59">
                  <c:v>42.631658498917901</c:v>
                </c:pt>
                <c:pt idx="60">
                  <c:v>36.251621271076523</c:v>
                </c:pt>
              </c:numCache>
            </c:numRef>
          </c:val>
          <c:smooth val="0"/>
          <c:extLst>
            <c:ext xmlns:c16="http://schemas.microsoft.com/office/drawing/2014/chart" uri="{C3380CC4-5D6E-409C-BE32-E72D297353CC}">
              <c16:uniqueId val="{00000001-7168-4B5C-B8C3-7742745FED3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2"/>
        <c:noMultiLvlLbl val="1"/>
      </c:catAx>
      <c:valAx>
        <c:axId val="100"/>
        <c:scaling>
          <c:orientation val="minMax"/>
        </c:scaling>
        <c:delete val="0"/>
        <c:axPos val="l"/>
        <c:numFmt formatCode="0.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PBR（倍）</a:t>
            </a:r>
          </a:p>
        </c:rich>
      </c:tx>
      <c:overlay val="1"/>
    </c:title>
    <c:autoTitleDeleted val="0"/>
    <c:plotArea>
      <c:layout/>
      <c:lineChart>
        <c:grouping val="standard"/>
        <c:varyColors val="0"/>
        <c:ser>
          <c:idx val="0"/>
          <c:order val="0"/>
          <c:tx>
            <c:strRef>
              <c:f>データ_株価!$O$4</c:f>
              <c:strCache>
                <c:ptCount val="1"/>
                <c:pt idx="0">
                  <c:v>PBR</c:v>
                </c:pt>
              </c:strCache>
            </c:strRef>
          </c:tx>
          <c:spPr>
            <a:ln w="19050">
              <a:solidFill>
                <a:srgbClr val="1F3864"/>
              </a:solidFill>
              <a:prstDash val="solid"/>
            </a:ln>
          </c:spPr>
          <c:marker>
            <c:symbol val="none"/>
          </c:marker>
          <c:cat>
            <c:strRef>
              <c:f>データ_株価!$L$5:$L$65</c:f>
              <c:strCache>
                <c:ptCount val="61"/>
                <c:pt idx="0">
                  <c:v>2021-10</c:v>
                </c:pt>
                <c:pt idx="1">
                  <c:v>2021-11</c:v>
                </c:pt>
                <c:pt idx="2">
                  <c:v>2021-12</c:v>
                </c:pt>
                <c:pt idx="3">
                  <c:v>2022-01</c:v>
                </c:pt>
                <c:pt idx="4">
                  <c:v>2022-02</c:v>
                </c:pt>
                <c:pt idx="5">
                  <c:v>2022-03</c:v>
                </c:pt>
                <c:pt idx="6">
                  <c:v>2022-04</c:v>
                </c:pt>
                <c:pt idx="7">
                  <c:v>2022-05</c:v>
                </c:pt>
                <c:pt idx="8">
                  <c:v>2022-06</c:v>
                </c:pt>
                <c:pt idx="9">
                  <c:v>2022-07</c:v>
                </c:pt>
                <c:pt idx="10">
                  <c:v>2022-08</c:v>
                </c:pt>
                <c:pt idx="11">
                  <c:v>2022-09</c:v>
                </c:pt>
                <c:pt idx="12">
                  <c:v>2022-10</c:v>
                </c:pt>
                <c:pt idx="13">
                  <c:v>2022-11</c:v>
                </c:pt>
                <c:pt idx="14">
                  <c:v>2022-12</c:v>
                </c:pt>
                <c:pt idx="15">
                  <c:v>2023-01</c:v>
                </c:pt>
                <c:pt idx="16">
                  <c:v>2023-02</c:v>
                </c:pt>
                <c:pt idx="17">
                  <c:v>2023-03</c:v>
                </c:pt>
                <c:pt idx="18">
                  <c:v>2023-04</c:v>
                </c:pt>
                <c:pt idx="19">
                  <c:v>2023-05</c:v>
                </c:pt>
                <c:pt idx="20">
                  <c:v>2023-06</c:v>
                </c:pt>
                <c:pt idx="21">
                  <c:v>2023-07</c:v>
                </c:pt>
                <c:pt idx="22">
                  <c:v>2023-08</c:v>
                </c:pt>
                <c:pt idx="23">
                  <c:v>2023-09</c:v>
                </c:pt>
                <c:pt idx="24">
                  <c:v>2023-10</c:v>
                </c:pt>
                <c:pt idx="25">
                  <c:v>2023-11</c:v>
                </c:pt>
                <c:pt idx="26">
                  <c:v>2023-12</c:v>
                </c:pt>
                <c:pt idx="27">
                  <c:v>2024-01</c:v>
                </c:pt>
                <c:pt idx="28">
                  <c:v>2024-02</c:v>
                </c:pt>
                <c:pt idx="29">
                  <c:v>2024-03</c:v>
                </c:pt>
                <c:pt idx="30">
                  <c:v>2024-04</c:v>
                </c:pt>
                <c:pt idx="31">
                  <c:v>2024-05</c:v>
                </c:pt>
                <c:pt idx="32">
                  <c:v>2024-06</c:v>
                </c:pt>
                <c:pt idx="33">
                  <c:v>2024-07</c:v>
                </c:pt>
                <c:pt idx="34">
                  <c:v>2024-08</c:v>
                </c:pt>
                <c:pt idx="35">
                  <c:v>2024-09</c:v>
                </c:pt>
                <c:pt idx="36">
                  <c:v>2024-10</c:v>
                </c:pt>
                <c:pt idx="37">
                  <c:v>2024-11</c:v>
                </c:pt>
                <c:pt idx="38">
                  <c:v>2024-12</c:v>
                </c:pt>
                <c:pt idx="39">
                  <c:v>2025-01</c:v>
                </c:pt>
                <c:pt idx="40">
                  <c:v>2025-02</c:v>
                </c:pt>
                <c:pt idx="41">
                  <c:v>2025-03</c:v>
                </c:pt>
                <c:pt idx="42">
                  <c:v>2025-04</c:v>
                </c:pt>
                <c:pt idx="43">
                  <c:v>2025-05</c:v>
                </c:pt>
                <c:pt idx="44">
                  <c:v>2025-06</c:v>
                </c:pt>
                <c:pt idx="45">
                  <c:v>2025-07</c:v>
                </c:pt>
                <c:pt idx="46">
                  <c:v>2025-08</c:v>
                </c:pt>
                <c:pt idx="47">
                  <c:v>2025-09</c:v>
                </c:pt>
                <c:pt idx="48">
                  <c:v>2025-10</c:v>
                </c:pt>
                <c:pt idx="49">
                  <c:v>2025-11</c:v>
                </c:pt>
                <c:pt idx="50">
                  <c:v>2025-12</c:v>
                </c:pt>
                <c:pt idx="51">
                  <c:v>2026-01</c:v>
                </c:pt>
                <c:pt idx="52">
                  <c:v>2026-02</c:v>
                </c:pt>
                <c:pt idx="53">
                  <c:v>2026-03</c:v>
                </c:pt>
                <c:pt idx="54">
                  <c:v>2026-04</c:v>
                </c:pt>
                <c:pt idx="55">
                  <c:v>2026-05</c:v>
                </c:pt>
                <c:pt idx="56">
                  <c:v>2026-06</c:v>
                </c:pt>
                <c:pt idx="57">
                  <c:v>2026-07</c:v>
                </c:pt>
                <c:pt idx="58">
                  <c:v>2026-08</c:v>
                </c:pt>
                <c:pt idx="59">
                  <c:v>2026-09</c:v>
                </c:pt>
                <c:pt idx="60">
                  <c:v>2026-10</c:v>
                </c:pt>
              </c:strCache>
            </c:strRef>
          </c:cat>
          <c:val>
            <c:numRef>
              <c:f>データ_株価!$O$5:$O$65</c:f>
              <c:numCache>
                <c:formatCode>#,##0.00;\▲#,##0.00</c:formatCode>
                <c:ptCount val="61"/>
                <c:pt idx="0">
                  <c:v>14.249251859586129</c:v>
                </c:pt>
                <c:pt idx="1">
                  <c:v>14.62091195391206</c:v>
                </c:pt>
                <c:pt idx="2">
                  <c:v>14.32449635465732</c:v>
                </c:pt>
                <c:pt idx="3">
                  <c:v>13.64197969295614</c:v>
                </c:pt>
                <c:pt idx="4">
                  <c:v>11.774827131371451</c:v>
                </c:pt>
                <c:pt idx="5">
                  <c:v>12.70924855545948</c:v>
                </c:pt>
                <c:pt idx="6">
                  <c:v>11.20020597212314</c:v>
                </c:pt>
                <c:pt idx="7">
                  <c:v>11.628477803864421</c:v>
                </c:pt>
                <c:pt idx="8">
                  <c:v>10.10814437154824</c:v>
                </c:pt>
                <c:pt idx="9">
                  <c:v>11.59900013959461</c:v>
                </c:pt>
                <c:pt idx="10">
                  <c:v>10.71200680571671</c:v>
                </c:pt>
                <c:pt idx="11">
                  <c:v>10.03573835079013</c:v>
                </c:pt>
                <c:pt idx="12">
                  <c:v>10.04916581857465</c:v>
                </c:pt>
                <c:pt idx="13">
                  <c:v>11.28974958577486</c:v>
                </c:pt>
                <c:pt idx="14">
                  <c:v>10.336320353244339</c:v>
                </c:pt>
                <c:pt idx="15">
                  <c:v>11.086426495956159</c:v>
                </c:pt>
                <c:pt idx="16">
                  <c:v>10.65850180333603</c:v>
                </c:pt>
                <c:pt idx="17">
                  <c:v>11.56365061055175</c:v>
                </c:pt>
                <c:pt idx="18">
                  <c:v>9.9560272227553774</c:v>
                </c:pt>
                <c:pt idx="19">
                  <c:v>10.35379242645566</c:v>
                </c:pt>
                <c:pt idx="20">
                  <c:v>10.71940248738146</c:v>
                </c:pt>
                <c:pt idx="21">
                  <c:v>10.25307019196989</c:v>
                </c:pt>
                <c:pt idx="22">
                  <c:v>9.5729497301697197</c:v>
                </c:pt>
                <c:pt idx="23">
                  <c:v>9.0574479716851943</c:v>
                </c:pt>
                <c:pt idx="24">
                  <c:v>7.7550392795391687</c:v>
                </c:pt>
                <c:pt idx="25">
                  <c:v>8.3393574132398331</c:v>
                </c:pt>
                <c:pt idx="26">
                  <c:v>9.3086690992929864</c:v>
                </c:pt>
                <c:pt idx="27">
                  <c:v>8.7440102781895082</c:v>
                </c:pt>
                <c:pt idx="28">
                  <c:v>9.0046225950195566</c:v>
                </c:pt>
                <c:pt idx="29">
                  <c:v>9.3748601300921273</c:v>
                </c:pt>
                <c:pt idx="30">
                  <c:v>9.4581203868678916</c:v>
                </c:pt>
                <c:pt idx="31">
                  <c:v>10.454755831715969</c:v>
                </c:pt>
                <c:pt idx="32">
                  <c:v>10.429022596122691</c:v>
                </c:pt>
                <c:pt idx="33">
                  <c:v>10.8102646386612</c:v>
                </c:pt>
                <c:pt idx="34">
                  <c:v>11.368785196104669</c:v>
                </c:pt>
                <c:pt idx="35">
                  <c:v>10.956658026272709</c:v>
                </c:pt>
                <c:pt idx="36">
                  <c:v>10.73233325462572</c:v>
                </c:pt>
                <c:pt idx="37">
                  <c:v>10.61981148939509</c:v>
                </c:pt>
                <c:pt idx="38">
                  <c:v>9.9055902409187233</c:v>
                </c:pt>
                <c:pt idx="39">
                  <c:v>9.752392267043831</c:v>
                </c:pt>
                <c:pt idx="40">
                  <c:v>10.55529574554212</c:v>
                </c:pt>
                <c:pt idx="41">
                  <c:v>9.6779762237818279</c:v>
                </c:pt>
                <c:pt idx="42">
                  <c:v>8.8626696950132118</c:v>
                </c:pt>
                <c:pt idx="43">
                  <c:v>10.125205729003021</c:v>
                </c:pt>
                <c:pt idx="44">
                  <c:v>11.496828514328969</c:v>
                </c:pt>
                <c:pt idx="45">
                  <c:v>10.035260232857819</c:v>
                </c:pt>
                <c:pt idx="46">
                  <c:v>11.222464798809179</c:v>
                </c:pt>
                <c:pt idx="47">
                  <c:v>10.183245026892459</c:v>
                </c:pt>
                <c:pt idx="48">
                  <c:v>8.8233763703358576</c:v>
                </c:pt>
                <c:pt idx="49">
                  <c:v>9.1955253177035168</c:v>
                </c:pt>
                <c:pt idx="50">
                  <c:v>9.4807850322376463</c:v>
                </c:pt>
                <c:pt idx="51">
                  <c:v>11.77925631406131</c:v>
                </c:pt>
                <c:pt idx="52">
                  <c:v>11.829447257854429</c:v>
                </c:pt>
                <c:pt idx="53">
                  <c:v>10.82725414554384</c:v>
                </c:pt>
                <c:pt idx="54">
                  <c:v>15.246684317188921</c:v>
                </c:pt>
                <c:pt idx="55">
                  <c:v>16.581067927474152</c:v>
                </c:pt>
                <c:pt idx="56">
                  <c:v>16.168277797060959</c:v>
                </c:pt>
                <c:pt idx="57">
                  <c:v>13.984500917376881</c:v>
                </c:pt>
                <c:pt idx="58">
                  <c:v>13.23237946902165</c:v>
                </c:pt>
                <c:pt idx="59">
                  <c:v>14.205116956035271</c:v>
                </c:pt>
                <c:pt idx="60">
                  <c:v>13.30480730972114</c:v>
                </c:pt>
              </c:numCache>
            </c:numRef>
          </c:val>
          <c:smooth val="0"/>
          <c:extLst>
            <c:ext xmlns:c16="http://schemas.microsoft.com/office/drawing/2014/chart" uri="{C3380CC4-5D6E-409C-BE32-E72D297353CC}">
              <c16:uniqueId val="{00000000-73A8-4217-B6CA-39B7EDFE17A9}"/>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2"/>
        <c:noMultiLvlLbl val="1"/>
      </c:catAx>
      <c:valAx>
        <c:axId val="100"/>
        <c:scaling>
          <c:orientation val="minMax"/>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13"/>
  <c:chart>
    <c:title>
      <c:tx>
        <c:rich>
          <a:bodyPr/>
          <a:lstStyle/>
          <a:p>
            <a:pPr>
              <a:defRPr/>
            </a:pPr>
            <a:r>
              <a:t>ポジショニング（横：売上高 前年同期比（%、各社の直近四半期）／縦：売上総利益率（%、GAAP／IFRS、各社の直近四半期））</a:t>
            </a:r>
          </a:p>
        </c:rich>
      </c:tx>
      <c:overlay val="1"/>
    </c:title>
    <c:autoTitleDeleted val="0"/>
    <c:plotArea>
      <c:layout/>
      <c:scatterChart>
        <c:scatterStyle val="lineMarker"/>
        <c:varyColors val="1"/>
        <c:ser>
          <c:idx val="0"/>
          <c:order val="0"/>
          <c:tx>
            <c:v>TXN（2026年7〜9月期）</c:v>
          </c:tx>
          <c:spPr>
            <a:ln>
              <a:noFill/>
              <a:prstDash val="solid"/>
            </a:ln>
          </c:spPr>
          <c:marker>
            <c:symbol val="circle"/>
            <c:size val="9"/>
            <c:spPr>
              <a:solidFill>
                <a:srgbClr val="1F3864"/>
              </a:solidFill>
              <a:ln>
                <a:solidFill>
                  <a:srgbClr val="1F3864"/>
                </a:solidFill>
                <a:prstDash val="solid"/>
              </a:ln>
            </c:spPr>
          </c:marker>
          <c:xVal>
            <c:numRef>
              <c:f>データ_類似企業!$R$5</c:f>
              <c:numCache>
                <c:formatCode>General</c:formatCode>
                <c:ptCount val="1"/>
                <c:pt idx="0">
                  <c:v>28</c:v>
                </c:pt>
              </c:numCache>
            </c:numRef>
          </c:xVal>
          <c:yVal>
            <c:numRef>
              <c:f>データ_類似企業!$S$5</c:f>
              <c:numCache>
                <c:formatCode>General</c:formatCode>
                <c:ptCount val="1"/>
                <c:pt idx="0">
                  <c:v>64.2</c:v>
                </c:pt>
              </c:numCache>
            </c:numRef>
          </c:yVal>
          <c:smooth val="1"/>
          <c:extLst>
            <c:ext xmlns:c16="http://schemas.microsoft.com/office/drawing/2014/chart" uri="{C3380CC4-5D6E-409C-BE32-E72D297353CC}">
              <c16:uniqueId val="{00000000-83F3-4185-89BA-3EA4DE7BB2EB}"/>
            </c:ext>
          </c:extLst>
        </c:ser>
        <c:ser>
          <c:idx val="1"/>
          <c:order val="1"/>
          <c:tx>
            <c:v>ADI（FQ3'26、〜2026/8/1）</c:v>
          </c:tx>
          <c:spPr>
            <a:ln>
              <a:noFill/>
              <a:prstDash val="solid"/>
            </a:ln>
          </c:spPr>
          <c:marker>
            <c:symbol val="circle"/>
            <c:size val="9"/>
            <c:spPr>
              <a:solidFill>
                <a:srgbClr val="A6A6A6"/>
              </a:solidFill>
              <a:ln>
                <a:solidFill>
                  <a:srgbClr val="A6A6A6"/>
                </a:solidFill>
                <a:prstDash val="solid"/>
              </a:ln>
            </c:spPr>
          </c:marker>
          <c:xVal>
            <c:numRef>
              <c:f>データ_類似企業!$R$6</c:f>
              <c:numCache>
                <c:formatCode>General</c:formatCode>
                <c:ptCount val="1"/>
                <c:pt idx="0">
                  <c:v>40</c:v>
                </c:pt>
              </c:numCache>
            </c:numRef>
          </c:xVal>
          <c:yVal>
            <c:numRef>
              <c:f>データ_類似企業!$S$6</c:f>
              <c:numCache>
                <c:formatCode>General</c:formatCode>
                <c:ptCount val="1"/>
                <c:pt idx="0">
                  <c:v>67.3</c:v>
                </c:pt>
              </c:numCache>
            </c:numRef>
          </c:yVal>
          <c:smooth val="1"/>
          <c:extLst>
            <c:ext xmlns:c16="http://schemas.microsoft.com/office/drawing/2014/chart" uri="{C3380CC4-5D6E-409C-BE32-E72D297353CC}">
              <c16:uniqueId val="{00000001-83F3-4185-89BA-3EA4DE7BB2EB}"/>
            </c:ext>
          </c:extLst>
        </c:ser>
        <c:ser>
          <c:idx val="2"/>
          <c:order val="2"/>
          <c:tx>
            <c:v>MCHP（FQ1'27、〜2026/6/30）</c:v>
          </c:tx>
          <c:spPr>
            <a:ln>
              <a:noFill/>
              <a:prstDash val="solid"/>
            </a:ln>
          </c:spPr>
          <c:marker>
            <c:symbol val="circle"/>
            <c:size val="9"/>
            <c:spPr>
              <a:solidFill>
                <a:srgbClr val="9DC3E6"/>
              </a:solidFill>
              <a:ln>
                <a:solidFill>
                  <a:srgbClr val="9DC3E6"/>
                </a:solidFill>
                <a:prstDash val="solid"/>
              </a:ln>
            </c:spPr>
          </c:marker>
          <c:xVal>
            <c:numRef>
              <c:f>データ_類似企業!$R$7</c:f>
              <c:numCache>
                <c:formatCode>General</c:formatCode>
                <c:ptCount val="1"/>
                <c:pt idx="0">
                  <c:v>38</c:v>
                </c:pt>
              </c:numCache>
            </c:numRef>
          </c:xVal>
          <c:yVal>
            <c:numRef>
              <c:f>データ_類似企業!$S$7</c:f>
              <c:numCache>
                <c:formatCode>General</c:formatCode>
                <c:ptCount val="1"/>
                <c:pt idx="0">
                  <c:v>63.2</c:v>
                </c:pt>
              </c:numCache>
            </c:numRef>
          </c:yVal>
          <c:smooth val="1"/>
          <c:extLst>
            <c:ext xmlns:c16="http://schemas.microsoft.com/office/drawing/2014/chart" uri="{C3380CC4-5D6E-409C-BE32-E72D297353CC}">
              <c16:uniqueId val="{00000002-83F3-4185-89BA-3EA4DE7BB2EB}"/>
            </c:ext>
          </c:extLst>
        </c:ser>
        <c:ser>
          <c:idx val="3"/>
          <c:order val="3"/>
          <c:tx>
            <c:v>NXPI（2026年4〜6月期）</c:v>
          </c:tx>
          <c:spPr>
            <a:ln>
              <a:noFill/>
              <a:prstDash val="solid"/>
            </a:ln>
          </c:spPr>
          <c:marker>
            <c:symbol val="circle"/>
            <c:size val="9"/>
            <c:spPr>
              <a:solidFill>
                <a:srgbClr val="A6A6A6"/>
              </a:solidFill>
              <a:ln>
                <a:solidFill>
                  <a:srgbClr val="A6A6A6"/>
                </a:solidFill>
                <a:prstDash val="solid"/>
              </a:ln>
            </c:spPr>
          </c:marker>
          <c:xVal>
            <c:numRef>
              <c:f>データ_類似企業!$R$8</c:f>
              <c:numCache>
                <c:formatCode>General</c:formatCode>
                <c:ptCount val="1"/>
                <c:pt idx="0">
                  <c:v>19</c:v>
                </c:pt>
              </c:numCache>
            </c:numRef>
          </c:xVal>
          <c:yVal>
            <c:numRef>
              <c:f>データ_類似企業!$S$8</c:f>
              <c:numCache>
                <c:formatCode>General</c:formatCode>
                <c:ptCount val="1"/>
                <c:pt idx="0">
                  <c:v>57.3</c:v>
                </c:pt>
              </c:numCache>
            </c:numRef>
          </c:yVal>
          <c:smooth val="1"/>
          <c:extLst>
            <c:ext xmlns:c16="http://schemas.microsoft.com/office/drawing/2014/chart" uri="{C3380CC4-5D6E-409C-BE32-E72D297353CC}">
              <c16:uniqueId val="{00000003-83F3-4185-89BA-3EA4DE7BB2EB}"/>
            </c:ext>
          </c:extLst>
        </c:ser>
        <c:ser>
          <c:idx val="4"/>
          <c:order val="4"/>
          <c:tx>
            <c:v>STM（2026年4〜6月期）</c:v>
          </c:tx>
          <c:spPr>
            <a:ln>
              <a:noFill/>
              <a:prstDash val="solid"/>
            </a:ln>
          </c:spPr>
          <c:marker>
            <c:symbol val="circle"/>
            <c:size val="9"/>
            <c:spPr>
              <a:solidFill>
                <a:srgbClr val="9DC3E6"/>
              </a:solidFill>
              <a:ln>
                <a:solidFill>
                  <a:srgbClr val="9DC3E6"/>
                </a:solidFill>
                <a:prstDash val="solid"/>
              </a:ln>
            </c:spPr>
          </c:marker>
          <c:xVal>
            <c:numRef>
              <c:f>データ_類似企業!$R$9</c:f>
              <c:numCache>
                <c:formatCode>General</c:formatCode>
                <c:ptCount val="1"/>
                <c:pt idx="0">
                  <c:v>26</c:v>
                </c:pt>
              </c:numCache>
            </c:numRef>
          </c:xVal>
          <c:yVal>
            <c:numRef>
              <c:f>データ_類似企業!$S$9</c:f>
              <c:numCache>
                <c:formatCode>General</c:formatCode>
                <c:ptCount val="1"/>
                <c:pt idx="0">
                  <c:v>34.799999999999997</c:v>
                </c:pt>
              </c:numCache>
            </c:numRef>
          </c:yVal>
          <c:smooth val="1"/>
          <c:extLst>
            <c:ext xmlns:c16="http://schemas.microsoft.com/office/drawing/2014/chart" uri="{C3380CC4-5D6E-409C-BE32-E72D297353CC}">
              <c16:uniqueId val="{00000004-83F3-4185-89BA-3EA4DE7BB2EB}"/>
            </c:ext>
          </c:extLst>
        </c:ser>
        <c:ser>
          <c:idx val="5"/>
          <c:order val="5"/>
          <c:tx>
            <c:v>ON（2026年4〜6月期）</c:v>
          </c:tx>
          <c:spPr>
            <a:ln>
              <a:noFill/>
              <a:prstDash val="solid"/>
            </a:ln>
          </c:spPr>
          <c:marker>
            <c:symbol val="circle"/>
            <c:size val="9"/>
            <c:spPr>
              <a:solidFill>
                <a:srgbClr val="A6A6A6"/>
              </a:solidFill>
              <a:ln>
                <a:solidFill>
                  <a:srgbClr val="A6A6A6"/>
                </a:solidFill>
                <a:prstDash val="solid"/>
              </a:ln>
            </c:spPr>
          </c:marker>
          <c:xVal>
            <c:numRef>
              <c:f>データ_類似企業!$R$10</c:f>
              <c:numCache>
                <c:formatCode>General</c:formatCode>
                <c:ptCount val="1"/>
                <c:pt idx="0">
                  <c:v>9</c:v>
                </c:pt>
              </c:numCache>
            </c:numRef>
          </c:xVal>
          <c:yVal>
            <c:numRef>
              <c:f>データ_類似企業!$S$10</c:f>
              <c:numCache>
                <c:formatCode>General</c:formatCode>
                <c:ptCount val="1"/>
                <c:pt idx="0">
                  <c:v>38.4</c:v>
                </c:pt>
              </c:numCache>
            </c:numRef>
          </c:yVal>
          <c:smooth val="1"/>
          <c:extLst>
            <c:ext xmlns:c16="http://schemas.microsoft.com/office/drawing/2014/chart" uri="{C3380CC4-5D6E-409C-BE32-E72D297353CC}">
              <c16:uniqueId val="{00000005-83F3-4185-89BA-3EA4DE7BB2EB}"/>
            </c:ext>
          </c:extLst>
        </c:ser>
        <c:ser>
          <c:idx val="6"/>
          <c:order val="6"/>
          <c:tx>
            <c:v>MPWR（2026年4〜6月期）</c:v>
          </c:tx>
          <c:spPr>
            <a:ln>
              <a:noFill/>
              <a:prstDash val="solid"/>
            </a:ln>
          </c:spPr>
          <c:marker>
            <c:symbol val="circle"/>
            <c:size val="9"/>
            <c:spPr>
              <a:solidFill>
                <a:srgbClr val="9DC3E6"/>
              </a:solidFill>
              <a:ln>
                <a:solidFill>
                  <a:srgbClr val="9DC3E6"/>
                </a:solidFill>
                <a:prstDash val="solid"/>
              </a:ln>
            </c:spPr>
          </c:marker>
          <c:xVal>
            <c:numRef>
              <c:f>データ_類似企業!$R$11</c:f>
              <c:numCache>
                <c:formatCode>General</c:formatCode>
                <c:ptCount val="1"/>
                <c:pt idx="0">
                  <c:v>47.6</c:v>
                </c:pt>
              </c:numCache>
            </c:numRef>
          </c:xVal>
          <c:yVal>
            <c:numRef>
              <c:f>データ_類似企業!$S$11</c:f>
              <c:numCache>
                <c:formatCode>General</c:formatCode>
                <c:ptCount val="1"/>
                <c:pt idx="0">
                  <c:v>55.2</c:v>
                </c:pt>
              </c:numCache>
            </c:numRef>
          </c:yVal>
          <c:smooth val="1"/>
          <c:extLst>
            <c:ext xmlns:c16="http://schemas.microsoft.com/office/drawing/2014/chart" uri="{C3380CC4-5D6E-409C-BE32-E72D297353CC}">
              <c16:uniqueId val="{00000006-83F3-4185-89BA-3EA4DE7BB2EB}"/>
            </c:ext>
          </c:extLst>
        </c:ser>
        <c:ser>
          <c:idx val="7"/>
          <c:order val="7"/>
          <c:tx>
            <c:v>参考：Infineon（FY26 Q3、二次）</c:v>
          </c:tx>
          <c:spPr>
            <a:ln>
              <a:noFill/>
              <a:prstDash val="solid"/>
            </a:ln>
          </c:spPr>
          <c:marker>
            <c:symbol val="circle"/>
            <c:size val="9"/>
            <c:spPr>
              <a:solidFill>
                <a:srgbClr val="A6A6A6"/>
              </a:solidFill>
              <a:ln>
                <a:solidFill>
                  <a:srgbClr val="A6A6A6"/>
                </a:solidFill>
                <a:prstDash val="solid"/>
              </a:ln>
            </c:spPr>
          </c:marker>
          <c:xVal>
            <c:numRef>
              <c:f>データ_類似企業!$R$12</c:f>
              <c:numCache>
                <c:formatCode>General</c:formatCode>
                <c:ptCount val="1"/>
                <c:pt idx="0">
                  <c:v>13</c:v>
                </c:pt>
              </c:numCache>
            </c:numRef>
          </c:xVal>
          <c:yVal>
            <c:numRef>
              <c:f>データ_類似企業!$S$12</c:f>
              <c:numCache>
                <c:formatCode>General</c:formatCode>
                <c:ptCount val="1"/>
                <c:pt idx="0">
                  <c:v>40.799999999999997</c:v>
                </c:pt>
              </c:numCache>
            </c:numRef>
          </c:yVal>
          <c:smooth val="1"/>
          <c:extLst>
            <c:ext xmlns:c16="http://schemas.microsoft.com/office/drawing/2014/chart" uri="{C3380CC4-5D6E-409C-BE32-E72D297353CC}">
              <c16:uniqueId val="{00000007-83F3-4185-89BA-3EA4DE7BB2EB}"/>
            </c:ext>
          </c:extLst>
        </c:ser>
        <c:ser>
          <c:idx val="8"/>
          <c:order val="8"/>
          <c:tx>
            <c:v>参考：Renesas（2026年4〜6月期、二次）</c:v>
          </c:tx>
          <c:spPr>
            <a:ln>
              <a:noFill/>
              <a:prstDash val="solid"/>
            </a:ln>
          </c:spPr>
          <c:marker>
            <c:symbol val="circle"/>
            <c:size val="9"/>
            <c:spPr>
              <a:solidFill>
                <a:srgbClr val="9DC3E6"/>
              </a:solidFill>
              <a:ln>
                <a:solidFill>
                  <a:srgbClr val="9DC3E6"/>
                </a:solidFill>
                <a:prstDash val="solid"/>
              </a:ln>
            </c:spPr>
          </c:marker>
          <c:xVal>
            <c:numRef>
              <c:f>データ_類似企業!$R$13</c:f>
              <c:numCache>
                <c:formatCode>General</c:formatCode>
                <c:ptCount val="1"/>
                <c:pt idx="0">
                  <c:v>24.8</c:v>
                </c:pt>
              </c:numCache>
            </c:numRef>
          </c:xVal>
          <c:yVal>
            <c:numRef>
              <c:f>データ_類似企業!$S$13</c:f>
              <c:numCache>
                <c:formatCode>General</c:formatCode>
                <c:ptCount val="1"/>
                <c:pt idx="0">
                  <c:v>58.6</c:v>
                </c:pt>
              </c:numCache>
            </c:numRef>
          </c:yVal>
          <c:smooth val="1"/>
          <c:extLst>
            <c:ext xmlns:c16="http://schemas.microsoft.com/office/drawing/2014/chart" uri="{C3380CC4-5D6E-409C-BE32-E72D297353CC}">
              <c16:uniqueId val="{00000008-83F3-4185-89BA-3EA4DE7BB2EB}"/>
            </c:ext>
          </c:extLst>
        </c:ser>
        <c:dLbls>
          <c:showLegendKey val="0"/>
          <c:showVal val="0"/>
          <c:showCatName val="0"/>
          <c:showSerName val="0"/>
          <c:showPercent val="0"/>
          <c:showBubbleSize val="0"/>
        </c:dLbls>
        <c:axId val="10"/>
        <c:axId val="20"/>
      </c:scatterChart>
      <c:valAx>
        <c:axId val="10"/>
        <c:scaling>
          <c:orientation val="minMax"/>
        </c:scaling>
        <c:delete val="0"/>
        <c:axPos val="b"/>
        <c:numFmt formatCode="General" sourceLinked="1"/>
        <c:majorTickMark val="none"/>
        <c:minorTickMark val="none"/>
        <c:tickLblPos val="nextTo"/>
        <c:crossAx val="20"/>
        <c:crosses val="autoZero"/>
        <c:crossBetween val="midCat"/>
      </c:valAx>
      <c:valAx>
        <c:axId val="20"/>
        <c:scaling>
          <c:orientation val="minMax"/>
        </c:scaling>
        <c:delete val="0"/>
        <c:axPos val="l"/>
        <c:numFmt formatCode="General" sourceLinked="1"/>
        <c:majorTickMark val="none"/>
        <c:minorTickMark val="none"/>
        <c:tickLblPos val="nextTo"/>
        <c:crossAx val="10"/>
        <c:crosses val="autoZero"/>
        <c:crossBetween val="midCat"/>
      </c:val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セグメント別売上構成比（%）</a:t>
            </a:r>
          </a:p>
        </c:rich>
      </c:tx>
      <c:overlay val="0"/>
    </c:title>
    <c:autoTitleDeleted val="0"/>
    <c:plotArea>
      <c:layout/>
      <c:pieChart>
        <c:varyColors val="1"/>
        <c:ser>
          <c:idx val="0"/>
          <c:order val="0"/>
          <c:tx>
            <c:strRef>
              <c:f>データ_セグメント!$C$4</c:f>
              <c:strCache>
                <c:ptCount val="1"/>
                <c:pt idx="0">
                  <c:v>売上構成比</c:v>
                </c:pt>
              </c:strCache>
            </c:strRef>
          </c:tx>
          <c:spPr>
            <a:ln>
              <a:solidFill>
                <a:srgbClr val="FFFFFF"/>
              </a:solidFill>
              <a:prstDash val="solid"/>
            </a:ln>
          </c:spPr>
          <c:dPt>
            <c:idx val="0"/>
            <c:bubble3D val="0"/>
            <c:spPr>
              <a:solidFill>
                <a:srgbClr val="1F3864"/>
              </a:solidFill>
              <a:ln>
                <a:solidFill>
                  <a:srgbClr val="FFFFFF"/>
                </a:solidFill>
                <a:prstDash val="solid"/>
              </a:ln>
            </c:spPr>
            <c:extLst>
              <c:ext xmlns:c16="http://schemas.microsoft.com/office/drawing/2014/chart" uri="{C3380CC4-5D6E-409C-BE32-E72D297353CC}">
                <c16:uniqueId val="{00000001-6D93-4A98-B2CB-4429F96C137E}"/>
              </c:ext>
            </c:extLst>
          </c:dPt>
          <c:dPt>
            <c:idx val="1"/>
            <c:bubble3D val="0"/>
            <c:spPr>
              <a:solidFill>
                <a:srgbClr val="A6A6A6"/>
              </a:solidFill>
              <a:ln>
                <a:solidFill>
                  <a:srgbClr val="FFFFFF"/>
                </a:solidFill>
                <a:prstDash val="solid"/>
              </a:ln>
            </c:spPr>
            <c:extLst>
              <c:ext xmlns:c16="http://schemas.microsoft.com/office/drawing/2014/chart" uri="{C3380CC4-5D6E-409C-BE32-E72D297353CC}">
                <c16:uniqueId val="{00000003-6D93-4A98-B2CB-4429F96C137E}"/>
              </c:ext>
            </c:extLst>
          </c:dPt>
          <c:dPt>
            <c:idx val="2"/>
            <c:bubble3D val="0"/>
            <c:spPr>
              <a:solidFill>
                <a:srgbClr val="9DC3E6"/>
              </a:solidFill>
              <a:ln>
                <a:solidFill>
                  <a:srgbClr val="FFFFFF"/>
                </a:solidFill>
                <a:prstDash val="solid"/>
              </a:ln>
            </c:spPr>
            <c:extLst>
              <c:ext xmlns:c16="http://schemas.microsoft.com/office/drawing/2014/chart" uri="{C3380CC4-5D6E-409C-BE32-E72D297353CC}">
                <c16:uniqueId val="{00000005-6D93-4A98-B2CB-4429F96C137E}"/>
              </c:ext>
            </c:extLst>
          </c:dPt>
          <c:dLbls>
            <c:spPr>
              <a:noFill/>
              <a:ln>
                <a:noFill/>
              </a:ln>
              <a:effectLst/>
            </c:spPr>
            <c:dLblPos val="outEnd"/>
            <c:showLegendKey val="0"/>
            <c:showVal val="1"/>
            <c:showCatName val="1"/>
            <c:showSerName val="0"/>
            <c:showPercent val="0"/>
            <c:showBubbleSize val="1"/>
            <c:separator>
</c:separator>
            <c:showLeaderLines val="1"/>
            <c:extLst>
              <c:ext xmlns:c15="http://schemas.microsoft.com/office/drawing/2012/chart" uri="{CE6537A1-D6FC-4f65-9D91-7224C49458BB}"/>
            </c:extLst>
          </c:dLbls>
          <c:cat>
            <c:strRef>
              <c:f>データ_セグメント!$I$5:$I$7</c:f>
              <c:strCache>
                <c:ptCount val="3"/>
                <c:pt idx="0">
                  <c:v>Analog</c:v>
                </c:pt>
                <c:pt idx="1">
                  <c:v>Embedded Processing</c:v>
                </c:pt>
                <c:pt idx="2">
                  <c:v>Other</c:v>
                </c:pt>
              </c:strCache>
            </c:strRef>
          </c:cat>
          <c:val>
            <c:numRef>
              <c:f>データ_セグメント!$C$5:$C$7</c:f>
              <c:numCache>
                <c:formatCode>0.0%;\▲0.0%</c:formatCode>
                <c:ptCount val="3"/>
                <c:pt idx="0">
                  <c:v>0.79200000000000004</c:v>
                </c:pt>
                <c:pt idx="1">
                  <c:v>0.153</c:v>
                </c:pt>
                <c:pt idx="2">
                  <c:v>5.5E-2</c:v>
                </c:pt>
              </c:numCache>
            </c:numRef>
          </c:val>
          <c:extLst>
            <c:ext xmlns:c16="http://schemas.microsoft.com/office/drawing/2014/chart" uri="{C3380CC4-5D6E-409C-BE32-E72D297353CC}">
              <c16:uniqueId val="{00000006-6D93-4A98-B2CB-4429F96C137E}"/>
            </c:ext>
          </c:extLst>
        </c:ser>
        <c:dLbls>
          <c:showLegendKey val="0"/>
          <c:showVal val="0"/>
          <c:showCatName val="0"/>
          <c:showSerName val="0"/>
          <c:showPercent val="0"/>
          <c:showBubbleSize val="0"/>
          <c:showLeaderLines val="1"/>
        </c:dLbls>
        <c:firstSliceAng val="45"/>
      </c:pieChart>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セグメント別利益構成比（%）</a:t>
            </a:r>
          </a:p>
        </c:rich>
      </c:tx>
      <c:overlay val="0"/>
    </c:title>
    <c:autoTitleDeleted val="0"/>
    <c:plotArea>
      <c:layout/>
      <c:barChart>
        <c:barDir val="bar"/>
        <c:grouping val="clustered"/>
        <c:varyColors val="0"/>
        <c:ser>
          <c:idx val="0"/>
          <c:order val="0"/>
          <c:tx>
            <c:strRef>
              <c:f>データ_セグメント!$G$4</c:f>
              <c:strCache>
                <c:ptCount val="1"/>
                <c:pt idx="0">
                  <c:v>利益構成比</c:v>
                </c:pt>
              </c:strCache>
            </c:strRef>
          </c:tx>
          <c:spPr>
            <a:solidFill>
              <a:srgbClr val="1F3864"/>
            </a:solidFill>
            <a:ln>
              <a:solidFill>
                <a:srgbClr val="1F3864"/>
              </a:solidFill>
              <a:prstDash val="solid"/>
            </a:ln>
          </c:spPr>
          <c:invertIfNegative val="0"/>
          <c:cat>
            <c:strRef>
              <c:f>データ_セグメント!$I$5:$I$7</c:f>
              <c:strCache>
                <c:ptCount val="3"/>
                <c:pt idx="0">
                  <c:v>Analog</c:v>
                </c:pt>
                <c:pt idx="1">
                  <c:v>Embedded Processing</c:v>
                </c:pt>
                <c:pt idx="2">
                  <c:v>Other</c:v>
                </c:pt>
              </c:strCache>
            </c:strRef>
          </c:cat>
          <c:val>
            <c:numRef>
              <c:f>データ_セグメント!$G$5:$G$7</c:f>
              <c:numCache>
                <c:formatCode>0.0%;\▲0.0%</c:formatCode>
                <c:ptCount val="3"/>
                <c:pt idx="0">
                  <c:v>0.8985555371077536</c:v>
                </c:pt>
                <c:pt idx="1">
                  <c:v>5.0473186119873815E-2</c:v>
                </c:pt>
                <c:pt idx="2">
                  <c:v>5.0971276772372572E-2</c:v>
                </c:pt>
              </c:numCache>
            </c:numRef>
          </c:val>
          <c:extLst>
            <c:ext xmlns:c16="http://schemas.microsoft.com/office/drawing/2014/chart" uri="{C3380CC4-5D6E-409C-BE32-E72D297353CC}">
              <c16:uniqueId val="{00000000-43BC-4CF4-B396-9355ED997198}"/>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米国PPI 半導体・関連デバイス製造（NSA, 1998/12=100）（指数）</a:t>
            </a:r>
          </a:p>
        </c:rich>
      </c:tx>
      <c:overlay val="0"/>
    </c:title>
    <c:autoTitleDeleted val="0"/>
    <c:plotArea>
      <c:layout/>
      <c:lineChart>
        <c:grouping val="standard"/>
        <c:varyColors val="0"/>
        <c:ser>
          <c:idx val="0"/>
          <c:order val="0"/>
          <c:tx>
            <c:strRef>
              <c:f>データ_市況!$C$4</c:f>
              <c:strCache>
                <c:ptCount val="1"/>
                <c:pt idx="0">
                  <c:v>米国PPI 半導体・関連デバイス製造（NSA, 1998/12=100）</c:v>
                </c:pt>
              </c:strCache>
            </c:strRef>
          </c:tx>
          <c:spPr>
            <a:ln w="19050">
              <a:solidFill>
                <a:srgbClr val="1F3864"/>
              </a:solidFill>
              <a:prstDash val="solid"/>
            </a:ln>
          </c:spPr>
          <c:marker>
            <c:symbol val="none"/>
          </c:marker>
          <c:cat>
            <c:strRef>
              <c:f>データ_市況!$D$5:$D$65</c:f>
              <c:strCache>
                <c:ptCount val="61"/>
                <c:pt idx="0">
                  <c:v>2021/09</c:v>
                </c:pt>
                <c:pt idx="1">
                  <c:v>2021/10</c:v>
                </c:pt>
                <c:pt idx="2">
                  <c:v>2021/11</c:v>
                </c:pt>
                <c:pt idx="3">
                  <c:v>2021/12</c:v>
                </c:pt>
                <c:pt idx="4">
                  <c:v>2022/01</c:v>
                </c:pt>
                <c:pt idx="5">
                  <c:v>2022/02</c:v>
                </c:pt>
                <c:pt idx="6">
                  <c:v>2022/03</c:v>
                </c:pt>
                <c:pt idx="7">
                  <c:v>2022/04</c:v>
                </c:pt>
                <c:pt idx="8">
                  <c:v>2022/05</c:v>
                </c:pt>
                <c:pt idx="9">
                  <c:v>2022/06</c:v>
                </c:pt>
                <c:pt idx="10">
                  <c:v>2022/07</c:v>
                </c:pt>
                <c:pt idx="11">
                  <c:v>2022/08</c:v>
                </c:pt>
                <c:pt idx="12">
                  <c:v>2022/09</c:v>
                </c:pt>
                <c:pt idx="13">
                  <c:v>2022/10</c:v>
                </c:pt>
                <c:pt idx="14">
                  <c:v>2022/11</c:v>
                </c:pt>
                <c:pt idx="15">
                  <c:v>2022/12</c:v>
                </c:pt>
                <c:pt idx="16">
                  <c:v>2023/01</c:v>
                </c:pt>
                <c:pt idx="17">
                  <c:v>2023/02</c:v>
                </c:pt>
                <c:pt idx="18">
                  <c:v>2023/03</c:v>
                </c:pt>
                <c:pt idx="19">
                  <c:v>2023/04</c:v>
                </c:pt>
                <c:pt idx="20">
                  <c:v>2023/05</c:v>
                </c:pt>
                <c:pt idx="21">
                  <c:v>2023/06</c:v>
                </c:pt>
                <c:pt idx="22">
                  <c:v>2023/07</c:v>
                </c:pt>
                <c:pt idx="23">
                  <c:v>2023/08</c:v>
                </c:pt>
                <c:pt idx="24">
                  <c:v>2023/09</c:v>
                </c:pt>
                <c:pt idx="25">
                  <c:v>2023/10</c:v>
                </c:pt>
                <c:pt idx="26">
                  <c:v>2023/11</c:v>
                </c:pt>
                <c:pt idx="27">
                  <c:v>2023/12</c:v>
                </c:pt>
                <c:pt idx="28">
                  <c:v>2024/01</c:v>
                </c:pt>
                <c:pt idx="29">
                  <c:v>2024/02</c:v>
                </c:pt>
                <c:pt idx="30">
                  <c:v>2024/03</c:v>
                </c:pt>
                <c:pt idx="31">
                  <c:v>2024/04</c:v>
                </c:pt>
                <c:pt idx="32">
                  <c:v>2024/05</c:v>
                </c:pt>
                <c:pt idx="33">
                  <c:v>2024/06</c:v>
                </c:pt>
                <c:pt idx="34">
                  <c:v>2024/07</c:v>
                </c:pt>
                <c:pt idx="35">
                  <c:v>2024/08</c:v>
                </c:pt>
                <c:pt idx="36">
                  <c:v>2024/09</c:v>
                </c:pt>
                <c:pt idx="37">
                  <c:v>2024/10</c:v>
                </c:pt>
                <c:pt idx="38">
                  <c:v>2024/11</c:v>
                </c:pt>
                <c:pt idx="39">
                  <c:v>2024/12</c:v>
                </c:pt>
                <c:pt idx="40">
                  <c:v>2025/01</c:v>
                </c:pt>
                <c:pt idx="41">
                  <c:v>2025/02</c:v>
                </c:pt>
                <c:pt idx="42">
                  <c:v>2025/03</c:v>
                </c:pt>
                <c:pt idx="43">
                  <c:v>2025/04</c:v>
                </c:pt>
                <c:pt idx="44">
                  <c:v>2025/05</c:v>
                </c:pt>
                <c:pt idx="45">
                  <c:v>2025/06</c:v>
                </c:pt>
                <c:pt idx="46">
                  <c:v>2025/07</c:v>
                </c:pt>
                <c:pt idx="47">
                  <c:v>2025/08</c:v>
                </c:pt>
                <c:pt idx="48">
                  <c:v>2025/09</c:v>
                </c:pt>
                <c:pt idx="49">
                  <c:v>2025/10</c:v>
                </c:pt>
                <c:pt idx="50">
                  <c:v>2025/11</c:v>
                </c:pt>
                <c:pt idx="51">
                  <c:v>2025/12</c:v>
                </c:pt>
                <c:pt idx="52">
                  <c:v>2026/01</c:v>
                </c:pt>
                <c:pt idx="53">
                  <c:v>2026/02</c:v>
                </c:pt>
                <c:pt idx="54">
                  <c:v>2026/03</c:v>
                </c:pt>
                <c:pt idx="55">
                  <c:v>2026/04</c:v>
                </c:pt>
                <c:pt idx="56">
                  <c:v>2026/05</c:v>
                </c:pt>
                <c:pt idx="57">
                  <c:v>2026/06</c:v>
                </c:pt>
                <c:pt idx="58">
                  <c:v>2026/07</c:v>
                </c:pt>
                <c:pt idx="59">
                  <c:v>2026/08</c:v>
                </c:pt>
                <c:pt idx="60">
                  <c:v>2026/09</c:v>
                </c:pt>
              </c:strCache>
            </c:strRef>
          </c:cat>
          <c:val>
            <c:numRef>
              <c:f>データ_市況!$C$5:$C$65</c:f>
              <c:numCache>
                <c:formatCode>#,##0.00</c:formatCode>
                <c:ptCount val="61"/>
                <c:pt idx="0">
                  <c:v>29.978000000000002</c:v>
                </c:pt>
                <c:pt idx="1">
                  <c:v>29.757999999999999</c:v>
                </c:pt>
                <c:pt idx="2">
                  <c:v>29.98</c:v>
                </c:pt>
                <c:pt idx="3">
                  <c:v>30.08</c:v>
                </c:pt>
                <c:pt idx="4">
                  <c:v>30.382000000000001</c:v>
                </c:pt>
                <c:pt idx="5">
                  <c:v>30.356000000000002</c:v>
                </c:pt>
                <c:pt idx="6">
                  <c:v>30.527000000000001</c:v>
                </c:pt>
                <c:pt idx="7">
                  <c:v>30.716999999999999</c:v>
                </c:pt>
                <c:pt idx="8">
                  <c:v>30.858000000000001</c:v>
                </c:pt>
                <c:pt idx="9">
                  <c:v>31.044</c:v>
                </c:pt>
                <c:pt idx="10">
                  <c:v>30.998000000000001</c:v>
                </c:pt>
                <c:pt idx="11">
                  <c:v>30.879000000000001</c:v>
                </c:pt>
                <c:pt idx="12">
                  <c:v>31.088999999999999</c:v>
                </c:pt>
                <c:pt idx="13">
                  <c:v>31.73</c:v>
                </c:pt>
                <c:pt idx="14">
                  <c:v>31.85</c:v>
                </c:pt>
                <c:pt idx="15">
                  <c:v>31.861999999999998</c:v>
                </c:pt>
                <c:pt idx="16">
                  <c:v>31.785</c:v>
                </c:pt>
                <c:pt idx="17">
                  <c:v>31.969000000000001</c:v>
                </c:pt>
                <c:pt idx="18">
                  <c:v>31.885999999999999</c:v>
                </c:pt>
                <c:pt idx="19">
                  <c:v>31.625</c:v>
                </c:pt>
                <c:pt idx="20">
                  <c:v>31.521999999999998</c:v>
                </c:pt>
                <c:pt idx="21">
                  <c:v>31.594000000000001</c:v>
                </c:pt>
                <c:pt idx="22">
                  <c:v>31.515000000000001</c:v>
                </c:pt>
                <c:pt idx="23">
                  <c:v>31.594999999999999</c:v>
                </c:pt>
                <c:pt idx="24">
                  <c:v>31.791</c:v>
                </c:pt>
                <c:pt idx="25">
                  <c:v>31.673999999999999</c:v>
                </c:pt>
                <c:pt idx="26">
                  <c:v>31.716000000000001</c:v>
                </c:pt>
                <c:pt idx="27">
                  <c:v>31.565000000000001</c:v>
                </c:pt>
                <c:pt idx="28">
                  <c:v>31.706</c:v>
                </c:pt>
                <c:pt idx="29">
                  <c:v>31.667999999999999</c:v>
                </c:pt>
                <c:pt idx="30">
                  <c:v>31.629000000000001</c:v>
                </c:pt>
                <c:pt idx="31">
                  <c:v>31.803000000000001</c:v>
                </c:pt>
                <c:pt idx="32">
                  <c:v>31.742999999999999</c:v>
                </c:pt>
                <c:pt idx="33">
                  <c:v>31.518000000000001</c:v>
                </c:pt>
                <c:pt idx="34">
                  <c:v>30.602</c:v>
                </c:pt>
                <c:pt idx="35">
                  <c:v>30.456</c:v>
                </c:pt>
                <c:pt idx="36">
                  <c:v>30.486999999999998</c:v>
                </c:pt>
                <c:pt idx="37">
                  <c:v>30.724</c:v>
                </c:pt>
                <c:pt idx="38">
                  <c:v>30.728999999999999</c:v>
                </c:pt>
                <c:pt idx="39">
                  <c:v>30.561</c:v>
                </c:pt>
                <c:pt idx="40">
                  <c:v>30.117999999999999</c:v>
                </c:pt>
                <c:pt idx="41">
                  <c:v>30.132000000000001</c:v>
                </c:pt>
                <c:pt idx="42">
                  <c:v>30.321999999999999</c:v>
                </c:pt>
                <c:pt idx="43">
                  <c:v>30.234999999999999</c:v>
                </c:pt>
                <c:pt idx="44">
                  <c:v>29.981999999999999</c:v>
                </c:pt>
                <c:pt idx="45">
                  <c:v>29.882000000000001</c:v>
                </c:pt>
                <c:pt idx="46">
                  <c:v>29.797999999999998</c:v>
                </c:pt>
                <c:pt idx="47">
                  <c:v>29.391999999999999</c:v>
                </c:pt>
                <c:pt idx="48">
                  <c:v>29.45</c:v>
                </c:pt>
                <c:pt idx="49">
                  <c:v>29.64</c:v>
                </c:pt>
                <c:pt idx="50">
                  <c:v>29.646000000000001</c:v>
                </c:pt>
                <c:pt idx="51">
                  <c:v>29.667999999999999</c:v>
                </c:pt>
                <c:pt idx="52">
                  <c:v>29.62</c:v>
                </c:pt>
                <c:pt idx="53">
                  <c:v>30.138000000000002</c:v>
                </c:pt>
                <c:pt idx="54">
                  <c:v>30.132000000000001</c:v>
                </c:pt>
                <c:pt idx="55">
                  <c:v>30.602</c:v>
                </c:pt>
                <c:pt idx="56">
                  <c:v>30.216999999999999</c:v>
                </c:pt>
                <c:pt idx="57">
                  <c:v>29.859000000000002</c:v>
                </c:pt>
                <c:pt idx="58">
                  <c:v>29.067</c:v>
                </c:pt>
                <c:pt idx="59">
                  <c:v>28.541</c:v>
                </c:pt>
                <c:pt idx="60">
                  <c:v>28.800999999999998</c:v>
                </c:pt>
              </c:numCache>
            </c:numRef>
          </c:val>
          <c:smooth val="0"/>
          <c:extLst>
            <c:ext xmlns:c16="http://schemas.microsoft.com/office/drawing/2014/chart" uri="{C3380CC4-5D6E-409C-BE32-E72D297353CC}">
              <c16:uniqueId val="{00000000-0F63-4C2A-8979-71207763F1C0}"/>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0"/>
        <c:tickMarkSkip val="10"/>
        <c:noMultiLvlLbl val="1"/>
      </c:catAx>
      <c:valAx>
        <c:axId val="100"/>
        <c:scaling>
          <c:orientation val="minMax"/>
        </c:scaling>
        <c:delete val="0"/>
        <c:axPos val="l"/>
        <c:numFmt formatCode="General"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米国鉱工業生産 半導体・その他電子部品（NAICS3344, SA, 2017=100）（指数(2017=100)）</a:t>
            </a:r>
          </a:p>
        </c:rich>
      </c:tx>
      <c:overlay val="0"/>
    </c:title>
    <c:autoTitleDeleted val="0"/>
    <c:plotArea>
      <c:layout/>
      <c:lineChart>
        <c:grouping val="standard"/>
        <c:varyColors val="0"/>
        <c:ser>
          <c:idx val="0"/>
          <c:order val="0"/>
          <c:tx>
            <c:strRef>
              <c:f>データ_市況!$F$4</c:f>
              <c:strCache>
                <c:ptCount val="1"/>
                <c:pt idx="0">
                  <c:v>米国鉱工業生産 半導体・その他電子部品（NAICS3344, SA, 2017=100）</c:v>
                </c:pt>
              </c:strCache>
            </c:strRef>
          </c:tx>
          <c:spPr>
            <a:ln w="19050">
              <a:solidFill>
                <a:srgbClr val="1F3864"/>
              </a:solidFill>
              <a:prstDash val="solid"/>
            </a:ln>
          </c:spPr>
          <c:marker>
            <c:symbol val="none"/>
          </c:marker>
          <c:cat>
            <c:strRef>
              <c:f>データ_市況!$G$5:$G$65</c:f>
              <c:strCache>
                <c:ptCount val="61"/>
                <c:pt idx="0">
                  <c:v>2021/09</c:v>
                </c:pt>
                <c:pt idx="1">
                  <c:v>2021/10</c:v>
                </c:pt>
                <c:pt idx="2">
                  <c:v>2021/11</c:v>
                </c:pt>
                <c:pt idx="3">
                  <c:v>2021/12</c:v>
                </c:pt>
                <c:pt idx="4">
                  <c:v>2022/01</c:v>
                </c:pt>
                <c:pt idx="5">
                  <c:v>2022/02</c:v>
                </c:pt>
                <c:pt idx="6">
                  <c:v>2022/03</c:v>
                </c:pt>
                <c:pt idx="7">
                  <c:v>2022/04</c:v>
                </c:pt>
                <c:pt idx="8">
                  <c:v>2022/05</c:v>
                </c:pt>
                <c:pt idx="9">
                  <c:v>2022/06</c:v>
                </c:pt>
                <c:pt idx="10">
                  <c:v>2022/07</c:v>
                </c:pt>
                <c:pt idx="11">
                  <c:v>2022/08</c:v>
                </c:pt>
                <c:pt idx="12">
                  <c:v>2022/09</c:v>
                </c:pt>
                <c:pt idx="13">
                  <c:v>2022/10</c:v>
                </c:pt>
                <c:pt idx="14">
                  <c:v>2022/11</c:v>
                </c:pt>
                <c:pt idx="15">
                  <c:v>2022/12</c:v>
                </c:pt>
                <c:pt idx="16">
                  <c:v>2023/01</c:v>
                </c:pt>
                <c:pt idx="17">
                  <c:v>2023/02</c:v>
                </c:pt>
                <c:pt idx="18">
                  <c:v>2023/03</c:v>
                </c:pt>
                <c:pt idx="19">
                  <c:v>2023/04</c:v>
                </c:pt>
                <c:pt idx="20">
                  <c:v>2023/05</c:v>
                </c:pt>
                <c:pt idx="21">
                  <c:v>2023/06</c:v>
                </c:pt>
                <c:pt idx="22">
                  <c:v>2023/07</c:v>
                </c:pt>
                <c:pt idx="23">
                  <c:v>2023/08</c:v>
                </c:pt>
                <c:pt idx="24">
                  <c:v>2023/09</c:v>
                </c:pt>
                <c:pt idx="25">
                  <c:v>2023/10</c:v>
                </c:pt>
                <c:pt idx="26">
                  <c:v>2023/11</c:v>
                </c:pt>
                <c:pt idx="27">
                  <c:v>2023/12</c:v>
                </c:pt>
                <c:pt idx="28">
                  <c:v>2024/01</c:v>
                </c:pt>
                <c:pt idx="29">
                  <c:v>2024/02</c:v>
                </c:pt>
                <c:pt idx="30">
                  <c:v>2024/03</c:v>
                </c:pt>
                <c:pt idx="31">
                  <c:v>2024/04</c:v>
                </c:pt>
                <c:pt idx="32">
                  <c:v>2024/05</c:v>
                </c:pt>
                <c:pt idx="33">
                  <c:v>2024/06</c:v>
                </c:pt>
                <c:pt idx="34">
                  <c:v>2024/07</c:v>
                </c:pt>
                <c:pt idx="35">
                  <c:v>2024/08</c:v>
                </c:pt>
                <c:pt idx="36">
                  <c:v>2024/09</c:v>
                </c:pt>
                <c:pt idx="37">
                  <c:v>2024/10</c:v>
                </c:pt>
                <c:pt idx="38">
                  <c:v>2024/11</c:v>
                </c:pt>
                <c:pt idx="39">
                  <c:v>2024/12</c:v>
                </c:pt>
                <c:pt idx="40">
                  <c:v>2025/01</c:v>
                </c:pt>
                <c:pt idx="41">
                  <c:v>2025/02</c:v>
                </c:pt>
                <c:pt idx="42">
                  <c:v>2025/03</c:v>
                </c:pt>
                <c:pt idx="43">
                  <c:v>2025/04</c:v>
                </c:pt>
                <c:pt idx="44">
                  <c:v>2025/05</c:v>
                </c:pt>
                <c:pt idx="45">
                  <c:v>2025/06</c:v>
                </c:pt>
                <c:pt idx="46">
                  <c:v>2025/07</c:v>
                </c:pt>
                <c:pt idx="47">
                  <c:v>2025/08</c:v>
                </c:pt>
                <c:pt idx="48">
                  <c:v>2025/09</c:v>
                </c:pt>
                <c:pt idx="49">
                  <c:v>2025/10</c:v>
                </c:pt>
                <c:pt idx="50">
                  <c:v>2025/11</c:v>
                </c:pt>
                <c:pt idx="51">
                  <c:v>2025/12</c:v>
                </c:pt>
                <c:pt idx="52">
                  <c:v>2026/01</c:v>
                </c:pt>
                <c:pt idx="53">
                  <c:v>2026/02</c:v>
                </c:pt>
                <c:pt idx="54">
                  <c:v>2026/03</c:v>
                </c:pt>
                <c:pt idx="55">
                  <c:v>2026/04</c:v>
                </c:pt>
                <c:pt idx="56">
                  <c:v>2026/05</c:v>
                </c:pt>
                <c:pt idx="57">
                  <c:v>2026/06</c:v>
                </c:pt>
                <c:pt idx="58">
                  <c:v>2026/07</c:v>
                </c:pt>
                <c:pt idx="59">
                  <c:v>2026/08</c:v>
                </c:pt>
                <c:pt idx="60">
                  <c:v>2026/09</c:v>
                </c:pt>
              </c:strCache>
            </c:strRef>
          </c:cat>
          <c:val>
            <c:numRef>
              <c:f>データ_市況!$F$5:$F$65</c:f>
              <c:numCache>
                <c:formatCode>#,##0.00</c:formatCode>
                <c:ptCount val="61"/>
                <c:pt idx="0">
                  <c:v>118.1095</c:v>
                </c:pt>
                <c:pt idx="1">
                  <c:v>119.9345</c:v>
                </c:pt>
                <c:pt idx="2">
                  <c:v>122.41679999999999</c:v>
                </c:pt>
                <c:pt idx="3">
                  <c:v>124.70740000000001</c:v>
                </c:pt>
                <c:pt idx="4">
                  <c:v>125.773</c:v>
                </c:pt>
                <c:pt idx="5">
                  <c:v>128.9521</c:v>
                </c:pt>
                <c:pt idx="6">
                  <c:v>129.55420000000001</c:v>
                </c:pt>
                <c:pt idx="7">
                  <c:v>127.9384</c:v>
                </c:pt>
                <c:pt idx="8">
                  <c:v>128.77000000000001</c:v>
                </c:pt>
                <c:pt idx="9">
                  <c:v>131.24950000000001</c:v>
                </c:pt>
                <c:pt idx="10">
                  <c:v>131.70609999999999</c:v>
                </c:pt>
                <c:pt idx="11">
                  <c:v>132.83330000000001</c:v>
                </c:pt>
                <c:pt idx="12">
                  <c:v>134.05670000000001</c:v>
                </c:pt>
                <c:pt idx="13">
                  <c:v>132.92570000000001</c:v>
                </c:pt>
                <c:pt idx="14">
                  <c:v>133.44890000000001</c:v>
                </c:pt>
                <c:pt idx="15">
                  <c:v>130.84889999999999</c:v>
                </c:pt>
                <c:pt idx="16">
                  <c:v>130.0403</c:v>
                </c:pt>
                <c:pt idx="17">
                  <c:v>133.54</c:v>
                </c:pt>
                <c:pt idx="18">
                  <c:v>133.53309999999999</c:v>
                </c:pt>
                <c:pt idx="19">
                  <c:v>135.8398</c:v>
                </c:pt>
                <c:pt idx="20">
                  <c:v>136.0676</c:v>
                </c:pt>
                <c:pt idx="21">
                  <c:v>135.4366</c:v>
                </c:pt>
                <c:pt idx="22">
                  <c:v>136.68940000000001</c:v>
                </c:pt>
                <c:pt idx="23">
                  <c:v>135.6233</c:v>
                </c:pt>
                <c:pt idx="24">
                  <c:v>134.42330000000001</c:v>
                </c:pt>
                <c:pt idx="25">
                  <c:v>136.40450000000001</c:v>
                </c:pt>
                <c:pt idx="26">
                  <c:v>137.8263</c:v>
                </c:pt>
                <c:pt idx="27">
                  <c:v>138.9374</c:v>
                </c:pt>
                <c:pt idx="28">
                  <c:v>139.4212</c:v>
                </c:pt>
                <c:pt idx="29">
                  <c:v>138.22479999999999</c:v>
                </c:pt>
                <c:pt idx="30">
                  <c:v>138.35470000000001</c:v>
                </c:pt>
                <c:pt idx="31">
                  <c:v>143.87370000000001</c:v>
                </c:pt>
                <c:pt idx="32">
                  <c:v>144.2792</c:v>
                </c:pt>
                <c:pt idx="33">
                  <c:v>143.41919999999999</c:v>
                </c:pt>
                <c:pt idx="34">
                  <c:v>143.4068</c:v>
                </c:pt>
                <c:pt idx="35">
                  <c:v>148.7946</c:v>
                </c:pt>
                <c:pt idx="36">
                  <c:v>146.4195</c:v>
                </c:pt>
                <c:pt idx="37">
                  <c:v>148.71250000000001</c:v>
                </c:pt>
                <c:pt idx="38">
                  <c:v>148.19919999999999</c:v>
                </c:pt>
                <c:pt idx="39">
                  <c:v>150.22749999999999</c:v>
                </c:pt>
                <c:pt idx="40">
                  <c:v>158.07320000000001</c:v>
                </c:pt>
                <c:pt idx="41">
                  <c:v>159.6876</c:v>
                </c:pt>
                <c:pt idx="42">
                  <c:v>159.22810000000001</c:v>
                </c:pt>
                <c:pt idx="43">
                  <c:v>162.22710000000001</c:v>
                </c:pt>
                <c:pt idx="44">
                  <c:v>164.3526</c:v>
                </c:pt>
                <c:pt idx="45">
                  <c:v>163.17410000000001</c:v>
                </c:pt>
                <c:pt idx="46">
                  <c:v>171.55549999999999</c:v>
                </c:pt>
                <c:pt idx="47">
                  <c:v>169.197</c:v>
                </c:pt>
                <c:pt idx="48">
                  <c:v>165.667</c:v>
                </c:pt>
                <c:pt idx="49">
                  <c:v>169.1163</c:v>
                </c:pt>
                <c:pt idx="50">
                  <c:v>169.7424</c:v>
                </c:pt>
                <c:pt idx="51">
                  <c:v>170.5402</c:v>
                </c:pt>
                <c:pt idx="52">
                  <c:v>176.71039999999999</c:v>
                </c:pt>
                <c:pt idx="53">
                  <c:v>176.18039999999999</c:v>
                </c:pt>
                <c:pt idx="54">
                  <c:v>173.69319999999999</c:v>
                </c:pt>
                <c:pt idx="55">
                  <c:v>176.9787</c:v>
                </c:pt>
                <c:pt idx="56">
                  <c:v>184.69460000000001</c:v>
                </c:pt>
                <c:pt idx="57">
                  <c:v>188.2611</c:v>
                </c:pt>
                <c:pt idx="58">
                  <c:v>192.21369999999999</c:v>
                </c:pt>
                <c:pt idx="59">
                  <c:v>194.52119999999999</c:v>
                </c:pt>
                <c:pt idx="60">
                  <c:v>198.6335</c:v>
                </c:pt>
              </c:numCache>
            </c:numRef>
          </c:val>
          <c:smooth val="0"/>
          <c:extLst>
            <c:ext xmlns:c16="http://schemas.microsoft.com/office/drawing/2014/chart" uri="{C3380CC4-5D6E-409C-BE32-E72D297353CC}">
              <c16:uniqueId val="{00000000-58C7-4164-A114-60EDDBAE22B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0"/>
        <c:tickMarkSkip val="1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米国軽自動車販売台数（乗用車+軽トラック, SAAR）（百万台(年率)）</a:t>
            </a:r>
          </a:p>
        </c:rich>
      </c:tx>
      <c:overlay val="0"/>
    </c:title>
    <c:autoTitleDeleted val="0"/>
    <c:plotArea>
      <c:layout/>
      <c:lineChart>
        <c:grouping val="standard"/>
        <c:varyColors val="0"/>
        <c:ser>
          <c:idx val="0"/>
          <c:order val="0"/>
          <c:tx>
            <c:strRef>
              <c:f>データ_市況!$I$4</c:f>
              <c:strCache>
                <c:ptCount val="1"/>
                <c:pt idx="0">
                  <c:v>米国軽自動車販売台数（乗用車+軽トラック, SAAR）</c:v>
                </c:pt>
              </c:strCache>
            </c:strRef>
          </c:tx>
          <c:spPr>
            <a:ln w="19050">
              <a:solidFill>
                <a:srgbClr val="1F3864"/>
              </a:solidFill>
              <a:prstDash val="solid"/>
            </a:ln>
          </c:spPr>
          <c:marker>
            <c:symbol val="none"/>
          </c:marker>
          <c:cat>
            <c:strRef>
              <c:f>データ_市況!$J$5:$J$65</c:f>
              <c:strCache>
                <c:ptCount val="61"/>
                <c:pt idx="0">
                  <c:v>2021/09</c:v>
                </c:pt>
                <c:pt idx="1">
                  <c:v>2021/10</c:v>
                </c:pt>
                <c:pt idx="2">
                  <c:v>2021/11</c:v>
                </c:pt>
                <c:pt idx="3">
                  <c:v>2021/12</c:v>
                </c:pt>
                <c:pt idx="4">
                  <c:v>2022/01</c:v>
                </c:pt>
                <c:pt idx="5">
                  <c:v>2022/02</c:v>
                </c:pt>
                <c:pt idx="6">
                  <c:v>2022/03</c:v>
                </c:pt>
                <c:pt idx="7">
                  <c:v>2022/04</c:v>
                </c:pt>
                <c:pt idx="8">
                  <c:v>2022/05</c:v>
                </c:pt>
                <c:pt idx="9">
                  <c:v>2022/06</c:v>
                </c:pt>
                <c:pt idx="10">
                  <c:v>2022/07</c:v>
                </c:pt>
                <c:pt idx="11">
                  <c:v>2022/08</c:v>
                </c:pt>
                <c:pt idx="12">
                  <c:v>2022/09</c:v>
                </c:pt>
                <c:pt idx="13">
                  <c:v>2022/10</c:v>
                </c:pt>
                <c:pt idx="14">
                  <c:v>2022/11</c:v>
                </c:pt>
                <c:pt idx="15">
                  <c:v>2022/12</c:v>
                </c:pt>
                <c:pt idx="16">
                  <c:v>2023/01</c:v>
                </c:pt>
                <c:pt idx="17">
                  <c:v>2023/02</c:v>
                </c:pt>
                <c:pt idx="18">
                  <c:v>2023/03</c:v>
                </c:pt>
                <c:pt idx="19">
                  <c:v>2023/04</c:v>
                </c:pt>
                <c:pt idx="20">
                  <c:v>2023/05</c:v>
                </c:pt>
                <c:pt idx="21">
                  <c:v>2023/06</c:v>
                </c:pt>
                <c:pt idx="22">
                  <c:v>2023/07</c:v>
                </c:pt>
                <c:pt idx="23">
                  <c:v>2023/08</c:v>
                </c:pt>
                <c:pt idx="24">
                  <c:v>2023/09</c:v>
                </c:pt>
                <c:pt idx="25">
                  <c:v>2023/10</c:v>
                </c:pt>
                <c:pt idx="26">
                  <c:v>2023/11</c:v>
                </c:pt>
                <c:pt idx="27">
                  <c:v>2023/12</c:v>
                </c:pt>
                <c:pt idx="28">
                  <c:v>2024/01</c:v>
                </c:pt>
                <c:pt idx="29">
                  <c:v>2024/02</c:v>
                </c:pt>
                <c:pt idx="30">
                  <c:v>2024/03</c:v>
                </c:pt>
                <c:pt idx="31">
                  <c:v>2024/04</c:v>
                </c:pt>
                <c:pt idx="32">
                  <c:v>2024/05</c:v>
                </c:pt>
                <c:pt idx="33">
                  <c:v>2024/06</c:v>
                </c:pt>
                <c:pt idx="34">
                  <c:v>2024/07</c:v>
                </c:pt>
                <c:pt idx="35">
                  <c:v>2024/08</c:v>
                </c:pt>
                <c:pt idx="36">
                  <c:v>2024/09</c:v>
                </c:pt>
                <c:pt idx="37">
                  <c:v>2024/10</c:v>
                </c:pt>
                <c:pt idx="38">
                  <c:v>2024/11</c:v>
                </c:pt>
                <c:pt idx="39">
                  <c:v>2024/12</c:v>
                </c:pt>
                <c:pt idx="40">
                  <c:v>2025/01</c:v>
                </c:pt>
                <c:pt idx="41">
                  <c:v>2025/02</c:v>
                </c:pt>
                <c:pt idx="42">
                  <c:v>2025/03</c:v>
                </c:pt>
                <c:pt idx="43">
                  <c:v>2025/04</c:v>
                </c:pt>
                <c:pt idx="44">
                  <c:v>2025/05</c:v>
                </c:pt>
                <c:pt idx="45">
                  <c:v>2025/06</c:v>
                </c:pt>
                <c:pt idx="46">
                  <c:v>2025/07</c:v>
                </c:pt>
                <c:pt idx="47">
                  <c:v>2025/08</c:v>
                </c:pt>
                <c:pt idx="48">
                  <c:v>2025/09</c:v>
                </c:pt>
                <c:pt idx="49">
                  <c:v>2025/10</c:v>
                </c:pt>
                <c:pt idx="50">
                  <c:v>2025/11</c:v>
                </c:pt>
                <c:pt idx="51">
                  <c:v>2025/12</c:v>
                </c:pt>
                <c:pt idx="52">
                  <c:v>2026/01</c:v>
                </c:pt>
                <c:pt idx="53">
                  <c:v>2026/02</c:v>
                </c:pt>
                <c:pt idx="54">
                  <c:v>2026/03</c:v>
                </c:pt>
                <c:pt idx="55">
                  <c:v>2026/04</c:v>
                </c:pt>
                <c:pt idx="56">
                  <c:v>2026/05</c:v>
                </c:pt>
                <c:pt idx="57">
                  <c:v>2026/06</c:v>
                </c:pt>
                <c:pt idx="58">
                  <c:v>2026/07</c:v>
                </c:pt>
                <c:pt idx="59">
                  <c:v>2026/08</c:v>
                </c:pt>
                <c:pt idx="60">
                  <c:v>2026/09</c:v>
                </c:pt>
              </c:strCache>
            </c:strRef>
          </c:cat>
          <c:val>
            <c:numRef>
              <c:f>データ_市況!$I$5:$I$65</c:f>
              <c:numCache>
                <c:formatCode>#,##0.00</c:formatCode>
                <c:ptCount val="61"/>
                <c:pt idx="0">
                  <c:v>12.287000000000001</c:v>
                </c:pt>
                <c:pt idx="1">
                  <c:v>12.775</c:v>
                </c:pt>
                <c:pt idx="2">
                  <c:v>12.954000000000001</c:v>
                </c:pt>
                <c:pt idx="3">
                  <c:v>12.680999999999999</c:v>
                </c:pt>
                <c:pt idx="4">
                  <c:v>14.683</c:v>
                </c:pt>
                <c:pt idx="5">
                  <c:v>13.736000000000001</c:v>
                </c:pt>
                <c:pt idx="6">
                  <c:v>13.66</c:v>
                </c:pt>
                <c:pt idx="7">
                  <c:v>14.113</c:v>
                </c:pt>
                <c:pt idx="8">
                  <c:v>12.853</c:v>
                </c:pt>
                <c:pt idx="9">
                  <c:v>13.348000000000001</c:v>
                </c:pt>
                <c:pt idx="10">
                  <c:v>13.307</c:v>
                </c:pt>
                <c:pt idx="11">
                  <c:v>13.587999999999999</c:v>
                </c:pt>
                <c:pt idx="12">
                  <c:v>13.595000000000001</c:v>
                </c:pt>
                <c:pt idx="13">
                  <c:v>14.685</c:v>
                </c:pt>
                <c:pt idx="14">
                  <c:v>14.129</c:v>
                </c:pt>
                <c:pt idx="15">
                  <c:v>13.353999999999999</c:v>
                </c:pt>
                <c:pt idx="16">
                  <c:v>15.427</c:v>
                </c:pt>
                <c:pt idx="17">
                  <c:v>14.96</c:v>
                </c:pt>
                <c:pt idx="18">
                  <c:v>14.997999999999999</c:v>
                </c:pt>
                <c:pt idx="19">
                  <c:v>15.795999999999999</c:v>
                </c:pt>
                <c:pt idx="20">
                  <c:v>15.442</c:v>
                </c:pt>
                <c:pt idx="21">
                  <c:v>16.064</c:v>
                </c:pt>
                <c:pt idx="22">
                  <c:v>15.696999999999999</c:v>
                </c:pt>
                <c:pt idx="23">
                  <c:v>15.401999999999999</c:v>
                </c:pt>
                <c:pt idx="24">
                  <c:v>15.675000000000001</c:v>
                </c:pt>
                <c:pt idx="25">
                  <c:v>15.368</c:v>
                </c:pt>
                <c:pt idx="26">
                  <c:v>15.382</c:v>
                </c:pt>
                <c:pt idx="27">
                  <c:v>15.82</c:v>
                </c:pt>
                <c:pt idx="28">
                  <c:v>15.371</c:v>
                </c:pt>
                <c:pt idx="29">
                  <c:v>15.765000000000001</c:v>
                </c:pt>
                <c:pt idx="30">
                  <c:v>15.581</c:v>
                </c:pt>
                <c:pt idx="31">
                  <c:v>15.872</c:v>
                </c:pt>
                <c:pt idx="32">
                  <c:v>15.96</c:v>
                </c:pt>
                <c:pt idx="33">
                  <c:v>15.349</c:v>
                </c:pt>
                <c:pt idx="34">
                  <c:v>15.694000000000001</c:v>
                </c:pt>
                <c:pt idx="35">
                  <c:v>15.316000000000001</c:v>
                </c:pt>
                <c:pt idx="36">
                  <c:v>15.821999999999999</c:v>
                </c:pt>
                <c:pt idx="37">
                  <c:v>16.149999999999999</c:v>
                </c:pt>
                <c:pt idx="38">
                  <c:v>16.523</c:v>
                </c:pt>
                <c:pt idx="39">
                  <c:v>16.812000000000001</c:v>
                </c:pt>
                <c:pt idx="40">
                  <c:v>15.845000000000001</c:v>
                </c:pt>
                <c:pt idx="41">
                  <c:v>16.027999999999999</c:v>
                </c:pt>
                <c:pt idx="42">
                  <c:v>17.731999999999999</c:v>
                </c:pt>
                <c:pt idx="43">
                  <c:v>17.068999999999999</c:v>
                </c:pt>
                <c:pt idx="44">
                  <c:v>15.71</c:v>
                </c:pt>
                <c:pt idx="45">
                  <c:v>15.885999999999999</c:v>
                </c:pt>
                <c:pt idx="46">
                  <c:v>16.425000000000001</c:v>
                </c:pt>
                <c:pt idx="47">
                  <c:v>16.344999999999999</c:v>
                </c:pt>
                <c:pt idx="48">
                  <c:v>16.574000000000002</c:v>
                </c:pt>
                <c:pt idx="49">
                  <c:v>15.679</c:v>
                </c:pt>
                <c:pt idx="50">
                  <c:v>15.808999999999999</c:v>
                </c:pt>
                <c:pt idx="51">
                  <c:v>16.009</c:v>
                </c:pt>
                <c:pt idx="52">
                  <c:v>14.96</c:v>
                </c:pt>
                <c:pt idx="53">
                  <c:v>15.551</c:v>
                </c:pt>
                <c:pt idx="54">
                  <c:v>16.074000000000002</c:v>
                </c:pt>
                <c:pt idx="55">
                  <c:v>16.164999999999999</c:v>
                </c:pt>
                <c:pt idx="56">
                  <c:v>16.437999999999999</c:v>
                </c:pt>
                <c:pt idx="57">
                  <c:v>16.762</c:v>
                </c:pt>
                <c:pt idx="58">
                  <c:v>16.167000000000002</c:v>
                </c:pt>
                <c:pt idx="59">
                  <c:v>16.567</c:v>
                </c:pt>
                <c:pt idx="60">
                  <c:v>15.981999999999999</c:v>
                </c:pt>
              </c:numCache>
            </c:numRef>
          </c:val>
          <c:smooth val="0"/>
          <c:extLst>
            <c:ext xmlns:c16="http://schemas.microsoft.com/office/drawing/2014/chart" uri="{C3380CC4-5D6E-409C-BE32-E72D297353CC}">
              <c16:uniqueId val="{00000000-5D54-4E1E-94CF-62855F13E2E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0"/>
        <c:tickMarkSkip val="10"/>
        <c:noMultiLvlLbl val="1"/>
      </c:catAx>
      <c:valAx>
        <c:axId val="100"/>
        <c:scaling>
          <c:orientation val="minMax"/>
        </c:scaling>
        <c:delete val="0"/>
        <c:axPos val="l"/>
        <c:numFmt formatCode="General"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米国鉱工業生産 製造業（SA, 2017=100）（指数(2017=100)）</a:t>
            </a:r>
          </a:p>
        </c:rich>
      </c:tx>
      <c:overlay val="0"/>
    </c:title>
    <c:autoTitleDeleted val="0"/>
    <c:plotArea>
      <c:layout/>
      <c:lineChart>
        <c:grouping val="standard"/>
        <c:varyColors val="0"/>
        <c:ser>
          <c:idx val="0"/>
          <c:order val="0"/>
          <c:tx>
            <c:strRef>
              <c:f>データ_市況!$L$4</c:f>
              <c:strCache>
                <c:ptCount val="1"/>
                <c:pt idx="0">
                  <c:v>米国鉱工業生産 製造業（SA, 2017=100）</c:v>
                </c:pt>
              </c:strCache>
            </c:strRef>
          </c:tx>
          <c:spPr>
            <a:ln w="19050">
              <a:solidFill>
                <a:srgbClr val="1F3864"/>
              </a:solidFill>
              <a:prstDash val="solid"/>
            </a:ln>
          </c:spPr>
          <c:marker>
            <c:symbol val="none"/>
          </c:marker>
          <c:cat>
            <c:strRef>
              <c:f>データ_市況!$M$5:$M$65</c:f>
              <c:strCache>
                <c:ptCount val="61"/>
                <c:pt idx="0">
                  <c:v>2021/09</c:v>
                </c:pt>
                <c:pt idx="1">
                  <c:v>2021/10</c:v>
                </c:pt>
                <c:pt idx="2">
                  <c:v>2021/11</c:v>
                </c:pt>
                <c:pt idx="3">
                  <c:v>2021/12</c:v>
                </c:pt>
                <c:pt idx="4">
                  <c:v>2022/01</c:v>
                </c:pt>
                <c:pt idx="5">
                  <c:v>2022/02</c:v>
                </c:pt>
                <c:pt idx="6">
                  <c:v>2022/03</c:v>
                </c:pt>
                <c:pt idx="7">
                  <c:v>2022/04</c:v>
                </c:pt>
                <c:pt idx="8">
                  <c:v>2022/05</c:v>
                </c:pt>
                <c:pt idx="9">
                  <c:v>2022/06</c:v>
                </c:pt>
                <c:pt idx="10">
                  <c:v>2022/07</c:v>
                </c:pt>
                <c:pt idx="11">
                  <c:v>2022/08</c:v>
                </c:pt>
                <c:pt idx="12">
                  <c:v>2022/09</c:v>
                </c:pt>
                <c:pt idx="13">
                  <c:v>2022/10</c:v>
                </c:pt>
                <c:pt idx="14">
                  <c:v>2022/11</c:v>
                </c:pt>
                <c:pt idx="15">
                  <c:v>2022/12</c:v>
                </c:pt>
                <c:pt idx="16">
                  <c:v>2023/01</c:v>
                </c:pt>
                <c:pt idx="17">
                  <c:v>2023/02</c:v>
                </c:pt>
                <c:pt idx="18">
                  <c:v>2023/03</c:v>
                </c:pt>
                <c:pt idx="19">
                  <c:v>2023/04</c:v>
                </c:pt>
                <c:pt idx="20">
                  <c:v>2023/05</c:v>
                </c:pt>
                <c:pt idx="21">
                  <c:v>2023/06</c:v>
                </c:pt>
                <c:pt idx="22">
                  <c:v>2023/07</c:v>
                </c:pt>
                <c:pt idx="23">
                  <c:v>2023/08</c:v>
                </c:pt>
                <c:pt idx="24">
                  <c:v>2023/09</c:v>
                </c:pt>
                <c:pt idx="25">
                  <c:v>2023/10</c:v>
                </c:pt>
                <c:pt idx="26">
                  <c:v>2023/11</c:v>
                </c:pt>
                <c:pt idx="27">
                  <c:v>2023/12</c:v>
                </c:pt>
                <c:pt idx="28">
                  <c:v>2024/01</c:v>
                </c:pt>
                <c:pt idx="29">
                  <c:v>2024/02</c:v>
                </c:pt>
                <c:pt idx="30">
                  <c:v>2024/03</c:v>
                </c:pt>
                <c:pt idx="31">
                  <c:v>2024/04</c:v>
                </c:pt>
                <c:pt idx="32">
                  <c:v>2024/05</c:v>
                </c:pt>
                <c:pt idx="33">
                  <c:v>2024/06</c:v>
                </c:pt>
                <c:pt idx="34">
                  <c:v>2024/07</c:v>
                </c:pt>
                <c:pt idx="35">
                  <c:v>2024/08</c:v>
                </c:pt>
                <c:pt idx="36">
                  <c:v>2024/09</c:v>
                </c:pt>
                <c:pt idx="37">
                  <c:v>2024/10</c:v>
                </c:pt>
                <c:pt idx="38">
                  <c:v>2024/11</c:v>
                </c:pt>
                <c:pt idx="39">
                  <c:v>2024/12</c:v>
                </c:pt>
                <c:pt idx="40">
                  <c:v>2025/01</c:v>
                </c:pt>
                <c:pt idx="41">
                  <c:v>2025/02</c:v>
                </c:pt>
                <c:pt idx="42">
                  <c:v>2025/03</c:v>
                </c:pt>
                <c:pt idx="43">
                  <c:v>2025/04</c:v>
                </c:pt>
                <c:pt idx="44">
                  <c:v>2025/05</c:v>
                </c:pt>
                <c:pt idx="45">
                  <c:v>2025/06</c:v>
                </c:pt>
                <c:pt idx="46">
                  <c:v>2025/07</c:v>
                </c:pt>
                <c:pt idx="47">
                  <c:v>2025/08</c:v>
                </c:pt>
                <c:pt idx="48">
                  <c:v>2025/09</c:v>
                </c:pt>
                <c:pt idx="49">
                  <c:v>2025/10</c:v>
                </c:pt>
                <c:pt idx="50">
                  <c:v>2025/11</c:v>
                </c:pt>
                <c:pt idx="51">
                  <c:v>2025/12</c:v>
                </c:pt>
                <c:pt idx="52">
                  <c:v>2026/01</c:v>
                </c:pt>
                <c:pt idx="53">
                  <c:v>2026/02</c:v>
                </c:pt>
                <c:pt idx="54">
                  <c:v>2026/03</c:v>
                </c:pt>
                <c:pt idx="55">
                  <c:v>2026/04</c:v>
                </c:pt>
                <c:pt idx="56">
                  <c:v>2026/05</c:v>
                </c:pt>
                <c:pt idx="57">
                  <c:v>2026/06</c:v>
                </c:pt>
                <c:pt idx="58">
                  <c:v>2026/07</c:v>
                </c:pt>
                <c:pt idx="59">
                  <c:v>2026/08</c:v>
                </c:pt>
                <c:pt idx="60">
                  <c:v>2026/09</c:v>
                </c:pt>
              </c:strCache>
            </c:strRef>
          </c:cat>
          <c:val>
            <c:numRef>
              <c:f>データ_市況!$L$5:$L$65</c:f>
              <c:numCache>
                <c:formatCode>#,##0.00</c:formatCode>
                <c:ptCount val="61"/>
                <c:pt idx="0">
                  <c:v>97.065399999999997</c:v>
                </c:pt>
                <c:pt idx="1">
                  <c:v>98.433300000000003</c:v>
                </c:pt>
                <c:pt idx="2">
                  <c:v>99.014600000000002</c:v>
                </c:pt>
                <c:pt idx="3">
                  <c:v>98.897000000000006</c:v>
                </c:pt>
                <c:pt idx="4">
                  <c:v>97.953500000000005</c:v>
                </c:pt>
                <c:pt idx="5">
                  <c:v>98.522300000000001</c:v>
                </c:pt>
                <c:pt idx="6">
                  <c:v>98.970399999999998</c:v>
                </c:pt>
                <c:pt idx="7">
                  <c:v>98.920400000000001</c:v>
                </c:pt>
                <c:pt idx="8">
                  <c:v>98.479900000000001</c:v>
                </c:pt>
                <c:pt idx="9">
                  <c:v>97.938299999999998</c:v>
                </c:pt>
                <c:pt idx="10">
                  <c:v>98.0214</c:v>
                </c:pt>
                <c:pt idx="11">
                  <c:v>98.001900000000006</c:v>
                </c:pt>
                <c:pt idx="12">
                  <c:v>97.993600000000001</c:v>
                </c:pt>
                <c:pt idx="13">
                  <c:v>98.239000000000004</c:v>
                </c:pt>
                <c:pt idx="14">
                  <c:v>97.455500000000001</c:v>
                </c:pt>
                <c:pt idx="15">
                  <c:v>95.754499999999993</c:v>
                </c:pt>
                <c:pt idx="16">
                  <c:v>97.433199999999999</c:v>
                </c:pt>
                <c:pt idx="17">
                  <c:v>97.482100000000003</c:v>
                </c:pt>
                <c:pt idx="18">
                  <c:v>96.855199999999996</c:v>
                </c:pt>
                <c:pt idx="19">
                  <c:v>97.773799999999994</c:v>
                </c:pt>
                <c:pt idx="20">
                  <c:v>97.595600000000005</c:v>
                </c:pt>
                <c:pt idx="21">
                  <c:v>96.921700000000001</c:v>
                </c:pt>
                <c:pt idx="22">
                  <c:v>97.307500000000005</c:v>
                </c:pt>
                <c:pt idx="23">
                  <c:v>97.2654</c:v>
                </c:pt>
                <c:pt idx="24">
                  <c:v>97.303700000000006</c:v>
                </c:pt>
                <c:pt idx="25">
                  <c:v>96.786000000000001</c:v>
                </c:pt>
                <c:pt idx="26">
                  <c:v>97.2483</c:v>
                </c:pt>
                <c:pt idx="27">
                  <c:v>97.244500000000002</c:v>
                </c:pt>
                <c:pt idx="28">
                  <c:v>95.745699999999999</c:v>
                </c:pt>
                <c:pt idx="29">
                  <c:v>96.955299999999994</c:v>
                </c:pt>
                <c:pt idx="30">
                  <c:v>97.089600000000004</c:v>
                </c:pt>
                <c:pt idx="31">
                  <c:v>96.563999999999993</c:v>
                </c:pt>
                <c:pt idx="32">
                  <c:v>97.104600000000005</c:v>
                </c:pt>
                <c:pt idx="33">
                  <c:v>96.926400000000001</c:v>
                </c:pt>
                <c:pt idx="34">
                  <c:v>96.166300000000007</c:v>
                </c:pt>
                <c:pt idx="35">
                  <c:v>96.624399999999994</c:v>
                </c:pt>
                <c:pt idx="36">
                  <c:v>96.086399999999998</c:v>
                </c:pt>
                <c:pt idx="37">
                  <c:v>95.444900000000004</c:v>
                </c:pt>
                <c:pt idx="38">
                  <c:v>95.724599999999995</c:v>
                </c:pt>
                <c:pt idx="39">
                  <c:v>96.1524</c:v>
                </c:pt>
                <c:pt idx="40">
                  <c:v>95.767300000000006</c:v>
                </c:pt>
                <c:pt idx="41">
                  <c:v>96.955399999999997</c:v>
                </c:pt>
                <c:pt idx="42">
                  <c:v>97.389799999999994</c:v>
                </c:pt>
                <c:pt idx="43">
                  <c:v>97.331400000000002</c:v>
                </c:pt>
                <c:pt idx="44">
                  <c:v>97.248199999999997</c:v>
                </c:pt>
                <c:pt idx="45">
                  <c:v>97.579400000000007</c:v>
                </c:pt>
                <c:pt idx="46">
                  <c:v>98.069299999999998</c:v>
                </c:pt>
                <c:pt idx="47">
                  <c:v>98.084000000000003</c:v>
                </c:pt>
                <c:pt idx="48">
                  <c:v>98.047300000000007</c:v>
                </c:pt>
                <c:pt idx="49">
                  <c:v>97.212800000000001</c:v>
                </c:pt>
                <c:pt idx="50">
                  <c:v>97.129900000000006</c:v>
                </c:pt>
                <c:pt idx="51">
                  <c:v>96.985699999999994</c:v>
                </c:pt>
                <c:pt idx="52">
                  <c:v>97.078599999999994</c:v>
                </c:pt>
                <c:pt idx="53">
                  <c:v>97.733000000000004</c:v>
                </c:pt>
                <c:pt idx="54">
                  <c:v>98.092399999999998</c:v>
                </c:pt>
                <c:pt idx="55">
                  <c:v>98.838300000000004</c:v>
                </c:pt>
                <c:pt idx="56">
                  <c:v>98.982500000000002</c:v>
                </c:pt>
                <c:pt idx="57">
                  <c:v>99.270499999999998</c:v>
                </c:pt>
                <c:pt idx="58">
                  <c:v>99.430800000000005</c:v>
                </c:pt>
                <c:pt idx="59">
                  <c:v>99.177599999999998</c:v>
                </c:pt>
                <c:pt idx="60">
                  <c:v>99.436099999999996</c:v>
                </c:pt>
              </c:numCache>
            </c:numRef>
          </c:val>
          <c:smooth val="0"/>
          <c:extLst>
            <c:ext xmlns:c16="http://schemas.microsoft.com/office/drawing/2014/chart" uri="{C3380CC4-5D6E-409C-BE32-E72D297353CC}">
              <c16:uniqueId val="{00000000-C53B-465A-93BB-00285185752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0"/>
        <c:tickMarkSkip val="10"/>
        <c:noMultiLvlLbl val="1"/>
      </c:catAx>
      <c:valAx>
        <c:axId val="100"/>
        <c:scaling>
          <c:orientation val="minMax"/>
        </c:scaling>
        <c:delete val="0"/>
        <c:axPos val="l"/>
        <c:numFmt formatCode="General"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a:pPr>
            <a:r>
              <a:t>米国製造業新規受注 コンピュータ・電子製品（SA）（百万ドル）</a:t>
            </a:r>
          </a:p>
        </c:rich>
      </c:tx>
      <c:overlay val="0"/>
    </c:title>
    <c:autoTitleDeleted val="0"/>
    <c:plotArea>
      <c:layout/>
      <c:lineChart>
        <c:grouping val="standard"/>
        <c:varyColors val="0"/>
        <c:ser>
          <c:idx val="0"/>
          <c:order val="0"/>
          <c:tx>
            <c:strRef>
              <c:f>データ_市況!$O$4</c:f>
              <c:strCache>
                <c:ptCount val="1"/>
                <c:pt idx="0">
                  <c:v>米国製造業新規受注 コンピュータ・電子製品（SA）</c:v>
                </c:pt>
              </c:strCache>
            </c:strRef>
          </c:tx>
          <c:spPr>
            <a:ln w="19050">
              <a:solidFill>
                <a:srgbClr val="1F3864"/>
              </a:solidFill>
              <a:prstDash val="solid"/>
            </a:ln>
          </c:spPr>
          <c:marker>
            <c:symbol val="none"/>
          </c:marker>
          <c:cat>
            <c:strRef>
              <c:f>データ_市況!$P$5:$P$64</c:f>
              <c:strCache>
                <c:ptCount val="60"/>
                <c:pt idx="0">
                  <c:v>2021/09</c:v>
                </c:pt>
                <c:pt idx="1">
                  <c:v>2021/10</c:v>
                </c:pt>
                <c:pt idx="2">
                  <c:v>2021/11</c:v>
                </c:pt>
                <c:pt idx="3">
                  <c:v>2021/12</c:v>
                </c:pt>
                <c:pt idx="4">
                  <c:v>2022/01</c:v>
                </c:pt>
                <c:pt idx="5">
                  <c:v>2022/02</c:v>
                </c:pt>
                <c:pt idx="6">
                  <c:v>2022/03</c:v>
                </c:pt>
                <c:pt idx="7">
                  <c:v>2022/04</c:v>
                </c:pt>
                <c:pt idx="8">
                  <c:v>2022/05</c:v>
                </c:pt>
                <c:pt idx="9">
                  <c:v>2022/06</c:v>
                </c:pt>
                <c:pt idx="10">
                  <c:v>2022/07</c:v>
                </c:pt>
                <c:pt idx="11">
                  <c:v>2022/08</c:v>
                </c:pt>
                <c:pt idx="12">
                  <c:v>2022/09</c:v>
                </c:pt>
                <c:pt idx="13">
                  <c:v>2022/10</c:v>
                </c:pt>
                <c:pt idx="14">
                  <c:v>2022/11</c:v>
                </c:pt>
                <c:pt idx="15">
                  <c:v>2022/12</c:v>
                </c:pt>
                <c:pt idx="16">
                  <c:v>2023/01</c:v>
                </c:pt>
                <c:pt idx="17">
                  <c:v>2023/02</c:v>
                </c:pt>
                <c:pt idx="18">
                  <c:v>2023/03</c:v>
                </c:pt>
                <c:pt idx="19">
                  <c:v>2023/04</c:v>
                </c:pt>
                <c:pt idx="20">
                  <c:v>2023/05</c:v>
                </c:pt>
                <c:pt idx="21">
                  <c:v>2023/06</c:v>
                </c:pt>
                <c:pt idx="22">
                  <c:v>2023/07</c:v>
                </c:pt>
                <c:pt idx="23">
                  <c:v>2023/08</c:v>
                </c:pt>
                <c:pt idx="24">
                  <c:v>2023/09</c:v>
                </c:pt>
                <c:pt idx="25">
                  <c:v>2023/10</c:v>
                </c:pt>
                <c:pt idx="26">
                  <c:v>2023/11</c:v>
                </c:pt>
                <c:pt idx="27">
                  <c:v>2023/12</c:v>
                </c:pt>
                <c:pt idx="28">
                  <c:v>2024/01</c:v>
                </c:pt>
                <c:pt idx="29">
                  <c:v>2024/02</c:v>
                </c:pt>
                <c:pt idx="30">
                  <c:v>2024/03</c:v>
                </c:pt>
                <c:pt idx="31">
                  <c:v>2024/04</c:v>
                </c:pt>
                <c:pt idx="32">
                  <c:v>2024/05</c:v>
                </c:pt>
                <c:pt idx="33">
                  <c:v>2024/06</c:v>
                </c:pt>
                <c:pt idx="34">
                  <c:v>2024/07</c:v>
                </c:pt>
                <c:pt idx="35">
                  <c:v>2024/08</c:v>
                </c:pt>
                <c:pt idx="36">
                  <c:v>2024/09</c:v>
                </c:pt>
                <c:pt idx="37">
                  <c:v>2024/10</c:v>
                </c:pt>
                <c:pt idx="38">
                  <c:v>2024/11</c:v>
                </c:pt>
                <c:pt idx="39">
                  <c:v>2024/12</c:v>
                </c:pt>
                <c:pt idx="40">
                  <c:v>2025/01</c:v>
                </c:pt>
                <c:pt idx="41">
                  <c:v>2025/02</c:v>
                </c:pt>
                <c:pt idx="42">
                  <c:v>2025/03</c:v>
                </c:pt>
                <c:pt idx="43">
                  <c:v>2025/04</c:v>
                </c:pt>
                <c:pt idx="44">
                  <c:v>2025/05</c:v>
                </c:pt>
                <c:pt idx="45">
                  <c:v>2025/06</c:v>
                </c:pt>
                <c:pt idx="46">
                  <c:v>2025/07</c:v>
                </c:pt>
                <c:pt idx="47">
                  <c:v>2025/08</c:v>
                </c:pt>
                <c:pt idx="48">
                  <c:v>2025/09</c:v>
                </c:pt>
                <c:pt idx="49">
                  <c:v>2025/10</c:v>
                </c:pt>
                <c:pt idx="50">
                  <c:v>2025/11</c:v>
                </c:pt>
                <c:pt idx="51">
                  <c:v>2025/12</c:v>
                </c:pt>
                <c:pt idx="52">
                  <c:v>2026/01</c:v>
                </c:pt>
                <c:pt idx="53">
                  <c:v>2026/02</c:v>
                </c:pt>
                <c:pt idx="54">
                  <c:v>2026/03</c:v>
                </c:pt>
                <c:pt idx="55">
                  <c:v>2026/04</c:v>
                </c:pt>
                <c:pt idx="56">
                  <c:v>2026/05</c:v>
                </c:pt>
                <c:pt idx="57">
                  <c:v>2026/06</c:v>
                </c:pt>
                <c:pt idx="58">
                  <c:v>2026/07</c:v>
                </c:pt>
                <c:pt idx="59">
                  <c:v>2026/08</c:v>
                </c:pt>
              </c:strCache>
            </c:strRef>
          </c:cat>
          <c:val>
            <c:numRef>
              <c:f>データ_市況!$O$5:$O$64</c:f>
              <c:numCache>
                <c:formatCode>#,##0.00</c:formatCode>
                <c:ptCount val="60"/>
                <c:pt idx="0">
                  <c:v>23426</c:v>
                </c:pt>
                <c:pt idx="1">
                  <c:v>23258</c:v>
                </c:pt>
                <c:pt idx="2">
                  <c:v>24365</c:v>
                </c:pt>
                <c:pt idx="3">
                  <c:v>24000</c:v>
                </c:pt>
                <c:pt idx="4">
                  <c:v>24951</c:v>
                </c:pt>
                <c:pt idx="5">
                  <c:v>24829</c:v>
                </c:pt>
                <c:pt idx="6">
                  <c:v>24866</c:v>
                </c:pt>
                <c:pt idx="7">
                  <c:v>25011</c:v>
                </c:pt>
                <c:pt idx="8">
                  <c:v>25136</c:v>
                </c:pt>
                <c:pt idx="9">
                  <c:v>25024</c:v>
                </c:pt>
                <c:pt idx="10">
                  <c:v>25470</c:v>
                </c:pt>
                <c:pt idx="11">
                  <c:v>25449</c:v>
                </c:pt>
                <c:pt idx="12">
                  <c:v>25076</c:v>
                </c:pt>
                <c:pt idx="13">
                  <c:v>24651</c:v>
                </c:pt>
                <c:pt idx="14">
                  <c:v>24806</c:v>
                </c:pt>
                <c:pt idx="15">
                  <c:v>24587</c:v>
                </c:pt>
                <c:pt idx="16">
                  <c:v>24005</c:v>
                </c:pt>
                <c:pt idx="17">
                  <c:v>24255</c:v>
                </c:pt>
                <c:pt idx="18">
                  <c:v>24613</c:v>
                </c:pt>
                <c:pt idx="19">
                  <c:v>24360</c:v>
                </c:pt>
                <c:pt idx="20">
                  <c:v>24346</c:v>
                </c:pt>
                <c:pt idx="21">
                  <c:v>24640</c:v>
                </c:pt>
                <c:pt idx="22">
                  <c:v>24778</c:v>
                </c:pt>
                <c:pt idx="23">
                  <c:v>24949</c:v>
                </c:pt>
                <c:pt idx="24">
                  <c:v>25148</c:v>
                </c:pt>
                <c:pt idx="25">
                  <c:v>25316</c:v>
                </c:pt>
                <c:pt idx="26">
                  <c:v>25423</c:v>
                </c:pt>
                <c:pt idx="27">
                  <c:v>25075</c:v>
                </c:pt>
                <c:pt idx="28">
                  <c:v>25527</c:v>
                </c:pt>
                <c:pt idx="29">
                  <c:v>25258</c:v>
                </c:pt>
                <c:pt idx="30">
                  <c:v>25104</c:v>
                </c:pt>
                <c:pt idx="31">
                  <c:v>25247</c:v>
                </c:pt>
                <c:pt idx="32">
                  <c:v>25269</c:v>
                </c:pt>
                <c:pt idx="33">
                  <c:v>25253</c:v>
                </c:pt>
                <c:pt idx="34">
                  <c:v>25551</c:v>
                </c:pt>
                <c:pt idx="35">
                  <c:v>25580</c:v>
                </c:pt>
                <c:pt idx="36">
                  <c:v>25755</c:v>
                </c:pt>
                <c:pt idx="37">
                  <c:v>25716</c:v>
                </c:pt>
                <c:pt idx="38">
                  <c:v>25550</c:v>
                </c:pt>
                <c:pt idx="39">
                  <c:v>25946</c:v>
                </c:pt>
                <c:pt idx="40">
                  <c:v>26138</c:v>
                </c:pt>
                <c:pt idx="41">
                  <c:v>26187</c:v>
                </c:pt>
                <c:pt idx="42">
                  <c:v>25733</c:v>
                </c:pt>
                <c:pt idx="43">
                  <c:v>25858</c:v>
                </c:pt>
                <c:pt idx="44">
                  <c:v>26397</c:v>
                </c:pt>
                <c:pt idx="45">
                  <c:v>26639</c:v>
                </c:pt>
                <c:pt idx="46">
                  <c:v>26786</c:v>
                </c:pt>
                <c:pt idx="47">
                  <c:v>26485</c:v>
                </c:pt>
                <c:pt idx="48">
                  <c:v>26803</c:v>
                </c:pt>
                <c:pt idx="49">
                  <c:v>26863</c:v>
                </c:pt>
                <c:pt idx="50">
                  <c:v>27015</c:v>
                </c:pt>
                <c:pt idx="51">
                  <c:v>27945</c:v>
                </c:pt>
                <c:pt idx="52">
                  <c:v>28163</c:v>
                </c:pt>
                <c:pt idx="53">
                  <c:v>28559</c:v>
                </c:pt>
                <c:pt idx="54">
                  <c:v>29926</c:v>
                </c:pt>
                <c:pt idx="55">
                  <c:v>29813</c:v>
                </c:pt>
                <c:pt idx="56">
                  <c:v>30134</c:v>
                </c:pt>
                <c:pt idx="57">
                  <c:v>31073</c:v>
                </c:pt>
                <c:pt idx="58">
                  <c:v>30873</c:v>
                </c:pt>
                <c:pt idx="59">
                  <c:v>30868</c:v>
                </c:pt>
              </c:numCache>
            </c:numRef>
          </c:val>
          <c:smooth val="0"/>
          <c:extLst>
            <c:ext xmlns:c16="http://schemas.microsoft.com/office/drawing/2014/chart" uri="{C3380CC4-5D6E-409C-BE32-E72D297353CC}">
              <c16:uniqueId val="{00000000-7BF2-4AE6-A05D-547098CBE00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 sourceLinked="0"/>
        <c:majorTickMark val="none"/>
        <c:minorTickMark val="none"/>
        <c:tickLblPos val="nextTo"/>
        <c:crossAx val="100"/>
        <c:crosses val="autoZero"/>
        <c:auto val="1"/>
        <c:lblAlgn val="ctr"/>
        <c:lblOffset val="100"/>
        <c:tickLblSkip val="10"/>
        <c:tickMarkSkip val="1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3.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57</xdr:row>
      <xdr:rowOff>0</xdr:rowOff>
    </xdr:from>
    <xdr:ext cx="486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57</xdr:row>
      <xdr:rowOff>0</xdr:rowOff>
    </xdr:from>
    <xdr:ext cx="4860000" cy="25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74</xdr:row>
      <xdr:rowOff>0</xdr:rowOff>
    </xdr:from>
    <xdr:ext cx="4860000" cy="252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74</xdr:row>
      <xdr:rowOff>0</xdr:rowOff>
    </xdr:from>
    <xdr:ext cx="4860000" cy="252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110</xdr:row>
      <xdr:rowOff>0</xdr:rowOff>
    </xdr:from>
    <xdr:ext cx="4860000" cy="2880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xdr:col>
      <xdr:colOff>0</xdr:colOff>
      <xdr:row>144</xdr:row>
      <xdr:rowOff>0</xdr:rowOff>
    </xdr:from>
    <xdr:ext cx="4860000" cy="2880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7</xdr:col>
      <xdr:colOff>0</xdr:colOff>
      <xdr:row>144</xdr:row>
      <xdr:rowOff>0</xdr:rowOff>
    </xdr:from>
    <xdr:ext cx="4860000" cy="2880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0</xdr:colOff>
      <xdr:row>321</xdr:row>
      <xdr:rowOff>0</xdr:rowOff>
    </xdr:from>
    <xdr:ext cx="4860000" cy="252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7</xdr:col>
      <xdr:colOff>0</xdr:colOff>
      <xdr:row>321</xdr:row>
      <xdr:rowOff>0</xdr:rowOff>
    </xdr:from>
    <xdr:ext cx="4860000" cy="2520000"/>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xdr:col>
      <xdr:colOff>0</xdr:colOff>
      <xdr:row>339</xdr:row>
      <xdr:rowOff>0</xdr:rowOff>
    </xdr:from>
    <xdr:ext cx="4860000" cy="2520000"/>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7</xdr:col>
      <xdr:colOff>0</xdr:colOff>
      <xdr:row>339</xdr:row>
      <xdr:rowOff>0</xdr:rowOff>
    </xdr:from>
    <xdr:ext cx="4860000" cy="2520000"/>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1</xdr:col>
      <xdr:colOff>0</xdr:colOff>
      <xdr:row>357</xdr:row>
      <xdr:rowOff>0</xdr:rowOff>
    </xdr:from>
    <xdr:ext cx="4860000" cy="2520000"/>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1</xdr:col>
      <xdr:colOff>0</xdr:colOff>
      <xdr:row>19</xdr:row>
      <xdr:rowOff>0</xdr:rowOff>
    </xdr:from>
    <xdr:ext cx="5762625" cy="2905125"/>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172</xdr:row>
      <xdr:rowOff>0</xdr:rowOff>
    </xdr:from>
    <xdr:ext cx="5762625" cy="3438525"/>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194</xdr:row>
      <xdr:rowOff>0</xdr:rowOff>
    </xdr:from>
    <xdr:ext cx="5762625" cy="230505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210</xdr:row>
      <xdr:rowOff>0</xdr:rowOff>
    </xdr:from>
    <xdr:ext cx="5762625" cy="3876675"/>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244</xdr:row>
      <xdr:rowOff>0</xdr:rowOff>
    </xdr:from>
    <xdr:ext cx="5762625" cy="415290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17" Type="http://schemas.openxmlformats.org/officeDocument/2006/relationships/hyperlink" Target="https://www.trendforce.com/news/2025/09/15/news-china-opens-analog-chip-dumping-probe-against-ti-broadcom-and-others-over-300-margin/" TargetMode="External"/><Relationship Id="rId21" Type="http://schemas.openxmlformats.org/officeDocument/2006/relationships/hyperlink" Target="http://english.scio.gov.cn/m/pressroom/2025-09/14/content_118077750.html" TargetMode="External"/><Relationship Id="rId42" Type="http://schemas.openxmlformats.org/officeDocument/2006/relationships/hyperlink" Target="https://www.sec.gov/Archives/edgar/data/97476/000009747626000003/q42025txnex99-eredgar.htm" TargetMode="External"/><Relationship Id="rId63" Type="http://schemas.openxmlformats.org/officeDocument/2006/relationships/hyperlink" Target="https://www.news.cn/fortune/20250913/37be7ecc9ee249b0b33e50ab431f0e9d/c.html" TargetMode="External"/><Relationship Id="rId84" Type="http://schemas.openxmlformats.org/officeDocument/2006/relationships/hyperlink" Target="https://www.sec.gov/Archives/edgar/data/0000932787/000093278726000052/c3403c-q226earningspressre.htm" TargetMode="External"/><Relationship Id="rId16" Type="http://schemas.openxmlformats.org/officeDocument/2006/relationships/hyperlink" Target="https://www.sec.gov/Archives/edgar/data/0001097864/000114036126030989/ef20079200_ex99-1.htm" TargetMode="External"/><Relationship Id="rId107" Type="http://schemas.openxmlformats.org/officeDocument/2006/relationships/hyperlink" Target="https://www.mofcom.gov.cn/zcfb/blgg/gg/2026/art/2026/art_80d0b307ea6b4eaab59d7d3f6f5f7740.html" TargetMode="External"/><Relationship Id="rId11" Type="http://schemas.openxmlformats.org/officeDocument/2006/relationships/hyperlink" Target="https://www.boardroomalpha.com/sec/slab-8-k-2026-05-26-0001193125-26-237879" TargetMode="External"/><Relationship Id="rId32" Type="http://schemas.openxmlformats.org/officeDocument/2006/relationships/hyperlink" Target="https://www.sec.gov/Archives/edgar/data/97476/000095010326008325/dp247795_8k.htm" TargetMode="External"/><Relationship Id="rId37" Type="http://schemas.openxmlformats.org/officeDocument/2006/relationships/hyperlink" Target="https://www.sec.gov/Archives/edgar/data/97476/000009747625000007/txn-20241231.htm" TargetMode="External"/><Relationship Id="rId53" Type="http://schemas.openxmlformats.org/officeDocument/2006/relationships/hyperlink" Target="https://www.sec.gov/Archives/edgar/data/0000097476/000009747626000152/txn-20260630.htm" TargetMode="External"/><Relationship Id="rId58" Type="http://schemas.openxmlformats.org/officeDocument/2006/relationships/hyperlink" Target="https://247wallst.com/investing/2026/10/22/texas-instruments-just-guided-above-wall-street-as-ai-demand-spills-into-analog/" TargetMode="External"/><Relationship Id="rId74" Type="http://schemas.openxmlformats.org/officeDocument/2006/relationships/hyperlink" Target="https://fred.stlouisfed.org/series/IPG3344S" TargetMode="External"/><Relationship Id="rId79" Type="http://schemas.openxmlformats.org/officeDocument/2006/relationships/hyperlink" Target="https://www.sec.gov/cgi-bin/browse-edgar?action=getcompany&amp;CIK=0000097476&amp;type=10-K" TargetMode="External"/><Relationship Id="rId102" Type="http://schemas.openxmlformats.org/officeDocument/2006/relationships/hyperlink" Target="https://cacs.mofcom.gov.cn/cacscms/article/jkdc?articleId=185619&amp;type=1" TargetMode="External"/><Relationship Id="rId123" Type="http://schemas.openxmlformats.org/officeDocument/2006/relationships/hyperlink" Target="https://view.inews.qq.com/a/20260716A07IIG00" TargetMode="External"/><Relationship Id="rId128" Type="http://schemas.openxmlformats.org/officeDocument/2006/relationships/hyperlink" Target="https://www.eenewseurope.com/en/top-ten-automotive-microcontroller-suppliers-in-2024" TargetMode="External"/><Relationship Id="rId5" Type="http://schemas.openxmlformats.org/officeDocument/2006/relationships/hyperlink" Target="https://www.sec.gov/Archives/edgar/data/97476/000009747626000059/txn-20251231.htm" TargetMode="External"/><Relationship Id="rId90" Type="http://schemas.openxmlformats.org/officeDocument/2006/relationships/hyperlink" Target="https://techinsights.com/ko/node/59326" TargetMode="External"/><Relationship Id="rId95" Type="http://schemas.openxmlformats.org/officeDocument/2006/relationships/hyperlink" Target="https://www.scmr.com/article/june_manufacturing_data_marks_a_strong_first_half_of_2021_says_ism/News" TargetMode="External"/><Relationship Id="rId22" Type="http://schemas.openxmlformats.org/officeDocument/2006/relationships/hyperlink" Target="https://www.placera.se/pressmeddelanden/infineon-technologies-infineon-technolgies-ag-q3-fy-2026-concluded-with-record-sales-driven-by-strong-ai-business-further-significant-increase-in-revenue-and-margin-expected-in-q4-fy-2026-20260805" TargetMode="External"/><Relationship Id="rId27" Type="http://schemas.openxmlformats.org/officeDocument/2006/relationships/hyperlink" Target="../../../../investment-org/context/stocks/TXN_Texas-Instruments/research_20261017_products-strategy-history.md" TargetMode="External"/><Relationship Id="rId43" Type="http://schemas.openxmlformats.org/officeDocument/2006/relationships/hyperlink" Target="https://www.sec.gov/Archives/edgar/data/97476/000009747625000056/q32025txnex99-eredgarversi.htm" TargetMode="External"/><Relationship Id="rId48" Type="http://schemas.openxmlformats.org/officeDocument/2006/relationships/hyperlink" Target="https://www.sec.gov/Archives/edgar/data/97476/000119312526036727/d100130dex991.htm" TargetMode="External"/><Relationship Id="rId64" Type="http://schemas.openxmlformats.org/officeDocument/2006/relationships/hyperlink" Target="https://www.sec.gov/Archives/edgar/data/97476/000095010326008325/dp247795_8k.htm" TargetMode="External"/><Relationship Id="rId69" Type="http://schemas.openxmlformats.org/officeDocument/2006/relationships/hyperlink" Target="https://www.rttnews.com/3613656/texas-instruments-q4-25-earnings-conference-call-at-4-30-pm-et.aspx" TargetMode="External"/><Relationship Id="rId113" Type="http://schemas.openxmlformats.org/officeDocument/2006/relationships/hyperlink" Target="https://www.sec.gov/Archives/edgar/data/1038074/000119312526128959/d34834ddefm14a.htm" TargetMode="External"/><Relationship Id="rId118" Type="http://schemas.openxmlformats.org/officeDocument/2006/relationships/hyperlink" Target="https://query1.finance.yahoo.com/v8/finance/chart/TXN" TargetMode="External"/><Relationship Id="rId134" Type="http://schemas.openxmlformats.org/officeDocument/2006/relationships/hyperlink" Target="https://fred.stlouisfed.org/series/DGS10" TargetMode="External"/><Relationship Id="rId80" Type="http://schemas.openxmlformats.org/officeDocument/2006/relationships/hyperlink" Target="https://www.sec.gov/cgi-bin/browse-edgar?action=getcompany&amp;CIK=0000097476&amp;type=10-Q" TargetMode="External"/><Relationship Id="rId85" Type="http://schemas.openxmlformats.org/officeDocument/2006/relationships/hyperlink" Target="https://www.alpha-sense.com/earnings/stm/" TargetMode="External"/><Relationship Id="rId12" Type="http://schemas.openxmlformats.org/officeDocument/2006/relationships/hyperlink" Target="https://www.sec.gov/Archives/edgar/data/0000097476/000009747626000165/q32026txnex99-eredgar.htm" TargetMode="External"/><Relationship Id="rId17" Type="http://schemas.openxmlformats.org/officeDocument/2006/relationships/hyperlink" Target="https://www.sec.gov/Archives/edgar/data/0000932787/000093278726000052/c3403c-q226earningspressre.htm" TargetMode="External"/><Relationship Id="rId33" Type="http://schemas.openxmlformats.org/officeDocument/2006/relationships/hyperlink" Target="https://www.sec.gov/Archives/edgar/data/97476/000119312526124057/d136885d8k.htm" TargetMode="External"/><Relationship Id="rId38" Type="http://schemas.openxmlformats.org/officeDocument/2006/relationships/hyperlink" Target="https://www.sec.gov/Archives/edgar/data/97476/000009747622000009/txn-20211231.htm" TargetMode="External"/><Relationship Id="rId59" Type="http://schemas.openxmlformats.org/officeDocument/2006/relationships/hyperlink" Target="https://www.fxleaders.com/news/2026/10/22/texas-instruments-stock-forecast/" TargetMode="External"/><Relationship Id="rId103" Type="http://schemas.openxmlformats.org/officeDocument/2006/relationships/hyperlink" Target="https://cacs.mofcom.gov.cn/cacscms/view/notice/jkdc" TargetMode="External"/><Relationship Id="rId108" Type="http://schemas.openxmlformats.org/officeDocument/2006/relationships/hyperlink" Target="https://www.mofcom.gov.cn/zcfb/blgg/gg/2026/art/2026/art_620bc789407b48e994bb95e90d95186b.html" TargetMode="External"/><Relationship Id="rId124" Type="http://schemas.openxmlformats.org/officeDocument/2006/relationships/hyperlink" Target="https://www.ti.com/lit/ml/szzo174/szzo174.pdf" TargetMode="External"/><Relationship Id="rId129" Type="http://schemas.openxmlformats.org/officeDocument/2006/relationships/hyperlink" Target="https://fred.stlouisfed.org/series/PCU334413334413" TargetMode="External"/><Relationship Id="rId54" Type="http://schemas.openxmlformats.org/officeDocument/2006/relationships/hyperlink" Target="https://www.sec.gov/Archives/edgar/data/97476/000095010326014118/dp253473_ex99.htm" TargetMode="External"/><Relationship Id="rId70" Type="http://schemas.openxmlformats.org/officeDocument/2006/relationships/hyperlink" Target="https://www.wsts.org/esraCMS/extension/media/f/WST/7618/WSTS_FC-Release-2026-May.pdf" TargetMode="External"/><Relationship Id="rId75" Type="http://schemas.openxmlformats.org/officeDocument/2006/relationships/hyperlink" Target="https://fred.stlouisfed.org/series/PCU33443344" TargetMode="External"/><Relationship Id="rId91" Type="http://schemas.openxmlformats.org/officeDocument/2006/relationships/hyperlink" Target="https://us.design-reuse.com/news/51679/mcu-market-history-and-forecast.html" TargetMode="External"/><Relationship Id="rId96" Type="http://schemas.openxmlformats.org/officeDocument/2006/relationships/hyperlink" Target="https://www.ftportfolios.com/Commentary/EconomicResearch/2026/10/16/industrial-production-increased-0.7percent-in-september" TargetMode="External"/><Relationship Id="rId1" Type="http://schemas.openxmlformats.org/officeDocument/2006/relationships/hyperlink" Target="https://www.sec.gov/Archives/edgar/data/97476/000009747626000165/q32026txnex99-eredgar.htm" TargetMode="External"/><Relationship Id="rId6" Type="http://schemas.openxmlformats.org/officeDocument/2006/relationships/hyperlink" Target="https://www.sec.gov/Archives/edgar/data/97476/000009747626000165/q32026txnex99-eredgar.htm" TargetMode="External"/><Relationship Id="rId23" Type="http://schemas.openxmlformats.org/officeDocument/2006/relationships/hyperlink" Target="https://evertiq.com/design/2026-07-02-infineon-opens-5-billion-smart-power-fab-in-dresden" TargetMode="External"/><Relationship Id="rId28" Type="http://schemas.openxmlformats.org/officeDocument/2006/relationships/hyperlink" Target="https://www.sec.gov/Archives/edgar/data/97476/000119312520223640/d97776d8k.htm" TargetMode="External"/><Relationship Id="rId49" Type="http://schemas.openxmlformats.org/officeDocument/2006/relationships/hyperlink" Target="https://www.sec.gov/Archives/edgar/data/0000097476/000009747626000165/q32026txnex99-eredgar.htm" TargetMode="External"/><Relationship Id="rId114" Type="http://schemas.openxmlformats.org/officeDocument/2006/relationships/hyperlink" Target="https://www.sec.gov/Archives/edgar/data/1038074/000119312526237879/d467226d8k.htm" TargetMode="External"/><Relationship Id="rId119" Type="http://schemas.openxmlformats.org/officeDocument/2006/relationships/hyperlink" Target="https://www.americanbar.org/content/dam/aba/publications/antitrust/magazine/2025/vol-39-issue-3/china-merger-control.pdf" TargetMode="External"/><Relationship Id="rId44" Type="http://schemas.openxmlformats.org/officeDocument/2006/relationships/hyperlink" Target="https://www.sec.gov/Archives/edgar/data/97476/000009747625000033/q22025txnex99-er1.htm" TargetMode="External"/><Relationship Id="rId60" Type="http://schemas.openxmlformats.org/officeDocument/2006/relationships/hyperlink" Target="https://www.marketbeat.com/articles/is-texas-instruments-setting-up-for-its-next-big-breakout/" TargetMode="External"/><Relationship Id="rId65" Type="http://schemas.openxmlformats.org/officeDocument/2006/relationships/hyperlink" Target="https://www.sec.gov/Archives/edgar/data/97476/000009747626000080/ti2025ars.pdf" TargetMode="External"/><Relationship Id="rId81" Type="http://schemas.openxmlformats.org/officeDocument/2006/relationships/hyperlink" Target="https://www.fool.com/earnings/call-transcripts/2026/10/21/texas-instruments-txn-q3-2026-earnings-call-transcript/" TargetMode="External"/><Relationship Id="rId86" Type="http://schemas.openxmlformats.org/officeDocument/2006/relationships/hyperlink" Target="https://www.kavout.com/market-lens/microchip-technology-s-premium-prices-recovery-not-long-term-acceleration" TargetMode="External"/><Relationship Id="rId130" Type="http://schemas.openxmlformats.org/officeDocument/2006/relationships/hyperlink" Target="https://fred.stlouisfed.org/series/IPG3344S" TargetMode="External"/><Relationship Id="rId135" Type="http://schemas.openxmlformats.org/officeDocument/2006/relationships/hyperlink" Target="https://pages.stern.nyu.edu/~adamodar/" TargetMode="External"/><Relationship Id="rId13" Type="http://schemas.openxmlformats.org/officeDocument/2006/relationships/hyperlink" Target="https://www.sec.gov/Archives/edgar/data/0000006281/000000628126000072/adi3q26exhibit991earnings.htm" TargetMode="External"/><Relationship Id="rId18" Type="http://schemas.openxmlformats.org/officeDocument/2006/relationships/hyperlink" Target="https://www.sec.gov/Archives/edgar/data/0001280452/000162828026051029/mpwr-20260630xexx991.htm" TargetMode="External"/><Relationship Id="rId39" Type="http://schemas.openxmlformats.org/officeDocument/2006/relationships/hyperlink" Target="https://www.sec.gov/Archives/edgar/data/97476/000009747626000165/q32026txnex99-eredgar.htm" TargetMode="External"/><Relationship Id="rId109" Type="http://schemas.openxmlformats.org/officeDocument/2006/relationships/hyperlink" Target="https://www.mofcom.gov.cn/zcjd/dwmy/art/2026/art_c68e66e26aae44278b2a7f1845857270.html" TargetMode="External"/><Relationship Id="rId34" Type="http://schemas.openxmlformats.org/officeDocument/2006/relationships/hyperlink" Target="https://www.sec.gov/Archives/edgar/data/97476/000009747626000078/txn-20260303.htm" TargetMode="External"/><Relationship Id="rId50" Type="http://schemas.openxmlformats.org/officeDocument/2006/relationships/hyperlink" Target="https://www.fool.com/earnings/call-transcripts/2026/10/21/texas-instruments-txn-q3-2026-earnings-call-transcript/" TargetMode="External"/><Relationship Id="rId55" Type="http://schemas.openxmlformats.org/officeDocument/2006/relationships/hyperlink" Target="https://finance.yahoo.com/markets/stocks/articles/texas-instruments-q2-earnings-call-220548400.html" TargetMode="External"/><Relationship Id="rId76" Type="http://schemas.openxmlformats.org/officeDocument/2006/relationships/hyperlink" Target="https://www.stats.gov.cn/english/PressRelease/202610/t20261008_1965466.html" TargetMode="External"/><Relationship Id="rId97" Type="http://schemas.openxmlformats.org/officeDocument/2006/relationships/hyperlink" Target="https://www.sec.gov/Archives/edgar/data/97476/000009747626000165/q32026txnex99.htm" TargetMode="External"/><Relationship Id="rId104" Type="http://schemas.openxmlformats.org/officeDocument/2006/relationships/hyperlink" Target="https://www.mofcom.gov.cn/zcfb/blgg/gg/2026/index.html" TargetMode="External"/><Relationship Id="rId120" Type="http://schemas.openxmlformats.org/officeDocument/2006/relationships/hyperlink" Target="https://www.sec.gov/Archives/edgar/data/1038074/000103807426000014/slab-20260430.htm" TargetMode="External"/><Relationship Id="rId125" Type="http://schemas.openxmlformats.org/officeDocument/2006/relationships/hyperlink" Target="https://www.sec.gov/Archives/edgar/data/97476/000119312526036727/d100130dex992.htm" TargetMode="External"/><Relationship Id="rId7" Type="http://schemas.openxmlformats.org/officeDocument/2006/relationships/hyperlink" Target="https://www.sec.gov/Archives/edgar/data/97476/000009747626000152/txn-20260630.htm" TargetMode="External"/><Relationship Id="rId71" Type="http://schemas.openxmlformats.org/officeDocument/2006/relationships/hyperlink" Target="https://www.jeita.or.jp/japanese/stat/wsts/docs/20260602WSTS.pdf" TargetMode="External"/><Relationship Id="rId92" Type="http://schemas.openxmlformats.org/officeDocument/2006/relationships/hyperlink" Target="https://longportapp.cn/en/news/287868042" TargetMode="External"/><Relationship Id="rId2" Type="http://schemas.openxmlformats.org/officeDocument/2006/relationships/hyperlink" Target="https://www.sec.gov/Archives/edgar/data/97476/000009747626000152/txn-20260630.htm" TargetMode="External"/><Relationship Id="rId29" Type="http://schemas.openxmlformats.org/officeDocument/2006/relationships/hyperlink" Target="https://www.sec.gov/Archives/edgar/data/97476/000119312521350324/d444198d8k.htm" TargetMode="External"/><Relationship Id="rId24" Type="http://schemas.openxmlformats.org/officeDocument/2006/relationships/hyperlink" Target="https://secure.businesswire.com/news/home/20260730481394/en/Renesas-Reports-Financial-Results-for-the-Second-Quarter-Ended-June-30-2026" TargetMode="External"/><Relationship Id="rId40" Type="http://schemas.openxmlformats.org/officeDocument/2006/relationships/hyperlink" Target="https://www.sec.gov/Archives/edgar/data/97476/000009747626000148/q22026txnex99-eredgar.htm" TargetMode="External"/><Relationship Id="rId45" Type="http://schemas.openxmlformats.org/officeDocument/2006/relationships/hyperlink" Target="https://data.sec.gov/api/xbrl/companyfacts/CIK0000097476.json" TargetMode="External"/><Relationship Id="rId66" Type="http://schemas.openxmlformats.org/officeDocument/2006/relationships/hyperlink" Target="https://www.fool.com/earnings/takeaways/2026/10/22/texas-instruments-3-key-takeaways-for-long-term-investors/" TargetMode="External"/><Relationship Id="rId87" Type="http://schemas.openxmlformats.org/officeDocument/2006/relationships/hyperlink" Target="https://us.design-reuse.com/news/52101/2021-top-10-analog-suppliers.html" TargetMode="External"/><Relationship Id="rId110" Type="http://schemas.openxmlformats.org/officeDocument/2006/relationships/hyperlink" Target="https://www.whitehouse.gov/fact-sheets/2025/11/fact-sheet-president-donald-j-trump-strikes-deal-on-economic-and-trade-relations-with-china/" TargetMode="External"/><Relationship Id="rId115" Type="http://schemas.openxmlformats.org/officeDocument/2006/relationships/hyperlink" Target="https://www.sec.gov/Archives/edgar/data/1038074/000103807426000029/slab-20260704.htm" TargetMode="External"/><Relationship Id="rId131" Type="http://schemas.openxmlformats.org/officeDocument/2006/relationships/hyperlink" Target="https://fred.stlouisfed.org/series/ALTSALES" TargetMode="External"/><Relationship Id="rId136" Type="http://schemas.openxmlformats.org/officeDocument/2006/relationships/hyperlink" Target="../../../shared/txn_market/" TargetMode="External"/><Relationship Id="rId61" Type="http://schemas.openxmlformats.org/officeDocument/2006/relationships/hyperlink" Target="https://www.mlex.com/mlex/mergers-acquisitions/articles/2481610/texas-instruments-7-5-billion-acquisition-of-silicon-labs-receives-hsr-clearance" TargetMode="External"/><Relationship Id="rId82" Type="http://schemas.openxmlformats.org/officeDocument/2006/relationships/hyperlink" Target="https://data.sec.gov/api/xbrl/companyfacts/" TargetMode="External"/><Relationship Id="rId19" Type="http://schemas.openxmlformats.org/officeDocument/2006/relationships/hyperlink" Target="https://www.fool.com/earnings/call-transcripts/2026/10/21/texas-instruments-txn-q3-2026-earnings-call-transcript/" TargetMode="External"/><Relationship Id="rId14" Type="http://schemas.openxmlformats.org/officeDocument/2006/relationships/hyperlink" Target="https://www.sec.gov/Archives/edgar/data/0000827054/000082705426000037/exhibit991q1fy27.htm" TargetMode="External"/><Relationship Id="rId30" Type="http://schemas.openxmlformats.org/officeDocument/2006/relationships/hyperlink" Target="https://www.sec.gov/Archives/edgar/data/97476/000119312523011991/d398525d8k.htm" TargetMode="External"/><Relationship Id="rId35" Type="http://schemas.openxmlformats.org/officeDocument/2006/relationships/hyperlink" Target="https://www.sec.gov/Archives/edgar/data/97476/000009747626000094/txn-20260416.htm" TargetMode="External"/><Relationship Id="rId56" Type="http://schemas.openxmlformats.org/officeDocument/2006/relationships/hyperlink" Target="https://www.gurufocus.com/news/9137481/txn-maintained-by-morgan-stanley-price-target-raised-to-278" TargetMode="External"/><Relationship Id="rId77" Type="http://schemas.openxmlformats.org/officeDocument/2006/relationships/hyperlink" Target="https://www.steelorbis.com/steel-news/latest-news/caam-chinas-auto-vehicle-sales-down-45-percent-in-january-september-2026-1484072.htm" TargetMode="External"/><Relationship Id="rId100" Type="http://schemas.openxmlformats.org/officeDocument/2006/relationships/hyperlink" Target="https://www.fool.com/earnings/call-transcripts/2026/10/21/texas-instruments-txn-q3-2026-earnings-call-transcript/" TargetMode="External"/><Relationship Id="rId105" Type="http://schemas.openxmlformats.org/officeDocument/2006/relationships/hyperlink" Target="https://cacs.mofcom.gov.cn/cacscms/article/jkdc?articleId=185989&amp;type=F" TargetMode="External"/><Relationship Id="rId126" Type="http://schemas.openxmlformats.org/officeDocument/2006/relationships/hyperlink" Target="https://www.sec.gov/Archives/edgar/data/97476/000009747626000059/txn-20251231.htm" TargetMode="External"/><Relationship Id="rId8" Type="http://schemas.openxmlformats.org/officeDocument/2006/relationships/hyperlink" Target="https://www.sec.gov/Archives/edgar/data/97476/000095010326014118/dp253473_ex99.htm" TargetMode="External"/><Relationship Id="rId51" Type="http://schemas.openxmlformats.org/officeDocument/2006/relationships/hyperlink" Target="https://finance.yahoo.com/markets/stocks/articles/texas-instruments-q3-earnings-call-230316199.html" TargetMode="External"/><Relationship Id="rId72" Type="http://schemas.openxmlformats.org/officeDocument/2006/relationships/hyperlink" Target="https://anysilicon.com/news/year-to-date-global-semiconductor-sales-top-1-trillion-through-august/" TargetMode="External"/><Relationship Id="rId93" Type="http://schemas.openxmlformats.org/officeDocument/2006/relationships/hyperlink" Target="https://www.thestandard.com.hk/innovation/article/337678/AI-data-center-power-shift-to-800VDC-to-reach-79pc-adoption-by-2030-Citi" TargetMode="External"/><Relationship Id="rId98" Type="http://schemas.openxmlformats.org/officeDocument/2006/relationships/hyperlink" Target="https://www.sec.gov/Archives/edgar/data/97476/000009747626000059/txn-20251231.htm" TargetMode="External"/><Relationship Id="rId121" Type="http://schemas.openxmlformats.org/officeDocument/2006/relationships/hyperlink" Target="https://data.sec.gov/api/xbrl/companyfacts/CIK0001038074.json" TargetMode="External"/><Relationship Id="rId3" Type="http://schemas.openxmlformats.org/officeDocument/2006/relationships/hyperlink" Target="https://data.sec.gov/submissions/CIK0000097476.json" TargetMode="External"/><Relationship Id="rId25" Type="http://schemas.openxmlformats.org/officeDocument/2006/relationships/hyperlink" Target="https://www.globenewswire.com/news-release/2026/10/05/3374171/0/en/index.html" TargetMode="External"/><Relationship Id="rId46" Type="http://schemas.openxmlformats.org/officeDocument/2006/relationships/hyperlink" Target="https://finance.yahoo.com/news/texas-instruments-slashes-2026-capex-101721209.html" TargetMode="External"/><Relationship Id="rId67" Type="http://schemas.openxmlformats.org/officeDocument/2006/relationships/hyperlink" Target="https://www.marketbeat.com/instant-alerts/texas-instruments-nasdaqtxn-price-target-raised-to-40000-2026-07-23/" TargetMode="External"/><Relationship Id="rId116" Type="http://schemas.openxmlformats.org/officeDocument/2006/relationships/hyperlink" Target="https://www.sec.gov/Archives/edgar/data/97476/000095010326008325/dp247795_8k.htm" TargetMode="External"/><Relationship Id="rId137" Type="http://schemas.openxmlformats.org/officeDocument/2006/relationships/hyperlink" Target="market.json" TargetMode="External"/><Relationship Id="rId20" Type="http://schemas.openxmlformats.org/officeDocument/2006/relationships/hyperlink" Target="https://www.trendforce.com/news/2026/08/13/news-adi-reportedly-set-to-raise-prices-again-on-september-with-military-chips-facing-up-to-30-hike/" TargetMode="External"/><Relationship Id="rId41" Type="http://schemas.openxmlformats.org/officeDocument/2006/relationships/hyperlink" Target="https://www.sec.gov/Archives/edgar/data/97476/000009747626000097/q12026txnex99-eredgar.htm" TargetMode="External"/><Relationship Id="rId62" Type="http://schemas.openxmlformats.org/officeDocument/2006/relationships/hyperlink" Target="https://uk.investing.com/news/sec-filings/silicon-laboratories-shareholders-approve-merger-with-texas-instruments-93CH-4641929" TargetMode="External"/><Relationship Id="rId83" Type="http://schemas.openxmlformats.org/officeDocument/2006/relationships/hyperlink" Target="https://mfn.se/all/a/nxp-semiconductors/nxp-semiconductors-reports-second-quarter-2026-results-5d29ebc9" TargetMode="External"/><Relationship Id="rId88" Type="http://schemas.openxmlformats.org/officeDocument/2006/relationships/hyperlink" Target="https://www.heise.de/en/news/Europe-s-microcontroller-market-leaders-Infineon-NXP-and-STMicroelectronics-11247952.html" TargetMode="External"/><Relationship Id="rId111" Type="http://schemas.openxmlformats.org/officeDocument/2006/relationships/hyperlink" Target="https://ionanalytics.com/insights/mergermarket/parr/samr-formally-accepts-slab-ti-for-review/" TargetMode="External"/><Relationship Id="rId132" Type="http://schemas.openxmlformats.org/officeDocument/2006/relationships/hyperlink" Target="https://fred.stlouisfed.org/series/IPMAN" TargetMode="External"/><Relationship Id="rId15" Type="http://schemas.openxmlformats.org/officeDocument/2006/relationships/hyperlink" Target="https://www.sec.gov/Archives/edgar/data/0001413447/000141344726000044/nxp2q26exhibit991.htm" TargetMode="External"/><Relationship Id="rId36" Type="http://schemas.openxmlformats.org/officeDocument/2006/relationships/hyperlink" Target="https://www.sec.gov/Archives/edgar/data/97476/000009747626000059/txn-20251231.htm" TargetMode="External"/><Relationship Id="rId57" Type="http://schemas.openxmlformats.org/officeDocument/2006/relationships/hyperlink" Target="https://www.benzinga.com/analyst-stock-ratings/price-target/26/10/62537249/these-analysts-revise-their-forecasts-on-texas-instruments-following-q3-results" TargetMode="External"/><Relationship Id="rId106" Type="http://schemas.openxmlformats.org/officeDocument/2006/relationships/hyperlink" Target="https://english.mofcom.gov.cn/News/SpokesmansRemarks/art/2025/art_fbe5b1354a344214921101ae311ddffb.html" TargetMode="External"/><Relationship Id="rId127" Type="http://schemas.openxmlformats.org/officeDocument/2006/relationships/hyperlink" Target="https://dopodomani.biz/en/top-analog-semiconductor-companies/" TargetMode="External"/><Relationship Id="rId10" Type="http://schemas.openxmlformats.org/officeDocument/2006/relationships/hyperlink" Target="https://www.fool.com/earnings/call-transcripts/2026/10/21/texas-instruments-txn-q3-2026-earnings-call-transcript/" TargetMode="External"/><Relationship Id="rId31" Type="http://schemas.openxmlformats.org/officeDocument/2006/relationships/hyperlink" Target="https://www.sec.gov/Archives/edgar/data/97476/000095010325013275/dp235861_8k.htm" TargetMode="External"/><Relationship Id="rId52" Type="http://schemas.openxmlformats.org/officeDocument/2006/relationships/hyperlink" Target="https://query1.finance.yahoo.com/v8/finance/chart/TXN" TargetMode="External"/><Relationship Id="rId73" Type="http://schemas.openxmlformats.org/officeDocument/2006/relationships/hyperlink" Target="https://www.ismworld.org/globalassets/pub/research-and-surveys/rob/pmi/baby202609pmi.pdf" TargetMode="External"/><Relationship Id="rId78" Type="http://schemas.openxmlformats.org/officeDocument/2006/relationships/hyperlink" Target="https://www.sec.gov/Archives/edgar/data/0000097476/000009747626000165/q32026txnex99-eredgar.htm" TargetMode="External"/><Relationship Id="rId94" Type="http://schemas.openxmlformats.org/officeDocument/2006/relationships/hyperlink" Target="https://www.ti.com/lit/ssztd83" TargetMode="External"/><Relationship Id="rId99" Type="http://schemas.openxmlformats.org/officeDocument/2006/relationships/hyperlink" Target="https://www.sec.gov/Archives/edgar/data/97476/000009747626000152/txn-20260630.htm" TargetMode="External"/><Relationship Id="rId101" Type="http://schemas.openxmlformats.org/officeDocument/2006/relationships/hyperlink" Target="https://data.sec.gov/api/xbrl/companyfacts/CIK0000097476.json" TargetMode="External"/><Relationship Id="rId122" Type="http://schemas.openxmlformats.org/officeDocument/2006/relationships/hyperlink" Target="https://www.sec.gov/Archives/edgar/data/97476/000119312526036727/d100130dex991.htm" TargetMode="External"/><Relationship Id="rId4" Type="http://schemas.openxmlformats.org/officeDocument/2006/relationships/hyperlink" Target="https://www.sec.gov/cgi-bin/browse-edgar?action=getcompany&amp;CIK=0000097476&amp;type=10-Q" TargetMode="External"/><Relationship Id="rId9" Type="http://schemas.openxmlformats.org/officeDocument/2006/relationships/hyperlink" Target="https://www.sec.gov/Archives/edgar/data/97476/000119312526036727/d100130dex991.htm" TargetMode="External"/><Relationship Id="rId26" Type="http://schemas.openxmlformats.org/officeDocument/2006/relationships/hyperlink" Target="https://gminsights.com/industry-analysis/analog-semiconductors-market/market-share" TargetMode="External"/><Relationship Id="rId47" Type="http://schemas.openxmlformats.org/officeDocument/2006/relationships/hyperlink" Target="https://www.tsinetwork.ca/daily-advice/dividend-stocks/texas-instruments-cuts-spending-boosts-cash-flow-projections-through-2026" TargetMode="External"/><Relationship Id="rId68" Type="http://schemas.openxmlformats.org/officeDocument/2006/relationships/hyperlink" Target="../../../../investment-org/context/stocks/TXN_Texas-Instruments/analysis_20261015_stock-deep-dive.md" TargetMode="External"/><Relationship Id="rId89" Type="http://schemas.openxmlformats.org/officeDocument/2006/relationships/hyperlink" Target="https://www.giiresearch.com/report/moi1911374-microcontroller-mcu-market-share-analysis-industry.html" TargetMode="External"/><Relationship Id="rId112" Type="http://schemas.openxmlformats.org/officeDocument/2006/relationships/hyperlink" Target="https://thecapitolforum.com/texas-instruments-silicon-labs-deal-said-to-be-slated-for-phase-2-review-by-chinas-antitrust-enforcer/" TargetMode="External"/><Relationship Id="rId133" Type="http://schemas.openxmlformats.org/officeDocument/2006/relationships/hyperlink" Target="https://fred.stlouisfed.org/series/A34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2:D39"/>
  <sheetViews>
    <sheetView showGridLines="0" tabSelected="1" workbookViewId="0"/>
  </sheetViews>
  <sheetFormatPr defaultRowHeight="14.25"/>
  <cols>
    <col min="1" max="1" width="2" customWidth="1"/>
    <col min="2" max="2" width="22" customWidth="1"/>
    <col min="3" max="3" width="62" customWidth="1"/>
    <col min="4" max="4" width="4" customWidth="1"/>
  </cols>
  <sheetData>
    <row r="2" spans="2:4" ht="21.95" customHeight="1">
      <c r="B2" s="1" t="s">
        <v>0</v>
      </c>
    </row>
    <row r="4" spans="2:4" ht="24" customHeight="1">
      <c r="B4" s="2" t="s">
        <v>1</v>
      </c>
    </row>
    <row r="6" spans="2:4" ht="16.5">
      <c r="B6" s="3" t="s">
        <v>2</v>
      </c>
      <c r="C6" s="4" t="s">
        <v>3</v>
      </c>
    </row>
    <row r="7" spans="2:4" ht="16.5">
      <c r="B7" s="3" t="s">
        <v>4</v>
      </c>
      <c r="C7" s="4" t="s">
        <v>5</v>
      </c>
    </row>
    <row r="8" spans="2:4" ht="16.5">
      <c r="B8" s="3" t="s">
        <v>6</v>
      </c>
      <c r="C8" s="4" t="s">
        <v>7</v>
      </c>
    </row>
    <row r="9" spans="2:4" ht="16.5">
      <c r="B9" s="3" t="s">
        <v>8</v>
      </c>
      <c r="C9" s="5" t="str">
        <f>'2_投資判断'!$C$8</f>
        <v>回避</v>
      </c>
    </row>
    <row r="10" spans="2:4" ht="16.5">
      <c r="B10" s="3" t="s">
        <v>9</v>
      </c>
      <c r="C10" s="6">
        <f>'2_投資判断'!$C$12</f>
        <v>128.72753564034394</v>
      </c>
    </row>
    <row r="11" spans="2:4" ht="16.5">
      <c r="B11" s="3" t="s">
        <v>10</v>
      </c>
      <c r="C11" s="7">
        <f>'2_投資判断'!$C$11</f>
        <v>279.5</v>
      </c>
    </row>
    <row r="12" spans="2:4" ht="16.5">
      <c r="B12" s="3" t="s">
        <v>11</v>
      </c>
      <c r="C12" s="8">
        <f>'2_投資判断'!$C$12/'2_投資判断'!$C$11-1</f>
        <v>-0.5394363662241719</v>
      </c>
    </row>
    <row r="14" spans="2:4" ht="16.5">
      <c r="B14" s="9" t="s">
        <v>12</v>
      </c>
    </row>
    <row r="16" spans="2:4" ht="20.100000000000001" customHeight="1">
      <c r="B16" s="10" t="s">
        <v>13</v>
      </c>
      <c r="C16" s="11"/>
      <c r="D16" s="11"/>
    </row>
    <row r="17" spans="2:3" ht="16.5">
      <c r="B17" s="12" t="s">
        <v>14</v>
      </c>
      <c r="C17" s="12" t="s">
        <v>15</v>
      </c>
    </row>
    <row r="18" spans="2:3" ht="33">
      <c r="B18" s="13" t="s">
        <v>16</v>
      </c>
      <c r="C18" s="14" t="s">
        <v>17</v>
      </c>
    </row>
    <row r="19" spans="2:3" ht="33">
      <c r="B19" s="13" t="s">
        <v>18</v>
      </c>
      <c r="C19" s="14" t="s">
        <v>19</v>
      </c>
    </row>
    <row r="20" spans="2:3" ht="16.5">
      <c r="B20" s="13" t="s">
        <v>20</v>
      </c>
      <c r="C20" s="14" t="s">
        <v>21</v>
      </c>
    </row>
    <row r="21" spans="2:3" ht="16.5">
      <c r="B21" s="13" t="s">
        <v>22</v>
      </c>
      <c r="C21" s="14" t="s">
        <v>23</v>
      </c>
    </row>
    <row r="22" spans="2:3" ht="16.5">
      <c r="B22" s="13" t="s">
        <v>24</v>
      </c>
      <c r="C22" s="14" t="s">
        <v>25</v>
      </c>
    </row>
    <row r="23" spans="2:3" ht="16.5">
      <c r="B23" s="13" t="s">
        <v>26</v>
      </c>
      <c r="C23" s="14" t="s">
        <v>27</v>
      </c>
    </row>
    <row r="24" spans="2:3" ht="16.5">
      <c r="B24" s="13" t="s">
        <v>28</v>
      </c>
      <c r="C24" s="14" t="s">
        <v>29</v>
      </c>
    </row>
    <row r="25" spans="2:3" ht="16.5">
      <c r="B25" s="13" t="s">
        <v>30</v>
      </c>
      <c r="C25" s="14" t="s">
        <v>31</v>
      </c>
    </row>
    <row r="26" spans="2:3" ht="16.5">
      <c r="B26" s="13" t="s">
        <v>32</v>
      </c>
      <c r="C26" s="14" t="s">
        <v>33</v>
      </c>
    </row>
    <row r="27" spans="2:3" ht="16.5">
      <c r="B27" s="13" t="s">
        <v>34</v>
      </c>
      <c r="C27" s="14" t="s">
        <v>35</v>
      </c>
    </row>
    <row r="28" spans="2:3" ht="16.5">
      <c r="B28" s="13" t="s">
        <v>36</v>
      </c>
      <c r="C28" s="14" t="s">
        <v>37</v>
      </c>
    </row>
    <row r="29" spans="2:3" ht="16.5">
      <c r="B29" s="13" t="s">
        <v>38</v>
      </c>
      <c r="C29" s="14" t="s">
        <v>39</v>
      </c>
    </row>
    <row r="30" spans="2:3" ht="16.5">
      <c r="B30" s="13" t="s">
        <v>40</v>
      </c>
      <c r="C30" s="14" t="s">
        <v>41</v>
      </c>
    </row>
    <row r="31" spans="2:3" ht="16.5">
      <c r="B31" s="13" t="s">
        <v>42</v>
      </c>
      <c r="C31" s="14" t="s">
        <v>43</v>
      </c>
    </row>
    <row r="32" spans="2:3" ht="33">
      <c r="B32" s="13" t="s">
        <v>44</v>
      </c>
      <c r="C32" s="14" t="s">
        <v>45</v>
      </c>
    </row>
    <row r="33" spans="2:3" ht="16.5">
      <c r="B33" s="13" t="s">
        <v>46</v>
      </c>
      <c r="C33" s="14" t="s">
        <v>47</v>
      </c>
    </row>
    <row r="34" spans="2:3" ht="16.5">
      <c r="B34" s="13" t="s">
        <v>48</v>
      </c>
      <c r="C34" s="14" t="s">
        <v>49</v>
      </c>
    </row>
    <row r="35" spans="2:3" ht="16.5">
      <c r="B35" s="13" t="s">
        <v>50</v>
      </c>
      <c r="C35" s="14" t="s">
        <v>51</v>
      </c>
    </row>
    <row r="36" spans="2:3" ht="16.5">
      <c r="B36" s="13" t="s">
        <v>52</v>
      </c>
      <c r="C36" s="14" t="s">
        <v>53</v>
      </c>
    </row>
    <row r="37" spans="2:3" ht="16.5">
      <c r="B37" s="15" t="s">
        <v>54</v>
      </c>
      <c r="C37" s="16" t="s">
        <v>55</v>
      </c>
    </row>
    <row r="39" spans="2:3" ht="17.100000000000001" customHeight="1">
      <c r="B39" s="141" t="s">
        <v>56</v>
      </c>
      <c r="C39" s="142"/>
    </row>
  </sheetData>
  <mergeCells count="1">
    <mergeCell ref="B39:C39"/>
  </mergeCells>
  <phoneticPr fontId="12"/>
  <hyperlinks>
    <hyperlink ref="B18" location="'1_企業分析'!A1" display="1_企業分析" xr:uid="{00000000-0004-0000-0000-000000000000}"/>
    <hyperlink ref="B19" location="'2_投資判断'!A1" display="2_投資判断" xr:uid="{00000000-0004-0000-0000-000001000000}"/>
    <hyperlink ref="B20" location="'3_Summary'!A1" display="3_Summary" xr:uid="{00000000-0004-0000-0000-000002000000}"/>
    <hyperlink ref="B21" location="'3_PL'!A1" display="3_PL" xr:uid="{00000000-0004-0000-0000-000003000000}"/>
    <hyperlink ref="B22" location="'3_BS'!A1" display="3_BS" xr:uid="{00000000-0004-0000-0000-000004000000}"/>
    <hyperlink ref="B23" location="'3_CF'!A1" display="3_CF" xr:uid="{00000000-0004-0000-0000-000005000000}"/>
    <hyperlink ref="B24" location="'3_セグメント売上'!A1" display="3_セグメント売上" xr:uid="{00000000-0004-0000-0000-000006000000}"/>
    <hyperlink ref="B25" location="'3_地域別売上'!A1" display="3_地域別売上" xr:uid="{00000000-0004-0000-0000-000007000000}"/>
    <hyperlink ref="B26" location="'3_Forecast'!A1" display="3_Forecast" xr:uid="{00000000-0004-0000-0000-000008000000}"/>
    <hyperlink ref="B27" location="'3_Assumptions'!A1" display="3_Assumptions" xr:uid="{00000000-0004-0000-0000-000009000000}"/>
    <hyperlink ref="B28" location="'計算_DCF'!A1" display="計算_DCF" xr:uid="{00000000-0004-0000-0000-00000A000000}"/>
    <hyperlink ref="B29" location="'計算_シナリオ'!A1" display="計算_シナリオ" xr:uid="{00000000-0004-0000-0000-00000B000000}"/>
    <hyperlink ref="B30" location="'データ_株価'!A1" display="データ_株価" xr:uid="{00000000-0004-0000-0000-00000C000000}"/>
    <hyperlink ref="B31" location="'データ_類似企業'!A1" display="データ_類似企業" xr:uid="{00000000-0004-0000-0000-00000D000000}"/>
    <hyperlink ref="B32" location="'データ_セグメント'!A1" display="データ_セグメント" xr:uid="{00000000-0004-0000-0000-00000E000000}"/>
    <hyperlink ref="B33" location="'データ_市況'!A1" display="データ_市況" xr:uid="{00000000-0004-0000-0000-00000F000000}"/>
    <hyperlink ref="B34" location="'データ_財務'!A1" display="データ_財務" xr:uid="{00000000-0004-0000-0000-000010000000}"/>
    <hyperlink ref="B35" location="'データ_整合検査'!A1" display="データ_整合検査" xr:uid="{00000000-0004-0000-0000-000011000000}"/>
    <hyperlink ref="B36" location="'出典'!A1" display="出典" xr:uid="{00000000-0004-0000-0000-000012000000}"/>
    <hyperlink ref="B37" location="'検証'!A1" display="検証" xr:uid="{00000000-0004-0000-0000-000013000000}"/>
  </hyperlinks>
  <printOptions horizontalCentered="1"/>
  <pageMargins left="0.4" right="0.4" top="0.6" bottom="0.6" header="0.25" footer="0.25"/>
  <pageSetup paperSize="9" fitToHeight="0" orientation="portrait"/>
  <headerFooter>
    <oddHeader>&amp;L&amp;9 TXN Texas Instruments&amp;R&amp;9 &amp;A</oddHeader>
    <oddFooter>&amp;C&amp;9 &amp;P / &amp;N</oddFooter>
    <evenHeader>&amp;L&amp;9 TXN Texas Instruments&amp;R&amp;9 &amp;A</evenHeader>
    <evenFooter>&amp;C&amp;9 &amp;P / &amp;N</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1:M374"/>
  <sheetViews>
    <sheetView showGridLines="0" workbookViewId="0">
      <pane ySplit="3" topLeftCell="A4" activePane="bottomLeft" state="frozen"/>
      <selection pane="bottomLeft"/>
    </sheetView>
  </sheetViews>
  <sheetFormatPr defaultRowHeight="14.25"/>
  <cols>
    <col min="1" max="1" width="2" customWidth="1"/>
    <col min="2" max="2" width="20" customWidth="1"/>
    <col min="3" max="12" width="11" customWidth="1"/>
    <col min="13" max="13" width="14" customWidth="1"/>
  </cols>
  <sheetData>
    <row r="1" spans="2:13" ht="21.95" customHeight="1">
      <c r="B1" s="1" t="s">
        <v>57</v>
      </c>
    </row>
    <row r="2" spans="2:13" ht="16.5">
      <c r="B2" s="9" t="s">
        <v>58</v>
      </c>
    </row>
    <row r="4" spans="2:13" ht="20.100000000000001" customHeight="1">
      <c r="B4" s="10" t="s">
        <v>59</v>
      </c>
      <c r="C4" s="11"/>
      <c r="D4" s="11"/>
      <c r="E4" s="11"/>
      <c r="F4" s="11"/>
      <c r="G4" s="11"/>
      <c r="H4" s="11"/>
      <c r="I4" s="11"/>
      <c r="J4" s="11"/>
      <c r="K4" s="11"/>
      <c r="L4" s="11"/>
      <c r="M4" s="17" t="s">
        <v>60</v>
      </c>
    </row>
    <row r="5" spans="2:13" ht="16.5">
      <c r="B5" s="12" t="s">
        <v>61</v>
      </c>
      <c r="C5" s="12" t="s">
        <v>15</v>
      </c>
      <c r="D5" s="18"/>
      <c r="E5" s="18"/>
      <c r="F5" s="18"/>
      <c r="G5" s="18"/>
      <c r="H5" s="18"/>
      <c r="I5" s="18"/>
      <c r="J5" s="18"/>
      <c r="K5" s="12" t="s">
        <v>62</v>
      </c>
      <c r="L5" s="18"/>
    </row>
    <row r="6" spans="2:13" ht="71.099999999999994" customHeight="1">
      <c r="B6" s="19" t="s">
        <v>63</v>
      </c>
      <c r="C6" s="141" t="s">
        <v>64</v>
      </c>
      <c r="D6" s="142"/>
      <c r="E6" s="142"/>
      <c r="F6" s="142"/>
      <c r="G6" s="142"/>
      <c r="H6" s="142"/>
      <c r="I6" s="142"/>
      <c r="J6" s="142"/>
      <c r="K6" s="141" t="s">
        <v>65</v>
      </c>
      <c r="L6" s="142"/>
      <c r="M6" s="14" t="s">
        <v>66</v>
      </c>
    </row>
    <row r="7" spans="2:13" ht="36.950000000000003" customHeight="1">
      <c r="B7" s="19" t="s">
        <v>67</v>
      </c>
      <c r="C7" s="141" t="s">
        <v>68</v>
      </c>
      <c r="D7" s="142"/>
      <c r="E7" s="142"/>
      <c r="F7" s="142"/>
      <c r="G7" s="142"/>
      <c r="H7" s="142"/>
      <c r="I7" s="142"/>
      <c r="J7" s="142"/>
      <c r="K7" s="141" t="s">
        <v>69</v>
      </c>
      <c r="L7" s="142"/>
      <c r="M7" s="14" t="s">
        <v>66</v>
      </c>
    </row>
    <row r="8" spans="2:13" ht="17.100000000000001" customHeight="1">
      <c r="B8" s="19" t="s">
        <v>70</v>
      </c>
      <c r="C8" s="141" t="s">
        <v>71</v>
      </c>
      <c r="D8" s="142"/>
      <c r="E8" s="142"/>
      <c r="F8" s="142"/>
      <c r="G8" s="142"/>
      <c r="H8" s="142"/>
      <c r="I8" s="142"/>
      <c r="J8" s="142"/>
      <c r="K8" s="141" t="s">
        <v>72</v>
      </c>
      <c r="L8" s="142"/>
      <c r="M8" s="14" t="s">
        <v>73</v>
      </c>
    </row>
    <row r="9" spans="2:13" ht="71.099999999999994" customHeight="1">
      <c r="B9" s="19" t="s">
        <v>74</v>
      </c>
      <c r="C9" s="141" t="s">
        <v>75</v>
      </c>
      <c r="D9" s="142"/>
      <c r="E9" s="142"/>
      <c r="F9" s="142"/>
      <c r="G9" s="142"/>
      <c r="H9" s="142"/>
      <c r="I9" s="142"/>
      <c r="J9" s="142"/>
      <c r="K9" s="141" t="s">
        <v>76</v>
      </c>
      <c r="L9" s="142"/>
      <c r="M9" s="14" t="s">
        <v>73</v>
      </c>
    </row>
    <row r="10" spans="2:13" ht="87.95" customHeight="1">
      <c r="B10" s="19" t="s">
        <v>77</v>
      </c>
      <c r="C10" s="141" t="s">
        <v>78</v>
      </c>
      <c r="D10" s="142"/>
      <c r="E10" s="142"/>
      <c r="F10" s="142"/>
      <c r="G10" s="142"/>
      <c r="H10" s="142"/>
      <c r="I10" s="142"/>
      <c r="J10" s="142"/>
      <c r="K10" s="141" t="s">
        <v>79</v>
      </c>
      <c r="L10" s="142"/>
      <c r="M10" s="14" t="s">
        <v>73</v>
      </c>
    </row>
    <row r="11" spans="2:13" ht="105" customHeight="1">
      <c r="B11" s="19" t="s">
        <v>80</v>
      </c>
      <c r="C11" s="141" t="s">
        <v>81</v>
      </c>
      <c r="D11" s="142"/>
      <c r="E11" s="142"/>
      <c r="F11" s="142"/>
      <c r="G11" s="142"/>
      <c r="H11" s="142"/>
      <c r="I11" s="142"/>
      <c r="J11" s="142"/>
      <c r="K11" s="141" t="s">
        <v>82</v>
      </c>
      <c r="L11" s="142"/>
      <c r="M11" s="14" t="s">
        <v>73</v>
      </c>
    </row>
    <row r="12" spans="2:13" ht="173.1" customHeight="1">
      <c r="B12" s="19" t="s">
        <v>83</v>
      </c>
      <c r="C12" s="141" t="s">
        <v>84</v>
      </c>
      <c r="D12" s="142"/>
      <c r="E12" s="142"/>
      <c r="F12" s="142"/>
      <c r="G12" s="142"/>
      <c r="H12" s="142"/>
      <c r="I12" s="142"/>
      <c r="J12" s="142"/>
      <c r="K12" s="141" t="s">
        <v>85</v>
      </c>
      <c r="L12" s="142"/>
      <c r="M12" s="14" t="s">
        <v>86</v>
      </c>
    </row>
    <row r="13" spans="2:13" ht="122.1" customHeight="1">
      <c r="B13" s="19" t="s">
        <v>87</v>
      </c>
      <c r="C13" s="141" t="s">
        <v>88</v>
      </c>
      <c r="D13" s="142"/>
      <c r="E13" s="142"/>
      <c r="F13" s="142"/>
      <c r="G13" s="142"/>
      <c r="H13" s="142"/>
      <c r="I13" s="142"/>
      <c r="J13" s="142"/>
      <c r="K13" s="141" t="s">
        <v>89</v>
      </c>
      <c r="L13" s="142"/>
      <c r="M13" s="14" t="s">
        <v>90</v>
      </c>
    </row>
    <row r="14" spans="2:13" ht="71.099999999999994" customHeight="1">
      <c r="B14" s="19" t="s">
        <v>91</v>
      </c>
      <c r="C14" s="141" t="s">
        <v>92</v>
      </c>
      <c r="D14" s="142"/>
      <c r="E14" s="142"/>
      <c r="F14" s="142"/>
      <c r="G14" s="142"/>
      <c r="H14" s="142"/>
      <c r="I14" s="142"/>
      <c r="J14" s="142"/>
      <c r="K14" s="141" t="s">
        <v>93</v>
      </c>
      <c r="L14" s="142"/>
      <c r="M14" s="14" t="s">
        <v>73</v>
      </c>
    </row>
    <row r="15" spans="2:13" ht="138.94999999999999" customHeight="1">
      <c r="B15" s="19" t="s">
        <v>94</v>
      </c>
      <c r="C15" s="141" t="s">
        <v>95</v>
      </c>
      <c r="D15" s="142"/>
      <c r="E15" s="142"/>
      <c r="F15" s="142"/>
      <c r="G15" s="142"/>
      <c r="H15" s="142"/>
      <c r="I15" s="142"/>
      <c r="J15" s="142"/>
      <c r="K15" s="141" t="s">
        <v>96</v>
      </c>
      <c r="L15" s="142"/>
      <c r="M15" s="14" t="s">
        <v>97</v>
      </c>
    </row>
    <row r="16" spans="2:13" ht="105" customHeight="1">
      <c r="B16" s="19" t="s">
        <v>98</v>
      </c>
      <c r="C16" s="141" t="s">
        <v>99</v>
      </c>
      <c r="D16" s="142"/>
      <c r="E16" s="142"/>
      <c r="F16" s="142"/>
      <c r="G16" s="142"/>
      <c r="H16" s="142"/>
      <c r="I16" s="142"/>
      <c r="J16" s="142"/>
      <c r="K16" s="141" t="s">
        <v>100</v>
      </c>
      <c r="L16" s="142"/>
      <c r="M16" s="14" t="s">
        <v>73</v>
      </c>
    </row>
    <row r="17" spans="2:13" ht="138.94999999999999" customHeight="1">
      <c r="B17" s="19" t="s">
        <v>101</v>
      </c>
      <c r="C17" s="141" t="s">
        <v>102</v>
      </c>
      <c r="D17" s="142"/>
      <c r="E17" s="142"/>
      <c r="F17" s="142"/>
      <c r="G17" s="142"/>
      <c r="H17" s="142"/>
      <c r="I17" s="142"/>
      <c r="J17" s="142"/>
      <c r="K17" s="141" t="s">
        <v>103</v>
      </c>
      <c r="L17" s="142"/>
      <c r="M17" s="14" t="s">
        <v>104</v>
      </c>
    </row>
    <row r="18" spans="2:13" ht="189.95" customHeight="1">
      <c r="B18" s="20" t="s">
        <v>105</v>
      </c>
      <c r="C18" s="143" t="s">
        <v>106</v>
      </c>
      <c r="D18" s="144"/>
      <c r="E18" s="144"/>
      <c r="F18" s="144"/>
      <c r="G18" s="144"/>
      <c r="H18" s="144"/>
      <c r="I18" s="144"/>
      <c r="J18" s="144"/>
      <c r="K18" s="143" t="s">
        <v>107</v>
      </c>
      <c r="L18" s="144"/>
      <c r="M18" s="14" t="s">
        <v>108</v>
      </c>
    </row>
    <row r="20" spans="2:13" ht="15" customHeight="1"/>
    <row r="21" spans="2:13" ht="15" customHeight="1"/>
    <row r="22" spans="2:13" ht="15" customHeight="1"/>
    <row r="23" spans="2:13" ht="15" customHeight="1"/>
    <row r="24" spans="2:13" ht="15" customHeight="1"/>
    <row r="25" spans="2:13" ht="15" customHeight="1"/>
    <row r="26" spans="2:13" ht="15" customHeight="1"/>
    <row r="27" spans="2:13" ht="15" customHeight="1"/>
    <row r="28" spans="2:13" ht="15" customHeight="1"/>
    <row r="29" spans="2:13" ht="15" customHeight="1"/>
    <row r="30" spans="2:13" ht="15" customHeight="1"/>
    <row r="31" spans="2:13" ht="15" customHeight="1"/>
    <row r="32" spans="2:13" ht="15" customHeight="1"/>
    <row r="33" spans="2:13" ht="15" customHeight="1"/>
    <row r="34" spans="2:13" ht="15" customHeight="1"/>
    <row r="35" spans="2:13" ht="15" customHeight="1"/>
    <row r="36" spans="2:13" ht="15" customHeight="1"/>
    <row r="37" spans="2:13" ht="17.100000000000001" customHeight="1">
      <c r="B37" s="141" t="s">
        <v>109</v>
      </c>
      <c r="C37" s="142"/>
      <c r="D37" s="142"/>
      <c r="E37" s="142"/>
      <c r="F37" s="142"/>
      <c r="G37" s="142"/>
      <c r="H37" s="142"/>
      <c r="I37" s="142"/>
      <c r="J37" s="142"/>
      <c r="K37" s="142"/>
      <c r="L37" s="142"/>
      <c r="M37" s="14" t="s">
        <v>110</v>
      </c>
    </row>
    <row r="39" spans="2:13" ht="20.100000000000001" customHeight="1">
      <c r="B39" s="10" t="s">
        <v>111</v>
      </c>
      <c r="C39" s="11"/>
      <c r="D39" s="11"/>
      <c r="E39" s="11"/>
      <c r="F39" s="11"/>
      <c r="G39" s="11"/>
      <c r="H39" s="11"/>
      <c r="I39" s="11"/>
      <c r="J39" s="11"/>
      <c r="K39" s="11"/>
      <c r="L39" s="11"/>
      <c r="M39" s="17" t="s">
        <v>60</v>
      </c>
    </row>
    <row r="40" spans="2:13" ht="16.5">
      <c r="B40" s="22" t="s">
        <v>112</v>
      </c>
    </row>
    <row r="41" spans="2:13" ht="16.5">
      <c r="B41" s="12" t="s">
        <v>113</v>
      </c>
      <c r="C41" s="12" t="s">
        <v>114</v>
      </c>
      <c r="D41" s="12" t="s">
        <v>115</v>
      </c>
      <c r="E41" s="12" t="s">
        <v>116</v>
      </c>
      <c r="F41" s="12" t="s">
        <v>117</v>
      </c>
      <c r="G41" s="12" t="s">
        <v>118</v>
      </c>
      <c r="H41" s="12" t="s">
        <v>119</v>
      </c>
    </row>
    <row r="42" spans="2:13" ht="16.5">
      <c r="B42" s="9" t="s">
        <v>120</v>
      </c>
      <c r="C42" s="23">
        <f>IF(ISNUMBER(データ_株価!$C$6),データ_株価!$C$6,"n.a.")</f>
        <v>279.5</v>
      </c>
      <c r="D42" s="24">
        <f>IF(COUNT(データ_株価!$H$5:$H$65)=0,"n.a.",MIN(データ_株価!$H$5:$H$65))</f>
        <v>131.52180000000001</v>
      </c>
      <c r="E42" s="24">
        <f>IF(COUNT(データ_株価!$H$5:$H$65)=0,"n.a.",MEDIAN(データ_株価!$H$5:$H$65))</f>
        <v>165.1917</v>
      </c>
      <c r="F42" s="24">
        <f>IF(COUNT(データ_株価!$H$5:$H$65)=0,"n.a.",MAX(データ_株価!$H$5:$H$65))</f>
        <v>304.12290000000002</v>
      </c>
      <c r="G42" s="25">
        <f>IF(AND(COUNT(データ_株価!$H$5:$H$65)&gt;0,ISNUMBER(C42)),COUNTIF(データ_株価!$H$5:$H$65,"&lt;="&amp;C42)/COUNT(データ_株価!$H$5:$H$65),"n.a.")</f>
        <v>0.95081967213114749</v>
      </c>
      <c r="H42" s="26">
        <f>COUNT(データ_株価!$H$5:$H$65)</f>
        <v>61</v>
      </c>
    </row>
    <row r="43" spans="2:13" ht="16.5">
      <c r="B43" s="9" t="s">
        <v>121</v>
      </c>
      <c r="C43" s="27">
        <f>IF(ISNUMBER(データ_株価!$N$65),データ_株価!$N$65,"n.a.")</f>
        <v>36.251621271076523</v>
      </c>
      <c r="D43" s="28">
        <f>IF(COUNT(データ_株価!$N$5:$N$65)=0,"n.a.",MIN(データ_株価!$N$5:$N$65))</f>
        <v>16.837526717275949</v>
      </c>
      <c r="E43" s="28">
        <f>IF(COUNT(データ_株価!$N$5:$N$65)=0,"n.a.",MEDIAN(データ_株価!$N$5:$N$65))</f>
        <v>27.522620619180231</v>
      </c>
      <c r="F43" s="28">
        <f>IF(COUNT(データ_株価!$N$5:$N$65)=0,"n.a.",MAX(データ_株価!$N$5:$N$65))</f>
        <v>52.342464499277611</v>
      </c>
      <c r="G43" s="25">
        <f>IF(AND(COUNT(データ_株価!$N$5:$N$65)&gt;0,ISNUMBER(C43)),COUNTIF(データ_株価!$N$5:$N$65,"&lt;="&amp;C43)/COUNT(データ_株価!$N$5:$N$65),"n.a.")</f>
        <v>0.77049180327868849</v>
      </c>
      <c r="H43" s="26">
        <f>COUNT(データ_株価!$N$5:$N$65)</f>
        <v>61</v>
      </c>
    </row>
    <row r="44" spans="2:13" ht="16.5">
      <c r="B44" s="9" t="s">
        <v>122</v>
      </c>
      <c r="C44" s="27">
        <f>IF(ISNUMBER(データ_株価!$C$15),データ_株価!$C$15,"n.a.")</f>
        <v>13.30480730972114</v>
      </c>
      <c r="D44" s="28">
        <f>IF(COUNT(データ_株価!$O$5:$O$65)=0,"n.a.",MIN(データ_株価!$O$5:$O$65))</f>
        <v>7.7550392795391687</v>
      </c>
      <c r="E44" s="28">
        <f>IF(COUNT(データ_株価!$O$5:$O$65)=0,"n.a.",MEDIAN(データ_株価!$O$5:$O$65))</f>
        <v>10.65850180333603</v>
      </c>
      <c r="F44" s="28">
        <f>IF(COUNT(データ_株価!$O$5:$O$65)=0,"n.a.",MAX(データ_株価!$O$5:$O$65))</f>
        <v>16.581067927474152</v>
      </c>
      <c r="G44" s="25">
        <f>IF(AND(COUNT(データ_株価!$O$5:$O$65)&gt;0,ISNUMBER(C44)),COUNTIF(データ_株価!$O$5:$O$65,"&lt;="&amp;C44)/COUNT(データ_株価!$O$5:$O$65),"n.a.")</f>
        <v>0.85245901639344257</v>
      </c>
      <c r="H44" s="26">
        <f>COUNT(データ_株価!$O$5:$O$65)</f>
        <v>61</v>
      </c>
    </row>
    <row r="45" spans="2:13" ht="16.5">
      <c r="B45" s="9" t="s">
        <v>123</v>
      </c>
      <c r="C45" s="29">
        <f>IF(ISNUMBER(データ_株価!$C$16),データ_株価!$C$16,"n.a.")</f>
        <v>2.0322003577817532E-2</v>
      </c>
      <c r="D45" s="25">
        <f>IF(COUNT(データ_株価!$P$5:$P$65)=0,"n.a.",MIN(データ_株価!$P$5:$P$65))</f>
        <v>1.8188956206555529E-2</v>
      </c>
      <c r="E45" s="25">
        <f>IF(COUNT(データ_株価!$P$5:$P$65)=0,"n.a.",MEDIAN(データ_株価!$P$5:$P$65))</f>
        <v>2.6570526044653969E-2</v>
      </c>
      <c r="F45" s="25">
        <f>IF(COUNT(データ_株価!$P$5:$P$65)=0,"n.a.",MAX(データ_株価!$P$5:$P$65))</f>
        <v>3.492711915963944E-2</v>
      </c>
      <c r="G45" s="25">
        <f>IF(AND(COUNT(データ_株価!$P$5:$P$65)&gt;0,ISNUMBER(C45)),COUNTIF(データ_株価!$P$5:$P$65,"&lt;="&amp;C45)/COUNT(データ_株価!$P$5:$P$65),"n.a.")</f>
        <v>8.1967213114754092E-2</v>
      </c>
      <c r="H45" s="26">
        <f>COUNT(データ_株価!$P$5:$P$65)</f>
        <v>61</v>
      </c>
    </row>
    <row r="46" spans="2:13" ht="16.5">
      <c r="B46" s="30" t="s">
        <v>124</v>
      </c>
      <c r="C46" s="31">
        <f>IF(ISNUMBER(データ_株価!$C$17),データ_株価!$C$17,"n.a.")</f>
        <v>24.48715154880226</v>
      </c>
      <c r="D46" s="32">
        <f>IF(COUNT(データ_株価!$Q$5:$Q$65)=0,"n.a.",MIN(データ_株価!$Q$5:$Q$65))</f>
        <v>12.750616991101341</v>
      </c>
      <c r="E46" s="32">
        <f>IF(COUNT(データ_株価!$Q$5:$Q$65)=0,"n.a.",MEDIAN(データ_株価!$Q$5:$Q$65))</f>
        <v>20.140636834486571</v>
      </c>
      <c r="F46" s="32">
        <f>IF(COUNT(データ_株価!$Q$5:$Q$65)=0,"n.a.",MAX(データ_株価!$Q$5:$Q$65))</f>
        <v>33.615565170587843</v>
      </c>
      <c r="G46" s="33">
        <f>IF(AND(COUNT(データ_株価!$Q$5:$Q$65)&gt;0,ISNUMBER(C46)),COUNTIF(データ_株価!$Q$5:$Q$65,"&lt;="&amp;C46)/COUNT(データ_株価!$Q$5:$Q$65),"n.a.")</f>
        <v>0.68852459016393441</v>
      </c>
      <c r="H46" s="34">
        <f>COUNT(データ_株価!$Q$5:$Q$65)</f>
        <v>61</v>
      </c>
    </row>
    <row r="47" spans="2:13" ht="17.100000000000001" customHeight="1">
      <c r="B47" s="141" t="s">
        <v>125</v>
      </c>
      <c r="C47" s="142"/>
      <c r="D47" s="142"/>
      <c r="E47" s="142"/>
      <c r="F47" s="142"/>
      <c r="G47" s="142"/>
      <c r="H47" s="142"/>
      <c r="I47" s="142"/>
      <c r="J47" s="142"/>
      <c r="K47" s="142"/>
      <c r="L47" s="142"/>
    </row>
    <row r="48" spans="2:13" ht="17.100000000000001" customHeight="1">
      <c r="B48" s="141" t="s">
        <v>126</v>
      </c>
      <c r="C48" s="142"/>
      <c r="D48" s="142"/>
      <c r="E48" s="142"/>
      <c r="F48" s="142"/>
      <c r="G48" s="142"/>
      <c r="H48" s="142"/>
      <c r="I48" s="142"/>
      <c r="J48" s="142"/>
      <c r="K48" s="142"/>
      <c r="L48" s="142"/>
    </row>
    <row r="50" spans="2:3" ht="16.5">
      <c r="B50" s="22" t="s">
        <v>127</v>
      </c>
    </row>
    <row r="51" spans="2:3" ht="16.5">
      <c r="B51" s="12" t="s">
        <v>61</v>
      </c>
      <c r="C51" s="12" t="s">
        <v>128</v>
      </c>
    </row>
    <row r="52" spans="2:3" ht="16.5">
      <c r="B52" s="9" t="s">
        <v>129</v>
      </c>
      <c r="C52" s="35">
        <f>IF(ISNUMBER(データ_株価!$C$9),データ_株価!$C$9/1000000,"n.a.")</f>
        <v>255252.728237</v>
      </c>
    </row>
    <row r="53" spans="2:3" ht="16.5">
      <c r="B53" s="9" t="s">
        <v>130</v>
      </c>
      <c r="C53" s="36">
        <f>IF(ISNUMBER(データ_株価!$C$10),データ_株価!$C$10/1000000,"n.a.")</f>
        <v>1676.2835605578612</v>
      </c>
    </row>
    <row r="54" spans="2:3" ht="16.5">
      <c r="B54" s="9" t="s">
        <v>131</v>
      </c>
      <c r="C54" s="36">
        <f>IF(ISNUMBER(データ_株価!$C$11),データ_株価!$C$11/100000000,"n.a.")</f>
        <v>2648.5280256814208</v>
      </c>
    </row>
    <row r="55" spans="2:3" ht="16.5">
      <c r="B55" s="9" t="s">
        <v>132</v>
      </c>
      <c r="C55" s="36">
        <f>IF(ISNUMBER(データ_株価!$C$7),データ_株価!$C$7/1000000,"n.a.")</f>
        <v>913.24768600000004</v>
      </c>
    </row>
    <row r="56" spans="2:3" ht="16.5">
      <c r="B56" s="30" t="s">
        <v>133</v>
      </c>
      <c r="C56" s="37">
        <f>IF(ISNUMBER(データ_株価!$C$12),データ_株価!$C$12/1000000,"n.a.")</f>
        <v>5413</v>
      </c>
    </row>
    <row r="73" spans="2:2" ht="16.5">
      <c r="B73" s="9" t="s">
        <v>134</v>
      </c>
    </row>
    <row r="90" spans="2:13" ht="16.5">
      <c r="B90" s="9" t="s">
        <v>134</v>
      </c>
    </row>
    <row r="92" spans="2:13" ht="36.950000000000003" customHeight="1">
      <c r="B92" s="141" t="s">
        <v>135</v>
      </c>
      <c r="C92" s="142"/>
      <c r="D92" s="142"/>
      <c r="E92" s="142"/>
      <c r="F92" s="142"/>
      <c r="G92" s="142"/>
      <c r="H92" s="142"/>
      <c r="I92" s="142"/>
      <c r="J92" s="142"/>
      <c r="K92" s="142"/>
      <c r="L92" s="142"/>
      <c r="M92" s="14" t="s">
        <v>136</v>
      </c>
    </row>
    <row r="93" spans="2:13" ht="36.950000000000003" customHeight="1">
      <c r="B93" s="141" t="s">
        <v>137</v>
      </c>
      <c r="C93" s="142"/>
      <c r="D93" s="142"/>
      <c r="E93" s="142"/>
      <c r="F93" s="142"/>
      <c r="G93" s="142"/>
      <c r="H93" s="142"/>
      <c r="I93" s="142"/>
      <c r="J93" s="142"/>
      <c r="K93" s="142"/>
      <c r="L93" s="142"/>
      <c r="M93" s="14" t="s">
        <v>136</v>
      </c>
    </row>
    <row r="94" spans="2:13" ht="54" customHeight="1">
      <c r="B94" s="141" t="s">
        <v>138</v>
      </c>
      <c r="C94" s="142"/>
      <c r="D94" s="142"/>
      <c r="E94" s="142"/>
      <c r="F94" s="142"/>
      <c r="G94" s="142"/>
      <c r="H94" s="142"/>
      <c r="I94" s="142"/>
      <c r="J94" s="142"/>
      <c r="K94" s="142"/>
      <c r="L94" s="142"/>
      <c r="M94" s="14" t="s">
        <v>139</v>
      </c>
    </row>
    <row r="95" spans="2:13" ht="54" customHeight="1">
      <c r="B95" s="141" t="s">
        <v>140</v>
      </c>
      <c r="C95" s="142"/>
      <c r="D95" s="142"/>
      <c r="E95" s="142"/>
      <c r="F95" s="142"/>
      <c r="G95" s="142"/>
      <c r="H95" s="142"/>
      <c r="I95" s="142"/>
      <c r="J95" s="142"/>
      <c r="K95" s="142"/>
      <c r="L95" s="142"/>
      <c r="M95" s="14" t="s">
        <v>141</v>
      </c>
    </row>
    <row r="96" spans="2:13" ht="54" customHeight="1">
      <c r="B96" s="141" t="s">
        <v>142</v>
      </c>
      <c r="C96" s="142"/>
      <c r="D96" s="142"/>
      <c r="E96" s="142"/>
      <c r="F96" s="142"/>
      <c r="G96" s="142"/>
      <c r="H96" s="142"/>
      <c r="I96" s="142"/>
      <c r="J96" s="142"/>
      <c r="K96" s="142"/>
      <c r="L96" s="142"/>
      <c r="M96" s="14" t="s">
        <v>143</v>
      </c>
    </row>
    <row r="97" spans="2:13" ht="36.950000000000003" customHeight="1">
      <c r="B97" s="141" t="s">
        <v>144</v>
      </c>
      <c r="C97" s="142"/>
      <c r="D97" s="142"/>
      <c r="E97" s="142"/>
      <c r="F97" s="142"/>
      <c r="G97" s="142"/>
      <c r="H97" s="142"/>
      <c r="I97" s="142"/>
      <c r="J97" s="142"/>
      <c r="K97" s="142"/>
      <c r="L97" s="142"/>
      <c r="M97" s="14" t="s">
        <v>143</v>
      </c>
    </row>
    <row r="99" spans="2:13" ht="20.100000000000001" customHeight="1">
      <c r="B99" s="10" t="s">
        <v>145</v>
      </c>
      <c r="C99" s="11"/>
      <c r="D99" s="11"/>
      <c r="E99" s="11"/>
      <c r="F99" s="11"/>
      <c r="G99" s="11"/>
      <c r="H99" s="11"/>
      <c r="I99" s="11"/>
      <c r="J99" s="11"/>
      <c r="K99" s="11"/>
      <c r="L99" s="11"/>
      <c r="M99" s="17" t="s">
        <v>60</v>
      </c>
    </row>
    <row r="100" spans="2:13" ht="33">
      <c r="B100" s="12" t="s">
        <v>146</v>
      </c>
      <c r="C100" s="12" t="s">
        <v>147</v>
      </c>
      <c r="D100" s="12" t="s">
        <v>148</v>
      </c>
      <c r="E100" s="12" t="s">
        <v>129</v>
      </c>
      <c r="F100" s="12" t="s">
        <v>149</v>
      </c>
      <c r="G100" s="12" t="s">
        <v>122</v>
      </c>
      <c r="H100" s="12" t="s">
        <v>150</v>
      </c>
      <c r="I100" s="12" t="s">
        <v>151</v>
      </c>
      <c r="J100" s="12" t="s">
        <v>152</v>
      </c>
      <c r="K100" s="12" t="s">
        <v>124</v>
      </c>
      <c r="L100" s="12" t="s">
        <v>123</v>
      </c>
    </row>
    <row r="101" spans="2:13" ht="16.5">
      <c r="B101" s="3" t="str">
        <f>データ_類似企業!B5</f>
        <v>TXN</v>
      </c>
      <c r="C101" s="3" t="str">
        <f>データ_類似企業!C5</f>
        <v>Texas Instruments（対象）</v>
      </c>
      <c r="D101" s="23">
        <f>データ_類似企業!D5</f>
        <v>279.5</v>
      </c>
      <c r="E101" s="38">
        <f>IF(ISNUMBER(データ_類似企業!E5),データ_類似企業!E5/1000000,"n.a.")</f>
        <v>255252.728237</v>
      </c>
      <c r="F101" s="27">
        <f>データ_類似企業!F5</f>
        <v>36.251621271076523</v>
      </c>
      <c r="G101" s="27">
        <f>データ_類似企業!G5</f>
        <v>13.30480730972114</v>
      </c>
      <c r="H101" s="29">
        <f>データ_類似企業!H5</f>
        <v>0.39724114821847423</v>
      </c>
      <c r="I101" s="29">
        <f>データ_類似企業!I5</f>
        <v>0.40763748434941732</v>
      </c>
      <c r="J101" s="29">
        <f>データ_類似企業!J5</f>
        <v>0.20271052936406811</v>
      </c>
      <c r="K101" s="27">
        <f>データ_類似企業!K5</f>
        <v>24.48715154880226</v>
      </c>
      <c r="L101" s="29">
        <f>データ_類似企業!L5</f>
        <v>2.0322003577817532E-2</v>
      </c>
      <c r="M101" s="9" t="s">
        <v>153</v>
      </c>
    </row>
    <row r="102" spans="2:13" ht="16.5">
      <c r="B102" s="9" t="str">
        <f>データ_類似企業!B6</f>
        <v>ADI</v>
      </c>
      <c r="C102" s="9" t="str">
        <f>データ_類似企業!C6</f>
        <v>ANALOG DEVICES INC</v>
      </c>
      <c r="D102" s="23">
        <f>データ_類似企業!D6</f>
        <v>385.760009765625</v>
      </c>
      <c r="E102" s="38">
        <f>IF(ISNUMBER(データ_類似企業!E6),データ_類似企業!E6/1000000,"n.a.")</f>
        <v>186925.97851048459</v>
      </c>
      <c r="F102" s="27">
        <f>データ_類似企業!F6</f>
        <v>45.814728000668048</v>
      </c>
      <c r="G102" s="27">
        <f>データ_類似企業!G6</f>
        <v>5.5714152295387098</v>
      </c>
      <c r="H102" s="29">
        <f>データ_類似企業!H6</f>
        <v>0.1222709450850373</v>
      </c>
      <c r="I102" s="29">
        <f>データ_類似企業!I6</f>
        <v>0.35549466983399203</v>
      </c>
      <c r="J102" s="29">
        <f>データ_類似企業!J6</f>
        <v>0.33648002102669777</v>
      </c>
      <c r="K102" s="27">
        <f>データ_類似企業!K6</f>
        <v>36.171555917920998</v>
      </c>
      <c r="L102" s="29">
        <f>データ_類似企業!L6</f>
        <v>1.0835752525358009E-2</v>
      </c>
      <c r="M102" s="9" t="s">
        <v>154</v>
      </c>
    </row>
    <row r="103" spans="2:13" ht="16.5">
      <c r="B103" s="9" t="str">
        <f>データ_類似企業!B7</f>
        <v>MCHP</v>
      </c>
      <c r="C103" s="9" t="str">
        <f>データ_類似企業!C7</f>
        <v>MICROCHIP TECHNOLOGY INC</v>
      </c>
      <c r="D103" s="23">
        <f>データ_類似企業!D7</f>
        <v>74.519996643066406</v>
      </c>
      <c r="E103" s="38">
        <f>IF(ISNUMBER(データ_類似企業!E7),データ_類似企業!E7/1000000,"n.a.")</f>
        <v>40465.005830475886</v>
      </c>
      <c r="F103" s="27">
        <f>データ_類似企業!F7</f>
        <v>109.5882303574506</v>
      </c>
      <c r="G103" s="27">
        <f>データ_類似企業!G7</f>
        <v>6.2726718075454793</v>
      </c>
      <c r="H103" s="29">
        <f>データ_類似企業!H7</f>
        <v>7.1896063299794866E-2</v>
      </c>
      <c r="I103" s="29">
        <f>データ_類似企業!I7</f>
        <v>0.15516467211994611</v>
      </c>
      <c r="J103" s="29">
        <f>データ_類似企業!J7</f>
        <v>0.20928750177062189</v>
      </c>
      <c r="K103" s="27">
        <f>データ_類似企業!K7</f>
        <v>30.995445213632639</v>
      </c>
      <c r="L103" s="29">
        <f>データ_類似企業!L7</f>
        <v>2.442297479852797E-2</v>
      </c>
      <c r="M103" s="9" t="s">
        <v>154</v>
      </c>
    </row>
    <row r="104" spans="2:13" ht="16.5">
      <c r="B104" s="9" t="str">
        <f>データ_類似企業!B8</f>
        <v>NXPI</v>
      </c>
      <c r="C104" s="9" t="str">
        <f>データ_類似企業!C8</f>
        <v>NXP Semiconductors N.V.</v>
      </c>
      <c r="D104" s="23">
        <f>データ_類似企業!D8</f>
        <v>237.78999328613281</v>
      </c>
      <c r="E104" s="38">
        <f>IF(ISNUMBER(データ_類似企業!E8),データ_類似企業!E8/1000000,"n.a.")</f>
        <v>60035.09618035271</v>
      </c>
      <c r="F104" s="27">
        <f>データ_類似企業!F8</f>
        <v>22.755023280969649</v>
      </c>
      <c r="G104" s="27">
        <f>データ_類似企業!G8</f>
        <v>5.4941975089551303</v>
      </c>
      <c r="H104" s="29">
        <f>データ_類似企業!H8</f>
        <v>0.26203763148797471</v>
      </c>
      <c r="I104" s="29">
        <f>データ_類似企業!I8</f>
        <v>0.3035275465715418</v>
      </c>
      <c r="J104" s="29">
        <f>データ_類似企業!J8</f>
        <v>2.3695528686196621E-2</v>
      </c>
      <c r="K104" s="27">
        <f>データ_類似企業!K8</f>
        <v>15.126559313399421</v>
      </c>
      <c r="L104" s="29">
        <f>データ_類似企業!L8</f>
        <v>1.705706764169598E-2</v>
      </c>
      <c r="M104" s="9" t="s">
        <v>154</v>
      </c>
    </row>
    <row r="105" spans="2:13" ht="16.5">
      <c r="B105" s="9" t="str">
        <f>データ_類似企業!B9</f>
        <v>ON</v>
      </c>
      <c r="C105" s="9" t="str">
        <f>データ_類似企業!C9</f>
        <v>ON SEMICONDUCTOR CORP</v>
      </c>
      <c r="D105" s="23">
        <f>データ_類似企業!D9</f>
        <v>73.230003356933594</v>
      </c>
      <c r="E105" s="38">
        <f>IF(ISNUMBER(データ_類似企業!E9),データ_類似企業!E9/1000000,"n.a.")</f>
        <v>28509.29863572359</v>
      </c>
      <c r="F105" s="27">
        <f>データ_類似企業!F9</f>
        <v>47.245163456086189</v>
      </c>
      <c r="G105" s="27">
        <f>データ_類似企業!G9</f>
        <v>3.9493674256754812</v>
      </c>
      <c r="H105" s="29">
        <f>データ_類似企業!H9</f>
        <v>8.3142583858306668E-2</v>
      </c>
      <c r="I105" s="29">
        <f>データ_類似企業!I9</f>
        <v>0.1080544709413018</v>
      </c>
      <c r="J105" s="29">
        <f>データ_類似企業!J9</f>
        <v>-3.1412139776208048E-2</v>
      </c>
      <c r="K105" s="27">
        <f>データ_類似企業!K9</f>
        <v>19.946678524928789</v>
      </c>
      <c r="L105" s="29" t="str">
        <f>データ_類似企業!L9</f>
        <v>n.a.</v>
      </c>
      <c r="M105" s="9" t="s">
        <v>154</v>
      </c>
    </row>
    <row r="106" spans="2:13" ht="16.5">
      <c r="B106" s="9" t="str">
        <f>データ_類似企業!B10</f>
        <v>STM</v>
      </c>
      <c r="C106" s="9" t="str">
        <f>データ_類似企業!C10</f>
        <v>STMicroelectronics N.V.</v>
      </c>
      <c r="D106" s="23">
        <f>データ_類似企業!D10</f>
        <v>44.090000152587891</v>
      </c>
      <c r="E106" s="38">
        <f>IF(ISNUMBER(データ_類似企業!E10),データ_類似企業!E10/1000000,"n.a.")</f>
        <v>39185.787957295259</v>
      </c>
      <c r="F106" s="27" t="str">
        <f>データ_類似企業!F10</f>
        <v>n.a.</v>
      </c>
      <c r="G106" s="27">
        <f>データ_類似企業!G10</f>
        <v>2.197991247324167</v>
      </c>
      <c r="H106" s="29" t="str">
        <f>データ_類似企業!H10</f>
        <v>n.a.</v>
      </c>
      <c r="I106" s="29" t="str">
        <f>データ_類似企業!I10</f>
        <v>n.a.</v>
      </c>
      <c r="J106" s="29" t="str">
        <f>データ_類似企業!J10</f>
        <v>n.a.</v>
      </c>
      <c r="K106" s="27" t="str">
        <f>データ_類似企業!K10</f>
        <v>n.a.</v>
      </c>
      <c r="L106" s="29">
        <f>データ_類似企業!L10</f>
        <v>8.1651167782740321E-3</v>
      </c>
      <c r="M106" s="9" t="s">
        <v>154</v>
      </c>
    </row>
    <row r="107" spans="2:13" ht="16.5">
      <c r="B107" s="9" t="str">
        <f>データ_類似企業!B11</f>
        <v>MPWR</v>
      </c>
      <c r="C107" s="9" t="str">
        <f>データ_類似企業!C11</f>
        <v>MONOLITHIC POWER SYSTEMS, INC.</v>
      </c>
      <c r="D107" s="23">
        <f>データ_類似企業!D11</f>
        <v>1167.930053710938</v>
      </c>
      <c r="E107" s="38">
        <f>IF(ISNUMBER(データ_類似企業!E11),データ_類似企業!E11/1000000,"n.a.")</f>
        <v>57395.586629516605</v>
      </c>
      <c r="F107" s="27">
        <f>データ_類似企業!F11</f>
        <v>71.345757709892325</v>
      </c>
      <c r="G107" s="27">
        <f>データ_類似企業!G11</f>
        <v>14.734105101143451</v>
      </c>
      <c r="H107" s="29">
        <f>データ_類似企業!H11</f>
        <v>0.22572879139425631</v>
      </c>
      <c r="I107" s="29">
        <f>データ_類似企業!I11</f>
        <v>0.28723483559302659</v>
      </c>
      <c r="J107" s="29">
        <f>データ_類似企業!J11</f>
        <v>0.28666321791005339</v>
      </c>
      <c r="K107" s="27" t="str">
        <f>データ_類似企業!K11</f>
        <v>n.a.</v>
      </c>
      <c r="L107" s="29">
        <f>データ_類似企業!L11</f>
        <v>6.0962554883977659E-3</v>
      </c>
      <c r="M107" s="9" t="s">
        <v>154</v>
      </c>
    </row>
    <row r="108" spans="2:13" ht="16.5">
      <c r="B108" s="145" t="s">
        <v>155</v>
      </c>
      <c r="C108" s="144"/>
      <c r="D108" s="40">
        <f t="shared" ref="D108:L108" si="0">IF(COUNT(D102:D107)=0,"n.a.",MEDIAN(D102:D107))</f>
        <v>156.15499496459961</v>
      </c>
      <c r="E108" s="41">
        <f t="shared" si="0"/>
        <v>48930.296229996246</v>
      </c>
      <c r="F108" s="42">
        <f t="shared" si="0"/>
        <v>47.245163456086189</v>
      </c>
      <c r="G108" s="42">
        <f t="shared" si="0"/>
        <v>5.53280636924692</v>
      </c>
      <c r="H108" s="43">
        <f t="shared" si="0"/>
        <v>0.1222709450850373</v>
      </c>
      <c r="I108" s="43">
        <f t="shared" si="0"/>
        <v>0.28723483559302659</v>
      </c>
      <c r="J108" s="43">
        <f t="shared" si="0"/>
        <v>0.20928750177062189</v>
      </c>
      <c r="K108" s="42">
        <f t="shared" si="0"/>
        <v>25.471061869280714</v>
      </c>
      <c r="L108" s="43">
        <f t="shared" si="0"/>
        <v>1.0835752525358009E-2</v>
      </c>
    </row>
    <row r="109" spans="2:13" ht="17.100000000000001" customHeight="1">
      <c r="B109" s="141" t="s">
        <v>156</v>
      </c>
      <c r="C109" s="142"/>
      <c r="D109" s="142"/>
      <c r="E109" s="142"/>
      <c r="F109" s="142"/>
      <c r="G109" s="142"/>
      <c r="H109" s="142"/>
      <c r="I109" s="142"/>
      <c r="J109" s="142"/>
      <c r="K109" s="142"/>
      <c r="L109" s="142"/>
    </row>
    <row r="128" spans="2:2" ht="16.5">
      <c r="B128" s="9" t="s">
        <v>157</v>
      </c>
    </row>
    <row r="130" spans="2:13" ht="105" customHeight="1">
      <c r="B130" s="141" t="s">
        <v>158</v>
      </c>
      <c r="C130" s="142"/>
      <c r="D130" s="142"/>
      <c r="E130" s="142"/>
      <c r="F130" s="142"/>
      <c r="G130" s="142"/>
      <c r="H130" s="142"/>
      <c r="I130" s="142"/>
      <c r="J130" s="142"/>
      <c r="K130" s="142"/>
      <c r="L130" s="142"/>
      <c r="M130" s="14" t="s">
        <v>159</v>
      </c>
    </row>
    <row r="131" spans="2:13" ht="54" customHeight="1">
      <c r="B131" s="141" t="s">
        <v>160</v>
      </c>
      <c r="C131" s="142"/>
      <c r="D131" s="142"/>
      <c r="E131" s="142"/>
      <c r="F131" s="142"/>
      <c r="G131" s="142"/>
      <c r="H131" s="142"/>
      <c r="I131" s="142"/>
      <c r="J131" s="142"/>
      <c r="K131" s="142"/>
      <c r="L131" s="142"/>
      <c r="M131" s="14" t="s">
        <v>161</v>
      </c>
    </row>
    <row r="132" spans="2:13" ht="87.95" customHeight="1">
      <c r="B132" s="141" t="s">
        <v>162</v>
      </c>
      <c r="C132" s="142"/>
      <c r="D132" s="142"/>
      <c r="E132" s="142"/>
      <c r="F132" s="142"/>
      <c r="G132" s="142"/>
      <c r="H132" s="142"/>
      <c r="I132" s="142"/>
      <c r="J132" s="142"/>
      <c r="K132" s="142"/>
      <c r="L132" s="142"/>
      <c r="M132" s="14" t="s">
        <v>163</v>
      </c>
    </row>
    <row r="133" spans="2:13" ht="71.099999999999994" customHeight="1">
      <c r="B133" s="141" t="s">
        <v>164</v>
      </c>
      <c r="C133" s="142"/>
      <c r="D133" s="142"/>
      <c r="E133" s="142"/>
      <c r="F133" s="142"/>
      <c r="G133" s="142"/>
      <c r="H133" s="142"/>
      <c r="I133" s="142"/>
      <c r="J133" s="142"/>
      <c r="K133" s="142"/>
      <c r="L133" s="142"/>
      <c r="M133" s="14" t="s">
        <v>165</v>
      </c>
    </row>
    <row r="134" spans="2:13" ht="71.099999999999994" customHeight="1">
      <c r="B134" s="141" t="s">
        <v>166</v>
      </c>
      <c r="C134" s="142"/>
      <c r="D134" s="142"/>
      <c r="E134" s="142"/>
      <c r="F134" s="142"/>
      <c r="G134" s="142"/>
      <c r="H134" s="142"/>
      <c r="I134" s="142"/>
      <c r="J134" s="142"/>
      <c r="K134" s="142"/>
      <c r="L134" s="142"/>
      <c r="M134" s="14" t="s">
        <v>167</v>
      </c>
    </row>
    <row r="135" spans="2:13" ht="71.099999999999994" customHeight="1">
      <c r="B135" s="141" t="s">
        <v>168</v>
      </c>
      <c r="C135" s="142"/>
      <c r="D135" s="142"/>
      <c r="E135" s="142"/>
      <c r="F135" s="142"/>
      <c r="G135" s="142"/>
      <c r="H135" s="142"/>
      <c r="I135" s="142"/>
      <c r="J135" s="142"/>
      <c r="K135" s="142"/>
      <c r="L135" s="142"/>
      <c r="M135" s="14" t="s">
        <v>169</v>
      </c>
    </row>
    <row r="136" spans="2:13" ht="71.099999999999994" customHeight="1">
      <c r="B136" s="141" t="s">
        <v>170</v>
      </c>
      <c r="C136" s="142"/>
      <c r="D136" s="142"/>
      <c r="E136" s="142"/>
      <c r="F136" s="142"/>
      <c r="G136" s="142"/>
      <c r="H136" s="142"/>
      <c r="I136" s="142"/>
      <c r="J136" s="142"/>
      <c r="K136" s="142"/>
      <c r="L136" s="142"/>
      <c r="M136" s="14" t="s">
        <v>171</v>
      </c>
    </row>
    <row r="137" spans="2:13" ht="71.099999999999994" customHeight="1">
      <c r="B137" s="141" t="s">
        <v>172</v>
      </c>
      <c r="C137" s="142"/>
      <c r="D137" s="142"/>
      <c r="E137" s="142"/>
      <c r="F137" s="142"/>
      <c r="G137" s="142"/>
      <c r="H137" s="142"/>
      <c r="I137" s="142"/>
      <c r="J137" s="142"/>
      <c r="K137" s="142"/>
      <c r="L137" s="142"/>
      <c r="M137" s="14" t="s">
        <v>173</v>
      </c>
    </row>
    <row r="139" spans="2:13" ht="20.100000000000001" customHeight="1">
      <c r="B139" s="10" t="s">
        <v>174</v>
      </c>
      <c r="C139" s="11"/>
      <c r="D139" s="11"/>
      <c r="E139" s="11"/>
      <c r="F139" s="11"/>
      <c r="G139" s="11"/>
      <c r="H139" s="11"/>
      <c r="I139" s="11"/>
      <c r="J139" s="11"/>
      <c r="K139" s="11"/>
      <c r="L139" s="11"/>
      <c r="M139" s="17" t="s">
        <v>60</v>
      </c>
    </row>
    <row r="140" spans="2:13" ht="16.5">
      <c r="B140" s="12" t="s">
        <v>175</v>
      </c>
      <c r="C140" s="12" t="s">
        <v>176</v>
      </c>
      <c r="D140" s="18"/>
      <c r="E140" s="18"/>
      <c r="F140" s="18"/>
      <c r="G140" s="18"/>
      <c r="H140" s="12" t="s">
        <v>177</v>
      </c>
      <c r="I140" s="18"/>
      <c r="J140" s="18"/>
      <c r="K140" s="12" t="s">
        <v>178</v>
      </c>
      <c r="L140" s="12" t="s">
        <v>151</v>
      </c>
    </row>
    <row r="141" spans="2:13" ht="207" customHeight="1">
      <c r="B141" s="19" t="s">
        <v>179</v>
      </c>
      <c r="C141" s="141" t="s">
        <v>180</v>
      </c>
      <c r="D141" s="142"/>
      <c r="E141" s="142"/>
      <c r="F141" s="142"/>
      <c r="G141" s="142"/>
      <c r="H141" s="141" t="s">
        <v>181</v>
      </c>
      <c r="I141" s="142"/>
      <c r="J141" s="142"/>
      <c r="K141" s="29">
        <f>データ_セグメント!C5</f>
        <v>0.79200000000000004</v>
      </c>
      <c r="L141" s="29">
        <f>データ_セグメント!D5</f>
        <v>0.38600000000000001</v>
      </c>
      <c r="M141" s="14" t="s">
        <v>182</v>
      </c>
    </row>
    <row r="142" spans="2:13" ht="189.95" customHeight="1">
      <c r="B142" s="19" t="s">
        <v>183</v>
      </c>
      <c r="C142" s="141" t="s">
        <v>184</v>
      </c>
      <c r="D142" s="142"/>
      <c r="E142" s="142"/>
      <c r="F142" s="142"/>
      <c r="G142" s="142"/>
      <c r="H142" s="141" t="s">
        <v>185</v>
      </c>
      <c r="I142" s="142"/>
      <c r="J142" s="142"/>
      <c r="K142" s="29">
        <f>データ_セグメント!C6</f>
        <v>0.153</v>
      </c>
      <c r="L142" s="29">
        <f>データ_セグメント!D6</f>
        <v>0.113</v>
      </c>
      <c r="M142" s="14" t="s">
        <v>186</v>
      </c>
    </row>
    <row r="143" spans="2:13" ht="105" customHeight="1">
      <c r="B143" s="20" t="s">
        <v>187</v>
      </c>
      <c r="C143" s="143" t="s">
        <v>188</v>
      </c>
      <c r="D143" s="144"/>
      <c r="E143" s="144"/>
      <c r="F143" s="144"/>
      <c r="G143" s="144"/>
      <c r="H143" s="143" t="s">
        <v>189</v>
      </c>
      <c r="I143" s="144"/>
      <c r="J143" s="144"/>
      <c r="K143" s="44">
        <f>データ_セグメント!C7</f>
        <v>5.5E-2</v>
      </c>
      <c r="L143" s="44">
        <f>データ_セグメント!D7</f>
        <v>0.314</v>
      </c>
      <c r="M143" s="14" t="s">
        <v>190</v>
      </c>
    </row>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spans="2:13" ht="15" customHeight="1"/>
    <row r="162" spans="2:13" ht="36.950000000000003" customHeight="1">
      <c r="B162" s="141" t="s">
        <v>191</v>
      </c>
      <c r="C162" s="142"/>
      <c r="D162" s="142"/>
      <c r="E162" s="142"/>
      <c r="F162" s="142"/>
      <c r="G162" s="142"/>
      <c r="H162" s="142"/>
      <c r="I162" s="142"/>
      <c r="J162" s="142"/>
      <c r="K162" s="142"/>
      <c r="L162" s="142"/>
      <c r="M162" s="14" t="s">
        <v>192</v>
      </c>
    </row>
    <row r="163" spans="2:13" ht="17.100000000000001" customHeight="1">
      <c r="B163" s="141" t="s">
        <v>193</v>
      </c>
      <c r="C163" s="142"/>
      <c r="D163" s="142"/>
      <c r="E163" s="142"/>
      <c r="F163" s="142"/>
      <c r="G163" s="142"/>
      <c r="H163" s="142"/>
      <c r="I163" s="142"/>
      <c r="J163" s="142"/>
      <c r="K163" s="142"/>
      <c r="L163" s="142"/>
    </row>
    <row r="164" spans="2:13" ht="54" customHeight="1">
      <c r="B164" s="141" t="s">
        <v>194</v>
      </c>
      <c r="C164" s="142"/>
      <c r="D164" s="142"/>
      <c r="E164" s="142"/>
      <c r="F164" s="142"/>
      <c r="G164" s="142"/>
      <c r="H164" s="142"/>
      <c r="I164" s="142"/>
      <c r="J164" s="142"/>
      <c r="K164" s="142"/>
      <c r="L164" s="142"/>
      <c r="M164" s="14" t="s">
        <v>195</v>
      </c>
    </row>
    <row r="165" spans="2:13" ht="36.950000000000003" customHeight="1">
      <c r="B165" s="141" t="s">
        <v>196</v>
      </c>
      <c r="C165" s="142"/>
      <c r="D165" s="142"/>
      <c r="E165" s="142"/>
      <c r="F165" s="142"/>
      <c r="G165" s="142"/>
      <c r="H165" s="142"/>
      <c r="I165" s="142"/>
      <c r="J165" s="142"/>
      <c r="K165" s="142"/>
      <c r="L165" s="142"/>
      <c r="M165" s="14" t="s">
        <v>197</v>
      </c>
    </row>
    <row r="166" spans="2:13" ht="36.950000000000003" customHeight="1">
      <c r="B166" s="141" t="s">
        <v>198</v>
      </c>
      <c r="C166" s="142"/>
      <c r="D166" s="142"/>
      <c r="E166" s="142"/>
      <c r="F166" s="142"/>
      <c r="G166" s="142"/>
      <c r="H166" s="142"/>
      <c r="I166" s="142"/>
      <c r="J166" s="142"/>
      <c r="K166" s="142"/>
      <c r="L166" s="142"/>
      <c r="M166" s="14" t="s">
        <v>73</v>
      </c>
    </row>
    <row r="167" spans="2:13" ht="36.950000000000003" customHeight="1">
      <c r="B167" s="141" t="s">
        <v>199</v>
      </c>
      <c r="C167" s="142"/>
      <c r="D167" s="142"/>
      <c r="E167" s="142"/>
      <c r="F167" s="142"/>
      <c r="G167" s="142"/>
      <c r="H167" s="142"/>
      <c r="I167" s="142"/>
      <c r="J167" s="142"/>
      <c r="K167" s="142"/>
      <c r="L167" s="142"/>
      <c r="M167" s="14" t="s">
        <v>195</v>
      </c>
    </row>
    <row r="168" spans="2:13" ht="36.950000000000003" customHeight="1">
      <c r="B168" s="141" t="s">
        <v>200</v>
      </c>
      <c r="C168" s="142"/>
      <c r="D168" s="142"/>
      <c r="E168" s="142"/>
      <c r="F168" s="142"/>
      <c r="G168" s="142"/>
      <c r="H168" s="142"/>
      <c r="I168" s="142"/>
      <c r="J168" s="142"/>
      <c r="K168" s="142"/>
      <c r="L168" s="142"/>
      <c r="M168" s="14" t="s">
        <v>182</v>
      </c>
    </row>
    <row r="169" spans="2:13" ht="71.099999999999994" customHeight="1">
      <c r="B169" s="141" t="s">
        <v>201</v>
      </c>
      <c r="C169" s="142"/>
      <c r="D169" s="142"/>
      <c r="E169" s="142"/>
      <c r="F169" s="142"/>
      <c r="G169" s="142"/>
      <c r="H169" s="142"/>
      <c r="I169" s="142"/>
      <c r="J169" s="142"/>
      <c r="K169" s="142"/>
      <c r="L169" s="142"/>
      <c r="M169" s="14" t="s">
        <v>182</v>
      </c>
    </row>
    <row r="170" spans="2:13" ht="54" customHeight="1">
      <c r="B170" s="141" t="s">
        <v>202</v>
      </c>
      <c r="C170" s="142"/>
      <c r="D170" s="142"/>
      <c r="E170" s="142"/>
      <c r="F170" s="142"/>
      <c r="G170" s="142"/>
      <c r="H170" s="142"/>
      <c r="I170" s="142"/>
      <c r="J170" s="142"/>
      <c r="K170" s="142"/>
      <c r="L170" s="142"/>
      <c r="M170" s="14" t="s">
        <v>203</v>
      </c>
    </row>
    <row r="171" spans="2:13" ht="36.950000000000003" customHeight="1">
      <c r="B171" s="141" t="s">
        <v>204</v>
      </c>
      <c r="C171" s="142"/>
      <c r="D171" s="142"/>
      <c r="E171" s="142"/>
      <c r="F171" s="142"/>
      <c r="G171" s="142"/>
      <c r="H171" s="142"/>
      <c r="I171" s="142"/>
      <c r="J171" s="142"/>
      <c r="K171" s="142"/>
      <c r="L171" s="142"/>
      <c r="M171" s="14" t="s">
        <v>205</v>
      </c>
    </row>
    <row r="173" spans="2:13" ht="15" customHeight="1"/>
    <row r="174" spans="2:13" ht="15" customHeight="1"/>
    <row r="175" spans="2:13" ht="15" customHeight="1"/>
    <row r="176" spans="2:13"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spans="2:13" ht="36.950000000000003" customHeight="1">
      <c r="B193" s="141" t="s">
        <v>206</v>
      </c>
      <c r="C193" s="142"/>
      <c r="D193" s="142"/>
      <c r="E193" s="142"/>
      <c r="F193" s="142"/>
      <c r="G193" s="142"/>
      <c r="H193" s="142"/>
      <c r="I193" s="142"/>
      <c r="J193" s="142"/>
      <c r="K193" s="142"/>
      <c r="L193" s="142"/>
      <c r="M193" s="14" t="s">
        <v>110</v>
      </c>
    </row>
    <row r="195" spans="2:13" ht="15" customHeight="1"/>
    <row r="196" spans="2:13" ht="15" customHeight="1"/>
    <row r="197" spans="2:13" ht="15" customHeight="1"/>
    <row r="198" spans="2:13" ht="15" customHeight="1"/>
    <row r="199" spans="2:13" ht="15" customHeight="1"/>
    <row r="200" spans="2:13" ht="15" customHeight="1"/>
    <row r="201" spans="2:13" ht="15" customHeight="1"/>
    <row r="202" spans="2:13" ht="15" customHeight="1"/>
    <row r="203" spans="2:13" ht="15" customHeight="1"/>
    <row r="204" spans="2:13" ht="15" customHeight="1"/>
    <row r="205" spans="2:13" ht="15" customHeight="1"/>
    <row r="206" spans="2:13" ht="15" customHeight="1"/>
    <row r="207" spans="2:13" ht="15" customHeight="1"/>
    <row r="208" spans="2:13" ht="15" customHeight="1"/>
    <row r="209" spans="2:13" ht="17.100000000000001" customHeight="1">
      <c r="B209" s="141" t="s">
        <v>207</v>
      </c>
      <c r="C209" s="142"/>
      <c r="D209" s="142"/>
      <c r="E209" s="142"/>
      <c r="F209" s="142"/>
      <c r="G209" s="142"/>
      <c r="H209" s="142"/>
      <c r="I209" s="142"/>
      <c r="J209" s="142"/>
      <c r="K209" s="142"/>
      <c r="L209" s="142"/>
      <c r="M209" s="14" t="s">
        <v>110</v>
      </c>
    </row>
    <row r="211" spans="2:13" ht="15" customHeight="1"/>
    <row r="212" spans="2:13" ht="15" customHeight="1"/>
    <row r="213" spans="2:13" ht="15" customHeight="1"/>
    <row r="214" spans="2:13" ht="15" customHeight="1"/>
    <row r="215" spans="2:13" ht="15" customHeight="1"/>
    <row r="216" spans="2:13" ht="15" customHeight="1"/>
    <row r="217" spans="2:13" ht="15" customHeight="1"/>
    <row r="218" spans="2:13" ht="15" customHeight="1"/>
    <row r="219" spans="2:13" ht="15" customHeight="1"/>
    <row r="220" spans="2:13" ht="15" customHeight="1"/>
    <row r="221" spans="2:13" ht="15" customHeight="1"/>
    <row r="222" spans="2:13" ht="15" customHeight="1"/>
    <row r="223" spans="2:13" ht="15" customHeight="1"/>
    <row r="224" spans="2:13" ht="15" customHeight="1"/>
    <row r="225" spans="2:13" ht="15" customHeight="1"/>
    <row r="226" spans="2:13" ht="15" customHeight="1"/>
    <row r="227" spans="2:13" ht="15" customHeight="1"/>
    <row r="228" spans="2:13" ht="15" customHeight="1"/>
    <row r="229" spans="2:13" ht="15" customHeight="1"/>
    <row r="230" spans="2:13" ht="15" customHeight="1"/>
    <row r="231" spans="2:13" ht="15" customHeight="1"/>
    <row r="232" spans="2:13" ht="15" customHeight="1"/>
    <row r="233" spans="2:13" ht="36.950000000000003" customHeight="1">
      <c r="B233" s="141" t="s">
        <v>208</v>
      </c>
      <c r="C233" s="142"/>
      <c r="D233" s="142"/>
      <c r="E233" s="142"/>
      <c r="F233" s="142"/>
      <c r="G233" s="142"/>
      <c r="H233" s="142"/>
      <c r="I233" s="142"/>
      <c r="J233" s="142"/>
      <c r="K233" s="142"/>
      <c r="L233" s="142"/>
      <c r="M233" s="14" t="s">
        <v>209</v>
      </c>
    </row>
    <row r="234" spans="2:13" ht="16.5">
      <c r="B234" s="22" t="s">
        <v>210</v>
      </c>
    </row>
    <row r="235" spans="2:13" ht="16.5">
      <c r="B235" s="12" t="s">
        <v>211</v>
      </c>
      <c r="C235" s="12" t="s">
        <v>175</v>
      </c>
      <c r="D235" s="18"/>
      <c r="E235" s="12" t="s">
        <v>212</v>
      </c>
      <c r="F235" s="18"/>
      <c r="G235" s="18"/>
      <c r="H235" s="18"/>
      <c r="I235" s="18"/>
      <c r="J235" s="12" t="s">
        <v>213</v>
      </c>
      <c r="K235" s="12" t="s">
        <v>214</v>
      </c>
      <c r="L235" s="18"/>
    </row>
    <row r="236" spans="2:13" ht="105" customHeight="1">
      <c r="B236" s="19" t="s">
        <v>215</v>
      </c>
      <c r="C236" s="141" t="s">
        <v>216</v>
      </c>
      <c r="D236" s="142"/>
      <c r="E236" s="141" t="s">
        <v>217</v>
      </c>
      <c r="F236" s="142"/>
      <c r="G236" s="142"/>
      <c r="H236" s="142"/>
      <c r="I236" s="142"/>
      <c r="J236" s="9" t="s">
        <v>218</v>
      </c>
      <c r="K236" s="141" t="s">
        <v>219</v>
      </c>
      <c r="L236" s="142"/>
      <c r="M236" s="14" t="s">
        <v>220</v>
      </c>
    </row>
    <row r="237" spans="2:13" ht="71.099999999999994" customHeight="1">
      <c r="B237" s="19" t="s">
        <v>221</v>
      </c>
      <c r="C237" s="141" t="s">
        <v>222</v>
      </c>
      <c r="D237" s="142"/>
      <c r="E237" s="141" t="s">
        <v>223</v>
      </c>
      <c r="F237" s="142"/>
      <c r="G237" s="142"/>
      <c r="H237" s="142"/>
      <c r="I237" s="142"/>
      <c r="J237" s="9" t="s">
        <v>224</v>
      </c>
      <c r="K237" s="141" t="s">
        <v>225</v>
      </c>
      <c r="L237" s="142"/>
      <c r="M237" s="14" t="s">
        <v>226</v>
      </c>
    </row>
    <row r="238" spans="2:13" ht="36.950000000000003" customHeight="1">
      <c r="B238" s="19" t="s">
        <v>227</v>
      </c>
      <c r="C238" s="141" t="s">
        <v>228</v>
      </c>
      <c r="D238" s="142"/>
      <c r="E238" s="141" t="s">
        <v>229</v>
      </c>
      <c r="F238" s="142"/>
      <c r="G238" s="142"/>
      <c r="H238" s="142"/>
      <c r="I238" s="142"/>
      <c r="J238" s="9" t="s">
        <v>224</v>
      </c>
      <c r="K238" s="141" t="s">
        <v>230</v>
      </c>
      <c r="L238" s="142"/>
      <c r="M238" s="14" t="s">
        <v>226</v>
      </c>
    </row>
    <row r="239" spans="2:13" ht="54" customHeight="1">
      <c r="B239" s="19" t="s">
        <v>231</v>
      </c>
      <c r="C239" s="141" t="s">
        <v>232</v>
      </c>
      <c r="D239" s="142"/>
      <c r="E239" s="141" t="s">
        <v>233</v>
      </c>
      <c r="F239" s="142"/>
      <c r="G239" s="142"/>
      <c r="H239" s="142"/>
      <c r="I239" s="142"/>
      <c r="J239" s="9" t="s">
        <v>224</v>
      </c>
      <c r="K239" s="141" t="s">
        <v>234</v>
      </c>
      <c r="L239" s="142"/>
      <c r="M239" s="14" t="s">
        <v>226</v>
      </c>
    </row>
    <row r="240" spans="2:13" ht="54" customHeight="1">
      <c r="B240" s="19" t="s">
        <v>235</v>
      </c>
      <c r="C240" s="141" t="s">
        <v>232</v>
      </c>
      <c r="D240" s="142"/>
      <c r="E240" s="141" t="s">
        <v>236</v>
      </c>
      <c r="F240" s="142"/>
      <c r="G240" s="142"/>
      <c r="H240" s="142"/>
      <c r="I240" s="142"/>
      <c r="J240" s="9" t="s">
        <v>237</v>
      </c>
      <c r="K240" s="141" t="s">
        <v>238</v>
      </c>
      <c r="L240" s="142"/>
      <c r="M240" s="14" t="s">
        <v>239</v>
      </c>
    </row>
    <row r="241" spans="2:13" ht="54" customHeight="1">
      <c r="B241" s="19" t="s">
        <v>240</v>
      </c>
      <c r="C241" s="141" t="s">
        <v>232</v>
      </c>
      <c r="D241" s="142"/>
      <c r="E241" s="141" t="s">
        <v>241</v>
      </c>
      <c r="F241" s="142"/>
      <c r="G241" s="142"/>
      <c r="H241" s="142"/>
      <c r="I241" s="142"/>
      <c r="J241" s="9" t="s">
        <v>224</v>
      </c>
      <c r="K241" s="141" t="s">
        <v>242</v>
      </c>
      <c r="L241" s="142"/>
      <c r="M241" s="14" t="s">
        <v>243</v>
      </c>
    </row>
    <row r="242" spans="2:13" ht="71.099999999999994" customHeight="1">
      <c r="B242" s="20" t="s">
        <v>244</v>
      </c>
      <c r="C242" s="143" t="s">
        <v>245</v>
      </c>
      <c r="D242" s="144"/>
      <c r="E242" s="143" t="s">
        <v>246</v>
      </c>
      <c r="F242" s="144"/>
      <c r="G242" s="144"/>
      <c r="H242" s="144"/>
      <c r="I242" s="144"/>
      <c r="J242" s="30" t="s">
        <v>224</v>
      </c>
      <c r="K242" s="143" t="s">
        <v>247</v>
      </c>
      <c r="L242" s="144"/>
      <c r="M242" s="14" t="s">
        <v>248</v>
      </c>
    </row>
    <row r="243" spans="2:13" ht="17.100000000000001" customHeight="1">
      <c r="B243" s="141" t="s">
        <v>249</v>
      </c>
      <c r="C243" s="142"/>
      <c r="D243" s="142"/>
      <c r="E243" s="142"/>
      <c r="F243" s="142"/>
      <c r="G243" s="142"/>
      <c r="H243" s="142"/>
      <c r="I243" s="142"/>
      <c r="J243" s="142"/>
      <c r="K243" s="142"/>
      <c r="L243" s="142"/>
    </row>
    <row r="245" spans="2:13" ht="15" customHeight="1"/>
    <row r="246" spans="2:13" ht="15" customHeight="1"/>
    <row r="247" spans="2:13" ht="15" customHeight="1"/>
    <row r="248" spans="2:13" ht="15" customHeight="1"/>
    <row r="249" spans="2:13" ht="15" customHeight="1"/>
    <row r="250" spans="2:13" ht="15" customHeight="1"/>
    <row r="251" spans="2:13" ht="15" customHeight="1"/>
    <row r="252" spans="2:13" ht="15" customHeight="1"/>
    <row r="253" spans="2:13" ht="15" customHeight="1"/>
    <row r="254" spans="2:13" ht="15" customHeight="1"/>
    <row r="255" spans="2:13" ht="15" customHeight="1"/>
    <row r="256" spans="2:13" ht="15" customHeight="1"/>
    <row r="257" spans="2:13" ht="15" customHeight="1"/>
    <row r="258" spans="2:13" ht="15" customHeight="1"/>
    <row r="259" spans="2:13" ht="15" customHeight="1"/>
    <row r="260" spans="2:13" ht="15" customHeight="1"/>
    <row r="261" spans="2:13" ht="15" customHeight="1"/>
    <row r="262" spans="2:13" ht="15" customHeight="1"/>
    <row r="263" spans="2:13" ht="15" customHeight="1"/>
    <row r="264" spans="2:13" ht="15" customHeight="1"/>
    <row r="265" spans="2:13" ht="15" customHeight="1"/>
    <row r="266" spans="2:13" ht="15" customHeight="1"/>
    <row r="267" spans="2:13" ht="15" customHeight="1"/>
    <row r="268" spans="2:13" ht="17.100000000000001" customHeight="1">
      <c r="B268" s="141" t="s">
        <v>250</v>
      </c>
      <c r="C268" s="142"/>
      <c r="D268" s="142"/>
      <c r="E268" s="142"/>
      <c r="F268" s="142"/>
      <c r="G268" s="142"/>
      <c r="H268" s="142"/>
      <c r="I268" s="142"/>
      <c r="J268" s="142"/>
      <c r="K268" s="142"/>
      <c r="L268" s="142"/>
      <c r="M268" s="14" t="s">
        <v>209</v>
      </c>
    </row>
    <row r="270" spans="2:13" ht="20.100000000000001" customHeight="1">
      <c r="B270" s="10" t="s">
        <v>251</v>
      </c>
      <c r="C270" s="11"/>
      <c r="D270" s="11"/>
      <c r="E270" s="11"/>
      <c r="F270" s="11"/>
      <c r="G270" s="11"/>
      <c r="H270" s="11"/>
      <c r="I270" s="11"/>
      <c r="J270" s="11"/>
      <c r="K270" s="11"/>
      <c r="L270" s="11"/>
      <c r="M270" s="17" t="s">
        <v>60</v>
      </c>
    </row>
    <row r="271" spans="2:13" ht="16.5">
      <c r="B271" s="12" t="s">
        <v>61</v>
      </c>
      <c r="C271" s="12" t="s">
        <v>15</v>
      </c>
    </row>
    <row r="272" spans="2:13" ht="17.100000000000001" customHeight="1">
      <c r="B272" s="3" t="s">
        <v>252</v>
      </c>
      <c r="C272" s="141" t="s">
        <v>253</v>
      </c>
      <c r="D272" s="142"/>
      <c r="E272" s="142"/>
      <c r="F272" s="142"/>
    </row>
    <row r="273" spans="2:13" ht="36.950000000000003" customHeight="1">
      <c r="B273" s="3" t="s">
        <v>254</v>
      </c>
      <c r="C273" s="141" t="s">
        <v>255</v>
      </c>
      <c r="D273" s="142"/>
      <c r="E273" s="142"/>
      <c r="F273" s="142"/>
    </row>
    <row r="274" spans="2:13" ht="54" customHeight="1">
      <c r="B274" s="3" t="s">
        <v>256</v>
      </c>
      <c r="C274" s="141" t="s">
        <v>257</v>
      </c>
      <c r="D274" s="142"/>
      <c r="E274" s="142"/>
      <c r="F274" s="142"/>
    </row>
    <row r="275" spans="2:13" ht="36.950000000000003" customHeight="1">
      <c r="B275" s="39" t="s">
        <v>258</v>
      </c>
      <c r="C275" s="143" t="s">
        <v>259</v>
      </c>
      <c r="D275" s="142"/>
      <c r="E275" s="142"/>
      <c r="F275" s="142"/>
    </row>
    <row r="277" spans="2:13" ht="16.5">
      <c r="B277" s="12" t="s">
        <v>260</v>
      </c>
      <c r="C277" s="12" t="s">
        <v>261</v>
      </c>
      <c r="D277" s="18"/>
      <c r="E277" s="18"/>
      <c r="F277" s="18"/>
      <c r="G277" s="18"/>
      <c r="H277" s="18"/>
      <c r="I277" s="18"/>
      <c r="J277" s="18"/>
      <c r="K277" s="18"/>
      <c r="L277" s="18"/>
    </row>
    <row r="278" spans="2:13" ht="17.100000000000001" customHeight="1">
      <c r="B278" s="14" t="s">
        <v>262</v>
      </c>
      <c r="C278" s="141" t="s">
        <v>263</v>
      </c>
      <c r="D278" s="142"/>
      <c r="E278" s="142"/>
      <c r="F278" s="142"/>
      <c r="G278" s="142"/>
      <c r="H278" s="142"/>
      <c r="I278" s="142"/>
      <c r="J278" s="142"/>
      <c r="K278" s="142"/>
      <c r="L278" s="142"/>
      <c r="M278" s="14" t="s">
        <v>264</v>
      </c>
    </row>
    <row r="279" spans="2:13" ht="17.100000000000001" customHeight="1">
      <c r="B279" s="14" t="s">
        <v>265</v>
      </c>
      <c r="C279" s="141" t="s">
        <v>266</v>
      </c>
      <c r="D279" s="142"/>
      <c r="E279" s="142"/>
      <c r="F279" s="142"/>
      <c r="G279" s="142"/>
      <c r="H279" s="142"/>
      <c r="I279" s="142"/>
      <c r="J279" s="142"/>
      <c r="K279" s="142"/>
      <c r="L279" s="142"/>
      <c r="M279" s="14" t="s">
        <v>267</v>
      </c>
    </row>
    <row r="280" spans="2:13" ht="36.950000000000003" customHeight="1">
      <c r="B280" s="14" t="s">
        <v>268</v>
      </c>
      <c r="C280" s="141" t="s">
        <v>269</v>
      </c>
      <c r="D280" s="142"/>
      <c r="E280" s="142"/>
      <c r="F280" s="142"/>
      <c r="G280" s="142"/>
      <c r="H280" s="142"/>
      <c r="I280" s="142"/>
      <c r="J280" s="142"/>
      <c r="K280" s="142"/>
      <c r="L280" s="142"/>
      <c r="M280" s="14" t="s">
        <v>264</v>
      </c>
    </row>
    <row r="281" spans="2:13" ht="36.950000000000003" customHeight="1">
      <c r="B281" s="14" t="s">
        <v>270</v>
      </c>
      <c r="C281" s="141" t="s">
        <v>271</v>
      </c>
      <c r="D281" s="142"/>
      <c r="E281" s="142"/>
      <c r="F281" s="142"/>
      <c r="G281" s="142"/>
      <c r="H281" s="142"/>
      <c r="I281" s="142"/>
      <c r="J281" s="142"/>
      <c r="K281" s="142"/>
      <c r="L281" s="142"/>
      <c r="M281" s="14" t="s">
        <v>264</v>
      </c>
    </row>
    <row r="282" spans="2:13" ht="17.100000000000001" customHeight="1">
      <c r="B282" s="14" t="s">
        <v>272</v>
      </c>
      <c r="C282" s="141" t="s">
        <v>273</v>
      </c>
      <c r="D282" s="142"/>
      <c r="E282" s="142"/>
      <c r="F282" s="142"/>
      <c r="G282" s="142"/>
      <c r="H282" s="142"/>
      <c r="I282" s="142"/>
      <c r="J282" s="142"/>
      <c r="K282" s="142"/>
      <c r="L282" s="142"/>
      <c r="M282" s="14" t="s">
        <v>274</v>
      </c>
    </row>
    <row r="283" spans="2:13" ht="36.950000000000003" customHeight="1">
      <c r="B283" s="14" t="s">
        <v>275</v>
      </c>
      <c r="C283" s="141" t="s">
        <v>276</v>
      </c>
      <c r="D283" s="142"/>
      <c r="E283" s="142"/>
      <c r="F283" s="142"/>
      <c r="G283" s="142"/>
      <c r="H283" s="142"/>
      <c r="I283" s="142"/>
      <c r="J283" s="142"/>
      <c r="K283" s="142"/>
      <c r="L283" s="142"/>
      <c r="M283" s="14" t="s">
        <v>277</v>
      </c>
    </row>
    <row r="284" spans="2:13" ht="36.950000000000003" customHeight="1">
      <c r="B284" s="14" t="s">
        <v>278</v>
      </c>
      <c r="C284" s="141" t="s">
        <v>279</v>
      </c>
      <c r="D284" s="142"/>
      <c r="E284" s="142"/>
      <c r="F284" s="142"/>
      <c r="G284" s="142"/>
      <c r="H284" s="142"/>
      <c r="I284" s="142"/>
      <c r="J284" s="142"/>
      <c r="K284" s="142"/>
      <c r="L284" s="142"/>
      <c r="M284" s="14" t="s">
        <v>280</v>
      </c>
    </row>
    <row r="285" spans="2:13" ht="36.950000000000003" customHeight="1">
      <c r="B285" s="14" t="s">
        <v>281</v>
      </c>
      <c r="C285" s="141" t="s">
        <v>282</v>
      </c>
      <c r="D285" s="142"/>
      <c r="E285" s="142"/>
      <c r="F285" s="142"/>
      <c r="G285" s="142"/>
      <c r="H285" s="142"/>
      <c r="I285" s="142"/>
      <c r="J285" s="142"/>
      <c r="K285" s="142"/>
      <c r="L285" s="142"/>
      <c r="M285" s="14" t="s">
        <v>283</v>
      </c>
    </row>
    <row r="286" spans="2:13" ht="36.950000000000003" customHeight="1">
      <c r="B286" s="14" t="s">
        <v>284</v>
      </c>
      <c r="C286" s="141" t="s">
        <v>285</v>
      </c>
      <c r="D286" s="142"/>
      <c r="E286" s="142"/>
      <c r="F286" s="142"/>
      <c r="G286" s="142"/>
      <c r="H286" s="142"/>
      <c r="I286" s="142"/>
      <c r="J286" s="142"/>
      <c r="K286" s="142"/>
      <c r="L286" s="142"/>
      <c r="M286" s="14" t="s">
        <v>286</v>
      </c>
    </row>
    <row r="287" spans="2:13" ht="36.950000000000003" customHeight="1">
      <c r="B287" s="16" t="s">
        <v>287</v>
      </c>
      <c r="C287" s="143" t="s">
        <v>288</v>
      </c>
      <c r="D287" s="144"/>
      <c r="E287" s="144"/>
      <c r="F287" s="144"/>
      <c r="G287" s="144"/>
      <c r="H287" s="144"/>
      <c r="I287" s="144"/>
      <c r="J287" s="144"/>
      <c r="K287" s="144"/>
      <c r="L287" s="144"/>
      <c r="M287" s="14" t="s">
        <v>289</v>
      </c>
    </row>
    <row r="288" spans="2:13" ht="87.95" customHeight="1">
      <c r="B288" s="141" t="s">
        <v>290</v>
      </c>
      <c r="C288" s="142"/>
      <c r="D288" s="142"/>
      <c r="E288" s="142"/>
      <c r="F288" s="142"/>
      <c r="G288" s="142"/>
      <c r="H288" s="142"/>
      <c r="I288" s="142"/>
      <c r="J288" s="142"/>
      <c r="K288" s="142"/>
      <c r="L288" s="142"/>
      <c r="M288" s="14" t="s">
        <v>291</v>
      </c>
    </row>
    <row r="289" spans="2:13" ht="71.099999999999994" customHeight="1">
      <c r="B289" s="141" t="s">
        <v>292</v>
      </c>
      <c r="C289" s="142"/>
      <c r="D289" s="142"/>
      <c r="E289" s="142"/>
      <c r="F289" s="142"/>
      <c r="G289" s="142"/>
      <c r="H289" s="142"/>
      <c r="I289" s="142"/>
      <c r="J289" s="142"/>
      <c r="K289" s="142"/>
      <c r="L289" s="142"/>
      <c r="M289" s="14" t="s">
        <v>293</v>
      </c>
    </row>
    <row r="290" spans="2:13" ht="87.95" customHeight="1">
      <c r="B290" s="141" t="s">
        <v>294</v>
      </c>
      <c r="C290" s="142"/>
      <c r="D290" s="142"/>
      <c r="E290" s="142"/>
      <c r="F290" s="142"/>
      <c r="G290" s="142"/>
      <c r="H290" s="142"/>
      <c r="I290" s="142"/>
      <c r="J290" s="142"/>
      <c r="K290" s="142"/>
      <c r="L290" s="142"/>
      <c r="M290" s="14" t="s">
        <v>295</v>
      </c>
    </row>
    <row r="291" spans="2:13" ht="71.099999999999994" customHeight="1">
      <c r="B291" s="141" t="s">
        <v>296</v>
      </c>
      <c r="C291" s="142"/>
      <c r="D291" s="142"/>
      <c r="E291" s="142"/>
      <c r="F291" s="142"/>
      <c r="G291" s="142"/>
      <c r="H291" s="142"/>
      <c r="I291" s="142"/>
      <c r="J291" s="142"/>
      <c r="K291" s="142"/>
      <c r="L291" s="142"/>
      <c r="M291" s="14" t="s">
        <v>297</v>
      </c>
    </row>
    <row r="292" spans="2:13" ht="87.95" customHeight="1">
      <c r="B292" s="141" t="s">
        <v>298</v>
      </c>
      <c r="C292" s="142"/>
      <c r="D292" s="142"/>
      <c r="E292" s="142"/>
      <c r="F292" s="142"/>
      <c r="G292" s="142"/>
      <c r="H292" s="142"/>
      <c r="I292" s="142"/>
      <c r="J292" s="142"/>
      <c r="K292" s="142"/>
      <c r="L292" s="142"/>
      <c r="M292" s="14" t="s">
        <v>299</v>
      </c>
    </row>
    <row r="293" spans="2:13" ht="87.95" customHeight="1">
      <c r="B293" s="141" t="s">
        <v>300</v>
      </c>
      <c r="C293" s="142"/>
      <c r="D293" s="142"/>
      <c r="E293" s="142"/>
      <c r="F293" s="142"/>
      <c r="G293" s="142"/>
      <c r="H293" s="142"/>
      <c r="I293" s="142"/>
      <c r="J293" s="142"/>
      <c r="K293" s="142"/>
      <c r="L293" s="142"/>
      <c r="M293" s="14" t="s">
        <v>301</v>
      </c>
    </row>
    <row r="294" spans="2:13" ht="54" customHeight="1">
      <c r="B294" s="141" t="s">
        <v>302</v>
      </c>
      <c r="C294" s="142"/>
      <c r="D294" s="142"/>
      <c r="E294" s="142"/>
      <c r="F294" s="142"/>
      <c r="G294" s="142"/>
      <c r="H294" s="142"/>
      <c r="I294" s="142"/>
      <c r="J294" s="142"/>
      <c r="K294" s="142"/>
      <c r="L294" s="142"/>
      <c r="M294" s="14" t="s">
        <v>267</v>
      </c>
    </row>
    <row r="295" spans="2:13" ht="54" customHeight="1">
      <c r="B295" s="141" t="s">
        <v>303</v>
      </c>
      <c r="C295" s="142"/>
      <c r="D295" s="142"/>
      <c r="E295" s="142"/>
      <c r="F295" s="142"/>
      <c r="G295" s="142"/>
      <c r="H295" s="142"/>
      <c r="I295" s="142"/>
      <c r="J295" s="142"/>
      <c r="K295" s="142"/>
      <c r="L295" s="142"/>
      <c r="M295" s="14" t="s">
        <v>304</v>
      </c>
    </row>
    <row r="296" spans="2:13" ht="71.099999999999994" customHeight="1">
      <c r="B296" s="141" t="s">
        <v>305</v>
      </c>
      <c r="C296" s="142"/>
      <c r="D296" s="142"/>
      <c r="E296" s="142"/>
      <c r="F296" s="142"/>
      <c r="G296" s="142"/>
      <c r="H296" s="142"/>
      <c r="I296" s="142"/>
      <c r="J296" s="142"/>
      <c r="K296" s="142"/>
      <c r="L296" s="142"/>
      <c r="M296" s="14" t="s">
        <v>306</v>
      </c>
    </row>
    <row r="298" spans="2:13" ht="20.100000000000001" customHeight="1">
      <c r="B298" s="10" t="s">
        <v>307</v>
      </c>
      <c r="C298" s="11"/>
      <c r="D298" s="11"/>
      <c r="E298" s="11"/>
      <c r="F298" s="11"/>
      <c r="G298" s="11"/>
      <c r="H298" s="11"/>
      <c r="I298" s="11"/>
      <c r="J298" s="11"/>
      <c r="K298" s="11"/>
      <c r="L298" s="11"/>
      <c r="M298" s="17" t="s">
        <v>60</v>
      </c>
    </row>
    <row r="299" spans="2:13" ht="16.5">
      <c r="B299" s="45" t="s">
        <v>308</v>
      </c>
      <c r="C299" s="18"/>
      <c r="D299" s="18"/>
      <c r="E299" s="18"/>
      <c r="F299" s="18"/>
      <c r="G299" s="45" t="s">
        <v>60</v>
      </c>
      <c r="H299" s="45" t="s">
        <v>309</v>
      </c>
      <c r="I299" s="18"/>
      <c r="J299" s="18"/>
      <c r="K299" s="18"/>
      <c r="L299" s="18"/>
      <c r="M299" s="45" t="s">
        <v>60</v>
      </c>
    </row>
    <row r="300" spans="2:13" ht="54" customHeight="1">
      <c r="B300" s="141" t="s">
        <v>310</v>
      </c>
      <c r="C300" s="142"/>
      <c r="D300" s="142"/>
      <c r="E300" s="142"/>
      <c r="F300" s="142"/>
      <c r="G300" s="14" t="s">
        <v>73</v>
      </c>
      <c r="H300" s="141" t="s">
        <v>311</v>
      </c>
      <c r="I300" s="142"/>
      <c r="J300" s="142"/>
      <c r="K300" s="142"/>
      <c r="L300" s="142"/>
      <c r="M300" s="14" t="s">
        <v>312</v>
      </c>
    </row>
    <row r="301" spans="2:13" ht="54" customHeight="1">
      <c r="B301" s="141" t="s">
        <v>313</v>
      </c>
      <c r="C301" s="142"/>
      <c r="D301" s="142"/>
      <c r="E301" s="142"/>
      <c r="F301" s="142"/>
      <c r="G301" s="14" t="s">
        <v>190</v>
      </c>
      <c r="H301" s="141" t="s">
        <v>314</v>
      </c>
      <c r="I301" s="142"/>
      <c r="J301" s="142"/>
      <c r="K301" s="142"/>
      <c r="L301" s="142"/>
      <c r="M301" s="14" t="s">
        <v>315</v>
      </c>
    </row>
    <row r="302" spans="2:13" ht="54" customHeight="1">
      <c r="B302" s="141" t="s">
        <v>316</v>
      </c>
      <c r="C302" s="142"/>
      <c r="D302" s="142"/>
      <c r="E302" s="142"/>
      <c r="F302" s="142"/>
      <c r="G302" s="14" t="s">
        <v>317</v>
      </c>
      <c r="H302" s="141" t="s">
        <v>318</v>
      </c>
      <c r="I302" s="142"/>
      <c r="J302" s="142"/>
      <c r="K302" s="142"/>
      <c r="L302" s="142"/>
      <c r="M302" s="14" t="s">
        <v>319</v>
      </c>
    </row>
    <row r="303" spans="2:13" ht="36.950000000000003" customHeight="1">
      <c r="H303" s="141" t="s">
        <v>320</v>
      </c>
      <c r="I303" s="142"/>
      <c r="J303" s="142"/>
      <c r="K303" s="142"/>
      <c r="L303" s="142"/>
      <c r="M303" s="14" t="s">
        <v>321</v>
      </c>
    </row>
    <row r="304" spans="2:13" ht="36.950000000000003" customHeight="1">
      <c r="B304" s="21"/>
      <c r="C304" s="21"/>
      <c r="D304" s="21"/>
      <c r="E304" s="21"/>
      <c r="F304" s="21"/>
      <c r="G304" s="21"/>
      <c r="H304" s="143" t="s">
        <v>322</v>
      </c>
      <c r="I304" s="144"/>
      <c r="J304" s="144"/>
      <c r="K304" s="144"/>
      <c r="L304" s="144"/>
      <c r="M304" s="16" t="s">
        <v>323</v>
      </c>
    </row>
    <row r="306" spans="2:13" ht="16.5">
      <c r="B306" s="45" t="s">
        <v>324</v>
      </c>
      <c r="C306" s="18"/>
      <c r="D306" s="18"/>
      <c r="E306" s="18"/>
      <c r="F306" s="18"/>
      <c r="G306" s="45" t="s">
        <v>60</v>
      </c>
      <c r="H306" s="45" t="s">
        <v>325</v>
      </c>
      <c r="I306" s="18"/>
      <c r="J306" s="18"/>
      <c r="K306" s="18"/>
      <c r="L306" s="18"/>
      <c r="M306" s="45" t="s">
        <v>60</v>
      </c>
    </row>
    <row r="307" spans="2:13" ht="71.099999999999994" customHeight="1">
      <c r="B307" s="141" t="s">
        <v>326</v>
      </c>
      <c r="C307" s="142"/>
      <c r="D307" s="142"/>
      <c r="E307" s="142"/>
      <c r="F307" s="142"/>
      <c r="G307" s="14" t="s">
        <v>327</v>
      </c>
      <c r="H307" s="141" t="s">
        <v>328</v>
      </c>
      <c r="I307" s="142"/>
      <c r="J307" s="142"/>
      <c r="K307" s="142"/>
      <c r="L307" s="142"/>
      <c r="M307" s="14" t="s">
        <v>329</v>
      </c>
    </row>
    <row r="308" spans="2:13" ht="54" customHeight="1">
      <c r="B308" s="141" t="s">
        <v>330</v>
      </c>
      <c r="C308" s="142"/>
      <c r="D308" s="142"/>
      <c r="E308" s="142"/>
      <c r="F308" s="142"/>
      <c r="G308" s="14" t="s">
        <v>331</v>
      </c>
      <c r="H308" s="141" t="s">
        <v>332</v>
      </c>
      <c r="I308" s="142"/>
      <c r="J308" s="142"/>
      <c r="K308" s="142"/>
      <c r="L308" s="142"/>
      <c r="M308" s="14" t="s">
        <v>333</v>
      </c>
    </row>
    <row r="309" spans="2:13" ht="36.950000000000003" customHeight="1">
      <c r="B309" s="141" t="s">
        <v>334</v>
      </c>
      <c r="C309" s="142"/>
      <c r="D309" s="142"/>
      <c r="E309" s="142"/>
      <c r="F309" s="142"/>
      <c r="G309" s="14" t="s">
        <v>203</v>
      </c>
      <c r="H309" s="141" t="s">
        <v>335</v>
      </c>
      <c r="I309" s="142"/>
      <c r="J309" s="142"/>
      <c r="K309" s="142"/>
      <c r="L309" s="142"/>
      <c r="M309" s="14" t="s">
        <v>336</v>
      </c>
    </row>
    <row r="310" spans="2:13" ht="36.950000000000003" customHeight="1">
      <c r="H310" s="141" t="s">
        <v>337</v>
      </c>
      <c r="I310" s="142"/>
      <c r="J310" s="142"/>
      <c r="K310" s="142"/>
      <c r="L310" s="142"/>
      <c r="M310" s="14" t="s">
        <v>338</v>
      </c>
    </row>
    <row r="311" spans="2:13" ht="54" customHeight="1">
      <c r="B311" s="21"/>
      <c r="C311" s="21"/>
      <c r="D311" s="21"/>
      <c r="E311" s="21"/>
      <c r="F311" s="21"/>
      <c r="G311" s="21"/>
      <c r="H311" s="143" t="s">
        <v>339</v>
      </c>
      <c r="I311" s="144"/>
      <c r="J311" s="144"/>
      <c r="K311" s="144"/>
      <c r="L311" s="144"/>
      <c r="M311" s="16" t="s">
        <v>340</v>
      </c>
    </row>
    <row r="313" spans="2:13" ht="20.100000000000001" customHeight="1">
      <c r="B313" s="10" t="s">
        <v>341</v>
      </c>
      <c r="C313" s="11"/>
      <c r="D313" s="11"/>
      <c r="E313" s="11"/>
      <c r="F313" s="11"/>
      <c r="G313" s="11"/>
      <c r="H313" s="11"/>
      <c r="I313" s="11"/>
      <c r="J313" s="11"/>
      <c r="K313" s="11"/>
      <c r="L313" s="11"/>
      <c r="M313" s="17" t="s">
        <v>60</v>
      </c>
    </row>
    <row r="314" spans="2:13" ht="33">
      <c r="B314" s="12" t="s">
        <v>342</v>
      </c>
      <c r="C314" s="12" t="s">
        <v>343</v>
      </c>
      <c r="D314" s="12" t="s">
        <v>344</v>
      </c>
      <c r="E314" s="12" t="s">
        <v>345</v>
      </c>
      <c r="F314" s="12" t="s">
        <v>346</v>
      </c>
      <c r="G314" s="12" t="s">
        <v>347</v>
      </c>
      <c r="H314" s="12" t="s">
        <v>348</v>
      </c>
      <c r="I314" s="12" t="s">
        <v>349</v>
      </c>
      <c r="J314" s="12" t="s">
        <v>350</v>
      </c>
      <c r="K314" s="12" t="s">
        <v>351</v>
      </c>
      <c r="L314" s="18"/>
    </row>
    <row r="315" spans="2:13" ht="49.5">
      <c r="B315" s="19" t="s">
        <v>352</v>
      </c>
      <c r="C315" s="14" t="s">
        <v>353</v>
      </c>
      <c r="D315" s="9" t="s">
        <v>354</v>
      </c>
      <c r="E315" s="46" t="str">
        <f>データ_市況!B65</f>
        <v>2026-09</v>
      </c>
      <c r="F315" s="47">
        <f>データ_市況!C65</f>
        <v>28.800999999999998</v>
      </c>
      <c r="G315" s="25">
        <f>IF(AND(ISNUMBER(F315),ISNUMBER(データ_市況!C53),データ_市況!C53&lt;&gt;0),F315/データ_市況!C53-1,"n.a.")</f>
        <v>-2.203735144312402E-2</v>
      </c>
      <c r="H315" s="47">
        <f>IF(COUNT(データ_市況!$C$6:$C$65)=0,"n.a.",MIN(データ_市況!$C$6:$C$65))</f>
        <v>28.541</v>
      </c>
      <c r="I315" s="47">
        <f>IF(COUNT(データ_市況!$C$6:$C$65)=0,"n.a.",MAX(データ_市況!$C$6:$C$65))</f>
        <v>31.969000000000001</v>
      </c>
      <c r="J315" s="25">
        <f>IF(AND(ISNUMBER(H315),ISNUMBER(I315),ISNUMBER(F315)),IF(I315-H315=0,"n.a.",(F315-H315)/(I315-H315)),"n.a.")</f>
        <v>7.5845974329054239E-2</v>
      </c>
      <c r="K315" s="26">
        <f>COUNT(データ_市況!$C$6:$C$65)</f>
        <v>60</v>
      </c>
      <c r="M315" s="14" t="s">
        <v>355</v>
      </c>
    </row>
    <row r="316" spans="2:13" ht="66">
      <c r="B316" s="19" t="s">
        <v>356</v>
      </c>
      <c r="C316" s="14" t="s">
        <v>357</v>
      </c>
      <c r="D316" s="9" t="s">
        <v>354</v>
      </c>
      <c r="E316" s="46" t="str">
        <f>データ_市況!E65</f>
        <v>2026-09</v>
      </c>
      <c r="F316" s="47">
        <f>データ_市況!F65</f>
        <v>198.6335</v>
      </c>
      <c r="G316" s="25">
        <f>IF(AND(ISNUMBER(F316),ISNUMBER(データ_市況!F53),データ_市況!F53&lt;&gt;0),F316/データ_市況!F53-1,"n.a.")</f>
        <v>0.19899255735903942</v>
      </c>
      <c r="H316" s="47">
        <f>IF(COUNT(データ_市況!$F$6:$F$65)=0,"n.a.",MIN(データ_市況!$F$6:$F$65))</f>
        <v>119.9345</v>
      </c>
      <c r="I316" s="47">
        <f>IF(COUNT(データ_市況!$F$6:$F$65)=0,"n.a.",MAX(データ_市況!$F$6:$F$65))</f>
        <v>198.6335</v>
      </c>
      <c r="J316" s="25">
        <f>IF(AND(ISNUMBER(H316),ISNUMBER(I316),ISNUMBER(F316)),IF(I316-H316=0,"n.a.",(F316-H316)/(I316-H316)),"n.a.")</f>
        <v>1</v>
      </c>
      <c r="K316" s="26">
        <f>COUNT(データ_市況!$F$6:$F$65)</f>
        <v>60</v>
      </c>
      <c r="M316" s="14" t="s">
        <v>358</v>
      </c>
    </row>
    <row r="317" spans="2:13" ht="49.5">
      <c r="B317" s="19" t="s">
        <v>359</v>
      </c>
      <c r="C317" s="14" t="s">
        <v>360</v>
      </c>
      <c r="D317" s="9" t="s">
        <v>354</v>
      </c>
      <c r="E317" s="46" t="str">
        <f>データ_市況!H65</f>
        <v>2026-09</v>
      </c>
      <c r="F317" s="47">
        <f>データ_市況!I65</f>
        <v>15.981999999999999</v>
      </c>
      <c r="G317" s="25">
        <f>IF(AND(ISNUMBER(F317),ISNUMBER(データ_市況!I53),データ_市況!I53&lt;&gt;0),F317/データ_市況!I53-1,"n.a.")</f>
        <v>-3.5718595390370589E-2</v>
      </c>
      <c r="H317" s="47">
        <f>IF(COUNT(データ_市況!$I$6:$I$65)=0,"n.a.",MIN(データ_市況!$I$6:$I$65))</f>
        <v>12.680999999999999</v>
      </c>
      <c r="I317" s="47">
        <f>IF(COUNT(データ_市況!$I$6:$I$65)=0,"n.a.",MAX(データ_市況!$I$6:$I$65))</f>
        <v>17.731999999999999</v>
      </c>
      <c r="J317" s="25">
        <f>IF(AND(ISNUMBER(H317),ISNUMBER(I317),ISNUMBER(F317)),IF(I317-H317=0,"n.a.",(F317-H317)/(I317-H317)),"n.a.")</f>
        <v>0.65353395367254008</v>
      </c>
      <c r="K317" s="26">
        <f>COUNT(データ_市況!$I$6:$I$65)</f>
        <v>60</v>
      </c>
      <c r="M317" s="14" t="s">
        <v>361</v>
      </c>
    </row>
    <row r="318" spans="2:13" ht="33">
      <c r="B318" s="19" t="s">
        <v>362</v>
      </c>
      <c r="C318" s="14" t="s">
        <v>357</v>
      </c>
      <c r="D318" s="9" t="s">
        <v>354</v>
      </c>
      <c r="E318" s="46" t="str">
        <f>データ_市況!K65</f>
        <v>2026-09</v>
      </c>
      <c r="F318" s="47">
        <f>データ_市況!L65</f>
        <v>99.436099999999996</v>
      </c>
      <c r="G318" s="25">
        <f>IF(AND(ISNUMBER(F318),ISNUMBER(データ_市況!L53),データ_市況!L53&lt;&gt;0),F318/データ_市況!L53-1,"n.a.")</f>
        <v>1.4164591987744668E-2</v>
      </c>
      <c r="H318" s="47">
        <f>IF(COUNT(データ_市況!$L$6:$L$65)=0,"n.a.",MIN(データ_市況!$L$6:$L$65))</f>
        <v>95.444900000000004</v>
      </c>
      <c r="I318" s="47">
        <f>IF(COUNT(データ_市況!$L$6:$L$65)=0,"n.a.",MAX(データ_市況!$L$6:$L$65))</f>
        <v>99.436099999999996</v>
      </c>
      <c r="J318" s="25">
        <f>IF(AND(ISNUMBER(H318),ISNUMBER(I318),ISNUMBER(F318)),IF(I318-H318=0,"n.a.",(F318-H318)/(I318-H318)),"n.a.")</f>
        <v>1</v>
      </c>
      <c r="K318" s="26">
        <f>COUNT(データ_市況!$L$6:$L$65)</f>
        <v>60</v>
      </c>
      <c r="M318" s="14" t="s">
        <v>363</v>
      </c>
    </row>
    <row r="319" spans="2:13" ht="49.5">
      <c r="B319" s="20" t="s">
        <v>364</v>
      </c>
      <c r="C319" s="16" t="s">
        <v>365</v>
      </c>
      <c r="D319" s="30" t="s">
        <v>354</v>
      </c>
      <c r="E319" s="48" t="str">
        <f>データ_市況!N64</f>
        <v>2026-08</v>
      </c>
      <c r="F319" s="49">
        <f>データ_市況!O64</f>
        <v>30868</v>
      </c>
      <c r="G319" s="33">
        <f>IF(AND(ISNUMBER(F319),ISNUMBER(データ_市況!O52),データ_市況!O52&lt;&gt;0),F319/データ_市況!O52-1,"n.a.")</f>
        <v>0.16548989994336427</v>
      </c>
      <c r="H319" s="49">
        <f>IF(COUNT(データ_市況!$O$5:$O$64)=0,"n.a.",MIN(データ_市況!$O$5:$O$64))</f>
        <v>23258</v>
      </c>
      <c r="I319" s="49">
        <f>IF(COUNT(データ_市況!$O$5:$O$64)=0,"n.a.",MAX(データ_市況!$O$5:$O$64))</f>
        <v>31073</v>
      </c>
      <c r="J319" s="33">
        <f>IF(AND(ISNUMBER(H319),ISNUMBER(I319),ISNUMBER(F319)),IF(I319-H319=0,"n.a.",(F319-H319)/(I319-H319)),"n.a.")</f>
        <v>0.97376839411388361</v>
      </c>
      <c r="K319" s="34">
        <f>COUNT(データ_市況!$O$5:$O$64)</f>
        <v>60</v>
      </c>
      <c r="L319" s="21"/>
      <c r="M319" s="14" t="s">
        <v>366</v>
      </c>
    </row>
    <row r="320" spans="2:13" ht="36.950000000000003" customHeight="1">
      <c r="B320" s="141" t="s">
        <v>367</v>
      </c>
      <c r="C320" s="142"/>
      <c r="D320" s="142"/>
      <c r="E320" s="142"/>
      <c r="F320" s="142"/>
      <c r="G320" s="142"/>
      <c r="H320" s="142"/>
      <c r="I320" s="142"/>
      <c r="J320" s="142"/>
      <c r="K320" s="142"/>
      <c r="L320" s="142"/>
    </row>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spans="2:13" ht="54" customHeight="1">
      <c r="B337" s="141" t="s">
        <v>368</v>
      </c>
      <c r="C337" s="142"/>
      <c r="D337" s="142"/>
      <c r="E337" s="142"/>
      <c r="F337" s="142"/>
      <c r="H337" s="141" t="s">
        <v>369</v>
      </c>
      <c r="I337" s="142"/>
      <c r="J337" s="142"/>
      <c r="K337" s="142"/>
      <c r="L337" s="142"/>
    </row>
    <row r="338" spans="2:13" ht="17.100000000000001" customHeight="1">
      <c r="B338" s="141" t="s">
        <v>370</v>
      </c>
      <c r="C338" s="142"/>
      <c r="D338" s="142"/>
      <c r="E338" s="142"/>
      <c r="F338" s="142"/>
      <c r="H338" s="141" t="s">
        <v>371</v>
      </c>
      <c r="I338" s="142"/>
      <c r="J338" s="142"/>
      <c r="K338" s="142"/>
      <c r="L338" s="142"/>
      <c r="M338" s="14" t="s">
        <v>372</v>
      </c>
    </row>
    <row r="340" spans="2:13" ht="15" customHeight="1"/>
    <row r="341" spans="2:13" ht="15" customHeight="1"/>
    <row r="342" spans="2:13" ht="15" customHeight="1"/>
    <row r="343" spans="2:13" ht="15" customHeight="1"/>
    <row r="344" spans="2:13" ht="15" customHeight="1"/>
    <row r="345" spans="2:13" ht="15" customHeight="1"/>
    <row r="346" spans="2:13" ht="15" customHeight="1"/>
    <row r="347" spans="2:13" ht="15" customHeight="1"/>
    <row r="348" spans="2:13" ht="15" customHeight="1"/>
    <row r="349" spans="2:13" ht="15" customHeight="1"/>
    <row r="350" spans="2:13" ht="15" customHeight="1"/>
    <row r="351" spans="2:13" ht="15" customHeight="1"/>
    <row r="352" spans="2:13" ht="15" customHeight="1"/>
    <row r="353" spans="2:13" ht="15" customHeight="1"/>
    <row r="354" spans="2:13" ht="15" customHeight="1"/>
    <row r="355" spans="2:13" ht="54" customHeight="1">
      <c r="B355" s="141" t="s">
        <v>373</v>
      </c>
      <c r="C355" s="142"/>
      <c r="D355" s="142"/>
      <c r="E355" s="142"/>
      <c r="F355" s="142"/>
      <c r="H355" s="141" t="s">
        <v>374</v>
      </c>
      <c r="I355" s="142"/>
      <c r="J355" s="142"/>
      <c r="K355" s="142"/>
      <c r="L355" s="142"/>
    </row>
    <row r="356" spans="2:13" ht="17.100000000000001" customHeight="1">
      <c r="B356" s="141" t="s">
        <v>375</v>
      </c>
      <c r="C356" s="142"/>
      <c r="D356" s="142"/>
      <c r="E356" s="142"/>
      <c r="F356" s="142"/>
      <c r="H356" s="141" t="s">
        <v>371</v>
      </c>
      <c r="I356" s="142"/>
      <c r="J356" s="142"/>
      <c r="K356" s="142"/>
      <c r="L356" s="142"/>
      <c r="M356" s="14" t="s">
        <v>376</v>
      </c>
    </row>
    <row r="358" spans="2:13" ht="15" customHeight="1"/>
    <row r="359" spans="2:13" ht="15" customHeight="1"/>
    <row r="360" spans="2:13" ht="15" customHeight="1"/>
    <row r="361" spans="2:13" ht="15" customHeight="1"/>
    <row r="362" spans="2:13" ht="15" customHeight="1"/>
    <row r="363" spans="2:13" ht="15" customHeight="1"/>
    <row r="364" spans="2:13" ht="15" customHeight="1"/>
    <row r="365" spans="2:13" ht="15" customHeight="1"/>
    <row r="366" spans="2:13" ht="15" customHeight="1"/>
    <row r="367" spans="2:13" ht="15" customHeight="1"/>
    <row r="368" spans="2:13" ht="15" customHeight="1"/>
    <row r="369" spans="2:13" ht="15" customHeight="1"/>
    <row r="370" spans="2:13" ht="15" customHeight="1"/>
    <row r="371" spans="2:13" ht="15" customHeight="1"/>
    <row r="372" spans="2:13" ht="15" customHeight="1"/>
    <row r="373" spans="2:13" ht="54" customHeight="1">
      <c r="B373" s="141" t="s">
        <v>377</v>
      </c>
      <c r="C373" s="142"/>
      <c r="D373" s="142"/>
      <c r="E373" s="142"/>
      <c r="F373" s="142"/>
    </row>
    <row r="374" spans="2:13" ht="17.100000000000001" customHeight="1">
      <c r="B374" s="141" t="s">
        <v>378</v>
      </c>
      <c r="C374" s="142"/>
      <c r="D374" s="142"/>
      <c r="E374" s="142"/>
      <c r="F374" s="142"/>
      <c r="M374" s="14" t="s">
        <v>366</v>
      </c>
    </row>
  </sheetData>
  <mergeCells count="137">
    <mergeCell ref="B338:F338"/>
    <mergeCell ref="C7:J7"/>
    <mergeCell ref="C282:L282"/>
    <mergeCell ref="C273:F273"/>
    <mergeCell ref="B163:L163"/>
    <mergeCell ref="E238:I238"/>
    <mergeCell ref="C18:J18"/>
    <mergeCell ref="C236:D236"/>
    <mergeCell ref="B337:F337"/>
    <mergeCell ref="C238:D238"/>
    <mergeCell ref="C12:J12"/>
    <mergeCell ref="K12:L12"/>
    <mergeCell ref="B162:L162"/>
    <mergeCell ref="C281:L281"/>
    <mergeCell ref="B137:L137"/>
    <mergeCell ref="C280:L280"/>
    <mergeCell ref="K14:L14"/>
    <mergeCell ref="K8:L8"/>
    <mergeCell ref="B108:C108"/>
    <mergeCell ref="B373:F373"/>
    <mergeCell ref="C241:D241"/>
    <mergeCell ref="C8:J8"/>
    <mergeCell ref="B300:F300"/>
    <mergeCell ref="C17:J17"/>
    <mergeCell ref="K7:L7"/>
    <mergeCell ref="B92:L92"/>
    <mergeCell ref="H338:L338"/>
    <mergeCell ref="H308:L308"/>
    <mergeCell ref="B133:L133"/>
    <mergeCell ref="H143:J143"/>
    <mergeCell ref="E242:I242"/>
    <mergeCell ref="B94:L94"/>
    <mergeCell ref="K18:L18"/>
    <mergeCell ref="B296:L296"/>
    <mergeCell ref="K242:L242"/>
    <mergeCell ref="B309:F309"/>
    <mergeCell ref="C272:F272"/>
    <mergeCell ref="B135:L135"/>
    <mergeCell ref="H142:J142"/>
    <mergeCell ref="B233:L233"/>
    <mergeCell ref="B295:L295"/>
    <mergeCell ref="H355:L355"/>
    <mergeCell ref="K17:L17"/>
    <mergeCell ref="C286:L286"/>
    <mergeCell ref="K10:L10"/>
    <mergeCell ref="B95:L95"/>
    <mergeCell ref="B374:F374"/>
    <mergeCell ref="B169:L169"/>
    <mergeCell ref="K6:L6"/>
    <mergeCell ref="H337:L337"/>
    <mergeCell ref="C278:L278"/>
    <mergeCell ref="K16:L16"/>
    <mergeCell ref="C287:L287"/>
    <mergeCell ref="B97:L97"/>
    <mergeCell ref="H309:L309"/>
    <mergeCell ref="C6:J6"/>
    <mergeCell ref="B134:L134"/>
    <mergeCell ref="K9:L9"/>
    <mergeCell ref="C14:J14"/>
    <mergeCell ref="B292:L292"/>
    <mergeCell ref="K238:L238"/>
    <mergeCell ref="H311:L311"/>
    <mergeCell ref="K11:L11"/>
    <mergeCell ref="E240:I240"/>
    <mergeCell ref="B294:L294"/>
    <mergeCell ref="C10:J10"/>
    <mergeCell ref="C16:J16"/>
    <mergeCell ref="C285:L285"/>
    <mergeCell ref="C242:D242"/>
    <mergeCell ref="C142:G142"/>
    <mergeCell ref="B132:L132"/>
    <mergeCell ref="C9:J9"/>
    <mergeCell ref="B166:L166"/>
    <mergeCell ref="E241:I241"/>
    <mergeCell ref="H141:J141"/>
    <mergeCell ref="B37:L37"/>
    <mergeCell ref="C274:F274"/>
    <mergeCell ref="B168:L168"/>
    <mergeCell ref="K240:L240"/>
    <mergeCell ref="K237:L237"/>
    <mergeCell ref="B170:L170"/>
    <mergeCell ref="K239:L239"/>
    <mergeCell ref="B171:L171"/>
    <mergeCell ref="B96:L96"/>
    <mergeCell ref="B167:L167"/>
    <mergeCell ref="B48:L48"/>
    <mergeCell ref="E236:I236"/>
    <mergeCell ref="C279:L279"/>
    <mergeCell ref="C275:F275"/>
    <mergeCell ref="C11:J11"/>
    <mergeCell ref="B243:L243"/>
    <mergeCell ref="H304:L304"/>
    <mergeCell ref="E237:I237"/>
    <mergeCell ref="H356:L356"/>
    <mergeCell ref="C240:D240"/>
    <mergeCell ref="H301:L301"/>
    <mergeCell ref="C237:D237"/>
    <mergeCell ref="B164:L164"/>
    <mergeCell ref="B356:F356"/>
    <mergeCell ref="E239:I239"/>
    <mergeCell ref="C13:J13"/>
    <mergeCell ref="K13:L13"/>
    <mergeCell ref="H303:L303"/>
    <mergeCell ref="B268:L268"/>
    <mergeCell ref="K236:L236"/>
    <mergeCell ref="C239:D239"/>
    <mergeCell ref="B355:F355"/>
    <mergeCell ref="C15:J15"/>
    <mergeCell ref="B209:L209"/>
    <mergeCell ref="K15:L15"/>
    <mergeCell ref="C141:G141"/>
    <mergeCell ref="B131:L131"/>
    <mergeCell ref="C283:L283"/>
    <mergeCell ref="B302:F302"/>
    <mergeCell ref="B109:L109"/>
    <mergeCell ref="B165:L165"/>
    <mergeCell ref="B47:L47"/>
    <mergeCell ref="B301:F301"/>
    <mergeCell ref="B193:L193"/>
    <mergeCell ref="H307:L307"/>
    <mergeCell ref="B93:L93"/>
    <mergeCell ref="B320:L320"/>
    <mergeCell ref="B307:F307"/>
    <mergeCell ref="K241:L241"/>
    <mergeCell ref="B136:L136"/>
    <mergeCell ref="H310:L310"/>
    <mergeCell ref="C284:L284"/>
    <mergeCell ref="B290:L290"/>
    <mergeCell ref="H300:L300"/>
    <mergeCell ref="B130:L130"/>
    <mergeCell ref="C143:G143"/>
    <mergeCell ref="B289:L289"/>
    <mergeCell ref="B308:F308"/>
    <mergeCell ref="B288:L288"/>
    <mergeCell ref="H302:L302"/>
    <mergeCell ref="B291:L291"/>
    <mergeCell ref="B293:L293"/>
  </mergeCells>
  <phoneticPr fontId="12"/>
  <printOptions horizontalCentered="1"/>
  <pageMargins left="0.4" right="0.4" top="0.6" bottom="0.6" header="0.25" footer="0.25"/>
  <pageSetup paperSize="9" fitToHeight="0" orientation="portrait"/>
  <headerFooter>
    <oddHeader>&amp;L&amp;9 TXN Texas Instruments&amp;R&amp;9 &amp;A</oddHeader>
    <oddFooter>&amp;C&amp;9 &amp;P / &amp;N</oddFooter>
    <evenHeader>&amp;L&amp;9 TXN Texas Instruments&amp;R&amp;9 &amp;A</evenHeader>
    <evenFooter>&amp;C&amp;9 &amp;P / &amp;N</even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B1:N216"/>
  <sheetViews>
    <sheetView showGridLines="0" workbookViewId="0">
      <pane ySplit="5" topLeftCell="A6" activePane="bottomLeft" state="frozen"/>
      <selection pane="bottomLeft"/>
    </sheetView>
  </sheetViews>
  <sheetFormatPr defaultRowHeight="14.25"/>
  <cols>
    <col min="1" max="1" width="2" customWidth="1"/>
    <col min="2" max="2" width="46" customWidth="1"/>
    <col min="3" max="3" width="14" customWidth="1"/>
    <col min="4" max="6" width="11" customWidth="1"/>
    <col min="7" max="7" width="14" customWidth="1"/>
    <col min="8" max="13" width="11" customWidth="1"/>
    <col min="14" max="14" width="14" customWidth="1"/>
  </cols>
  <sheetData>
    <row r="1" spans="2:14" ht="21.95" customHeight="1">
      <c r="B1" s="1" t="s">
        <v>379</v>
      </c>
    </row>
    <row r="2" spans="2:14" ht="16.5">
      <c r="B2" s="9" t="s">
        <v>380</v>
      </c>
    </row>
    <row r="4" spans="2:14" ht="16.5">
      <c r="B4" s="3" t="s">
        <v>381</v>
      </c>
      <c r="C4" s="50">
        <v>1</v>
      </c>
      <c r="D4" s="9" t="str">
        <f>CHOOSE(C4,"base","bull","bear")</f>
        <v>base</v>
      </c>
      <c r="E4" s="3" t="s">
        <v>382</v>
      </c>
      <c r="I4" s="51">
        <f>計算_DCF!$C$53</f>
        <v>128.72753564034389</v>
      </c>
    </row>
    <row r="6" spans="2:14" ht="20.100000000000001" customHeight="1">
      <c r="B6" s="10" t="s">
        <v>383</v>
      </c>
      <c r="C6" s="11"/>
      <c r="D6" s="11"/>
      <c r="E6" s="11"/>
      <c r="F6" s="11"/>
      <c r="G6" s="11"/>
      <c r="H6" s="11"/>
      <c r="I6" s="11"/>
      <c r="J6" s="11"/>
      <c r="K6" s="11"/>
      <c r="L6" s="11"/>
      <c r="M6" s="11"/>
      <c r="N6" s="17" t="s">
        <v>60</v>
      </c>
    </row>
    <row r="7" spans="2:14" ht="16.5">
      <c r="B7" s="12" t="s">
        <v>61</v>
      </c>
      <c r="C7" s="12" t="s">
        <v>128</v>
      </c>
    </row>
    <row r="8" spans="2:14" ht="16.5">
      <c r="B8" s="3" t="s">
        <v>8</v>
      </c>
      <c r="C8" s="9" t="s">
        <v>384</v>
      </c>
    </row>
    <row r="9" spans="2:14" ht="16.5">
      <c r="B9" s="3" t="s">
        <v>385</v>
      </c>
      <c r="C9" s="26">
        <v>3</v>
      </c>
    </row>
    <row r="10" spans="2:14" ht="16.5">
      <c r="B10" s="3" t="s">
        <v>386</v>
      </c>
      <c r="C10" s="9" t="s">
        <v>387</v>
      </c>
    </row>
    <row r="11" spans="2:14" ht="16.5">
      <c r="B11" s="3" t="s">
        <v>388</v>
      </c>
      <c r="C11" s="51">
        <f>データ_株価!$C$6</f>
        <v>279.5</v>
      </c>
    </row>
    <row r="12" spans="2:14" ht="16.5">
      <c r="B12" s="3" t="s">
        <v>389</v>
      </c>
      <c r="C12" s="51">
        <f>'2_投資判断'!$C$150</f>
        <v>128.72753564034394</v>
      </c>
    </row>
    <row r="13" spans="2:14" ht="16.5">
      <c r="B13" s="3" t="s">
        <v>11</v>
      </c>
      <c r="C13" s="52">
        <f>'2_投資判断'!$C$150/'2_投資判断'!$C$11-1</f>
        <v>-0.5394363662241719</v>
      </c>
    </row>
    <row r="14" spans="2:14" ht="16.5">
      <c r="B14" s="3" t="s">
        <v>390</v>
      </c>
      <c r="C14" s="51">
        <f>計算_シナリオ!$D$8</f>
        <v>128.88469505118741</v>
      </c>
    </row>
    <row r="15" spans="2:14" ht="16.5">
      <c r="B15" s="39" t="s">
        <v>391</v>
      </c>
      <c r="C15" s="43">
        <f>計算_シナリオ!$D$8/'2_投資判断'!$C$11-1</f>
        <v>-0.5388740785288465</v>
      </c>
    </row>
    <row r="16" spans="2:14" ht="17.100000000000001" customHeight="1">
      <c r="B16" s="141" t="s">
        <v>392</v>
      </c>
      <c r="C16" s="142"/>
      <c r="D16" s="142"/>
      <c r="E16" s="142"/>
      <c r="F16" s="142"/>
      <c r="G16" s="142"/>
      <c r="H16" s="142"/>
      <c r="I16" s="142"/>
      <c r="J16" s="142"/>
      <c r="K16" s="142"/>
      <c r="L16" s="142"/>
      <c r="M16" s="142"/>
    </row>
    <row r="17" spans="2:14" ht="17.100000000000001" customHeight="1">
      <c r="B17" s="141" t="s">
        <v>393</v>
      </c>
      <c r="C17" s="142"/>
      <c r="D17" s="142"/>
      <c r="E17" s="142"/>
      <c r="F17" s="142"/>
      <c r="G17" s="142"/>
      <c r="H17" s="142"/>
      <c r="I17" s="142"/>
      <c r="J17" s="142"/>
      <c r="K17" s="142"/>
      <c r="L17" s="142"/>
      <c r="M17" s="142"/>
    </row>
    <row r="18" spans="2:14" ht="16.5">
      <c r="B18" s="22" t="s">
        <v>394</v>
      </c>
    </row>
    <row r="19" spans="2:14" ht="87.95" customHeight="1">
      <c r="B19" s="141" t="s">
        <v>395</v>
      </c>
      <c r="C19" s="142"/>
      <c r="D19" s="142"/>
      <c r="E19" s="142"/>
      <c r="F19" s="142"/>
      <c r="G19" s="142"/>
      <c r="H19" s="142"/>
      <c r="I19" s="142"/>
      <c r="J19" s="142"/>
      <c r="K19" s="142"/>
      <c r="L19" s="142"/>
      <c r="M19" s="142"/>
      <c r="N19" s="14"/>
    </row>
    <row r="20" spans="2:14" ht="16.5">
      <c r="B20" s="22" t="s">
        <v>396</v>
      </c>
    </row>
    <row r="21" spans="2:14" ht="17.100000000000001" customHeight="1">
      <c r="B21" s="141" t="s">
        <v>397</v>
      </c>
      <c r="C21" s="142"/>
      <c r="D21" s="142"/>
      <c r="E21" s="142"/>
      <c r="F21" s="142"/>
      <c r="G21" s="142"/>
      <c r="H21" s="142"/>
      <c r="I21" s="142"/>
      <c r="J21" s="142"/>
      <c r="K21" s="142"/>
      <c r="L21" s="142"/>
      <c r="M21" s="142"/>
      <c r="N21" s="14" t="s">
        <v>398</v>
      </c>
    </row>
    <row r="22" spans="2:14" ht="17.100000000000001" customHeight="1">
      <c r="B22" s="141" t="s">
        <v>399</v>
      </c>
      <c r="C22" s="142"/>
      <c r="D22" s="142"/>
      <c r="E22" s="142"/>
      <c r="F22" s="142"/>
      <c r="G22" s="142"/>
      <c r="H22" s="142"/>
      <c r="I22" s="142"/>
      <c r="J22" s="142"/>
      <c r="K22" s="142"/>
      <c r="L22" s="142"/>
      <c r="M22" s="142"/>
      <c r="N22" s="14" t="s">
        <v>323</v>
      </c>
    </row>
    <row r="23" spans="2:14" ht="36.950000000000003" customHeight="1">
      <c r="B23" s="141" t="s">
        <v>400</v>
      </c>
      <c r="C23" s="142"/>
      <c r="D23" s="142"/>
      <c r="E23" s="142"/>
      <c r="F23" s="142"/>
      <c r="G23" s="142"/>
      <c r="H23" s="142"/>
      <c r="I23" s="142"/>
      <c r="J23" s="142"/>
      <c r="K23" s="142"/>
      <c r="L23" s="142"/>
      <c r="M23" s="142"/>
      <c r="N23" s="14" t="s">
        <v>401</v>
      </c>
    </row>
    <row r="24" spans="2:14" ht="17.100000000000001" customHeight="1">
      <c r="B24" s="141" t="s">
        <v>402</v>
      </c>
      <c r="C24" s="142"/>
      <c r="D24" s="142"/>
      <c r="E24" s="142"/>
      <c r="F24" s="142"/>
      <c r="G24" s="142"/>
      <c r="H24" s="142"/>
      <c r="I24" s="142"/>
      <c r="J24" s="142"/>
      <c r="K24" s="142"/>
      <c r="L24" s="142"/>
      <c r="M24" s="142"/>
      <c r="N24" s="14" t="s">
        <v>90</v>
      </c>
    </row>
    <row r="25" spans="2:14" ht="36.950000000000003" customHeight="1">
      <c r="B25" s="141" t="s">
        <v>403</v>
      </c>
      <c r="C25" s="142"/>
      <c r="D25" s="142"/>
      <c r="E25" s="142"/>
      <c r="F25" s="142"/>
      <c r="G25" s="142"/>
      <c r="H25" s="142"/>
      <c r="I25" s="142"/>
      <c r="J25" s="142"/>
      <c r="K25" s="142"/>
      <c r="L25" s="142"/>
      <c r="M25" s="142"/>
      <c r="N25" s="14" t="s">
        <v>404</v>
      </c>
    </row>
    <row r="26" spans="2:14" ht="36.950000000000003" customHeight="1">
      <c r="B26" s="141" t="s">
        <v>405</v>
      </c>
      <c r="C26" s="142"/>
      <c r="D26" s="142"/>
      <c r="E26" s="142"/>
      <c r="F26" s="142"/>
      <c r="G26" s="142"/>
      <c r="H26" s="142"/>
      <c r="I26" s="142"/>
      <c r="J26" s="142"/>
      <c r="K26" s="142"/>
      <c r="L26" s="142"/>
      <c r="M26" s="142"/>
      <c r="N26" s="14" t="s">
        <v>406</v>
      </c>
    </row>
    <row r="27" spans="2:14" ht="17.100000000000001" customHeight="1">
      <c r="B27" s="141" t="s">
        <v>407</v>
      </c>
      <c r="C27" s="142"/>
      <c r="D27" s="142"/>
      <c r="E27" s="142"/>
      <c r="F27" s="142"/>
      <c r="G27" s="142"/>
      <c r="H27" s="142"/>
      <c r="I27" s="142"/>
      <c r="J27" s="142"/>
      <c r="K27" s="142"/>
      <c r="L27" s="142"/>
      <c r="M27" s="142"/>
      <c r="N27" s="14" t="s">
        <v>323</v>
      </c>
    </row>
    <row r="28" spans="2:14" ht="17.100000000000001" customHeight="1">
      <c r="B28" s="141" t="s">
        <v>408</v>
      </c>
      <c r="C28" s="142"/>
      <c r="D28" s="142"/>
      <c r="E28" s="142"/>
      <c r="F28" s="142"/>
      <c r="G28" s="142"/>
      <c r="H28" s="142"/>
      <c r="I28" s="142"/>
      <c r="J28" s="142"/>
      <c r="K28" s="142"/>
      <c r="L28" s="142"/>
      <c r="M28" s="142"/>
      <c r="N28" s="14" t="s">
        <v>409</v>
      </c>
    </row>
    <row r="29" spans="2:14" ht="16.5">
      <c r="B29" s="22" t="s">
        <v>410</v>
      </c>
    </row>
    <row r="30" spans="2:14" ht="16.5">
      <c r="B30" s="12" t="s">
        <v>411</v>
      </c>
      <c r="C30" s="12" t="s">
        <v>412</v>
      </c>
      <c r="D30" s="18"/>
      <c r="E30" s="18"/>
      <c r="F30" s="18"/>
      <c r="G30" s="18"/>
      <c r="H30" s="18"/>
      <c r="I30" s="18"/>
      <c r="J30" s="18"/>
      <c r="K30" s="18"/>
      <c r="L30" s="18"/>
      <c r="M30" s="18"/>
    </row>
    <row r="31" spans="2:14" ht="17.100000000000001" customHeight="1">
      <c r="B31" s="9" t="s">
        <v>413</v>
      </c>
      <c r="C31" s="141" t="s">
        <v>414</v>
      </c>
      <c r="D31" s="142"/>
      <c r="E31" s="142"/>
      <c r="F31" s="142"/>
      <c r="G31" s="142"/>
      <c r="H31" s="142"/>
      <c r="I31" s="142"/>
      <c r="J31" s="142"/>
      <c r="K31" s="142"/>
      <c r="L31" s="142"/>
      <c r="M31" s="142"/>
    </row>
    <row r="32" spans="2:14" ht="17.100000000000001" customHeight="1">
      <c r="B32" s="9" t="s">
        <v>415</v>
      </c>
      <c r="C32" s="141" t="s">
        <v>416</v>
      </c>
      <c r="D32" s="142"/>
      <c r="E32" s="142"/>
      <c r="F32" s="142"/>
      <c r="G32" s="142"/>
      <c r="H32" s="142"/>
      <c r="I32" s="142"/>
      <c r="J32" s="142"/>
      <c r="K32" s="142"/>
      <c r="L32" s="142"/>
      <c r="M32" s="142"/>
    </row>
    <row r="33" spans="2:14" ht="17.100000000000001" customHeight="1">
      <c r="B33" s="9" t="s">
        <v>417</v>
      </c>
      <c r="C33" s="141" t="s">
        <v>418</v>
      </c>
      <c r="D33" s="142"/>
      <c r="E33" s="142"/>
      <c r="F33" s="142"/>
      <c r="G33" s="142"/>
      <c r="H33" s="142"/>
      <c r="I33" s="142"/>
      <c r="J33" s="142"/>
      <c r="K33" s="142"/>
      <c r="L33" s="142"/>
      <c r="M33" s="142"/>
    </row>
    <row r="34" spans="2:14" ht="17.100000000000001" customHeight="1">
      <c r="B34" s="9" t="s">
        <v>419</v>
      </c>
      <c r="C34" s="141" t="s">
        <v>420</v>
      </c>
      <c r="D34" s="142"/>
      <c r="E34" s="142"/>
      <c r="F34" s="142"/>
      <c r="G34" s="142"/>
      <c r="H34" s="142"/>
      <c r="I34" s="142"/>
      <c r="J34" s="142"/>
      <c r="K34" s="142"/>
      <c r="L34" s="142"/>
      <c r="M34" s="142"/>
    </row>
    <row r="35" spans="2:14" ht="17.100000000000001" customHeight="1">
      <c r="B35" s="9" t="s">
        <v>421</v>
      </c>
      <c r="C35" s="141" t="s">
        <v>422</v>
      </c>
      <c r="D35" s="142"/>
      <c r="E35" s="142"/>
      <c r="F35" s="142"/>
      <c r="G35" s="142"/>
      <c r="H35" s="142"/>
      <c r="I35" s="142"/>
      <c r="J35" s="142"/>
      <c r="K35" s="142"/>
      <c r="L35" s="142"/>
      <c r="M35" s="142"/>
    </row>
    <row r="36" spans="2:14" ht="17.100000000000001" customHeight="1">
      <c r="B36" s="9" t="s">
        <v>423</v>
      </c>
      <c r="C36" s="141" t="s">
        <v>424</v>
      </c>
      <c r="D36" s="142"/>
      <c r="E36" s="142"/>
      <c r="F36" s="142"/>
      <c r="G36" s="142"/>
      <c r="H36" s="142"/>
      <c r="I36" s="142"/>
      <c r="J36" s="142"/>
      <c r="K36" s="142"/>
      <c r="L36" s="142"/>
      <c r="M36" s="142"/>
    </row>
    <row r="37" spans="2:14" ht="17.100000000000001" customHeight="1">
      <c r="B37" s="9" t="s">
        <v>425</v>
      </c>
      <c r="C37" s="141" t="s">
        <v>426</v>
      </c>
      <c r="D37" s="142"/>
      <c r="E37" s="142"/>
      <c r="F37" s="142"/>
      <c r="G37" s="142"/>
      <c r="H37" s="142"/>
      <c r="I37" s="142"/>
      <c r="J37" s="142"/>
      <c r="K37" s="142"/>
      <c r="L37" s="142"/>
      <c r="M37" s="142"/>
    </row>
    <row r="38" spans="2:14" ht="17.100000000000001" customHeight="1">
      <c r="B38" s="30" t="s">
        <v>427</v>
      </c>
      <c r="C38" s="143" t="s">
        <v>428</v>
      </c>
      <c r="D38" s="144"/>
      <c r="E38" s="144"/>
      <c r="F38" s="144"/>
      <c r="G38" s="144"/>
      <c r="H38" s="144"/>
      <c r="I38" s="144"/>
      <c r="J38" s="144"/>
      <c r="K38" s="144"/>
      <c r="L38" s="144"/>
      <c r="M38" s="144"/>
    </row>
    <row r="40" spans="2:14" ht="20.100000000000001" customHeight="1">
      <c r="B40" s="10" t="s">
        <v>429</v>
      </c>
      <c r="C40" s="11"/>
      <c r="D40" s="11"/>
      <c r="E40" s="11"/>
      <c r="F40" s="11"/>
      <c r="G40" s="11"/>
      <c r="H40" s="11"/>
      <c r="I40" s="11"/>
      <c r="J40" s="11"/>
      <c r="K40" s="11"/>
      <c r="L40" s="11"/>
      <c r="M40" s="11"/>
      <c r="N40" s="17" t="s">
        <v>60</v>
      </c>
    </row>
    <row r="41" spans="2:14" ht="16.5">
      <c r="B41" s="12" t="s">
        <v>430</v>
      </c>
      <c r="C41" s="12" t="s">
        <v>431</v>
      </c>
      <c r="D41" s="18"/>
      <c r="E41" s="18"/>
      <c r="F41" s="18"/>
      <c r="G41" s="18"/>
      <c r="H41" s="12" t="s">
        <v>432</v>
      </c>
      <c r="I41" s="18"/>
      <c r="J41" s="18"/>
      <c r="K41" s="18"/>
      <c r="L41" s="18"/>
      <c r="M41" s="18"/>
    </row>
    <row r="42" spans="2:14" ht="138.94999999999999" customHeight="1">
      <c r="B42" s="19" t="s">
        <v>433</v>
      </c>
      <c r="C42" s="141" t="s">
        <v>434</v>
      </c>
      <c r="D42" s="142"/>
      <c r="E42" s="142"/>
      <c r="F42" s="142"/>
      <c r="G42" s="142"/>
      <c r="H42" s="141" t="s">
        <v>435</v>
      </c>
      <c r="I42" s="142"/>
      <c r="J42" s="142"/>
      <c r="K42" s="142"/>
      <c r="L42" s="142"/>
      <c r="M42" s="142"/>
      <c r="N42" s="14" t="s">
        <v>436</v>
      </c>
    </row>
    <row r="43" spans="2:14" ht="138.94999999999999" customHeight="1">
      <c r="B43" s="19" t="s">
        <v>437</v>
      </c>
      <c r="C43" s="141" t="s">
        <v>438</v>
      </c>
      <c r="D43" s="142"/>
      <c r="E43" s="142"/>
      <c r="F43" s="142"/>
      <c r="G43" s="142"/>
      <c r="H43" s="141" t="s">
        <v>439</v>
      </c>
      <c r="I43" s="142"/>
      <c r="J43" s="142"/>
      <c r="K43" s="142"/>
      <c r="L43" s="142"/>
      <c r="M43" s="142"/>
      <c r="N43" s="14" t="s">
        <v>440</v>
      </c>
    </row>
    <row r="44" spans="2:14" ht="122.1" customHeight="1">
      <c r="B44" s="19" t="s">
        <v>441</v>
      </c>
      <c r="C44" s="141" t="s">
        <v>442</v>
      </c>
      <c r="D44" s="142"/>
      <c r="E44" s="142"/>
      <c r="F44" s="142"/>
      <c r="G44" s="142"/>
      <c r="H44" s="141" t="s">
        <v>443</v>
      </c>
      <c r="I44" s="142"/>
      <c r="J44" s="142"/>
      <c r="K44" s="142"/>
      <c r="L44" s="142"/>
      <c r="M44" s="142"/>
      <c r="N44" s="14" t="s">
        <v>444</v>
      </c>
    </row>
    <row r="45" spans="2:14" ht="173.1" customHeight="1">
      <c r="B45" s="19" t="s">
        <v>445</v>
      </c>
      <c r="C45" s="141" t="s">
        <v>446</v>
      </c>
      <c r="D45" s="142"/>
      <c r="E45" s="142"/>
      <c r="F45" s="142"/>
      <c r="G45" s="142"/>
      <c r="H45" s="141" t="s">
        <v>447</v>
      </c>
      <c r="I45" s="142"/>
      <c r="J45" s="142"/>
      <c r="K45" s="142"/>
      <c r="L45" s="142"/>
      <c r="M45" s="142"/>
      <c r="N45" s="14" t="s">
        <v>448</v>
      </c>
    </row>
    <row r="46" spans="2:14" ht="224.1" customHeight="1">
      <c r="B46" s="19" t="s">
        <v>449</v>
      </c>
      <c r="C46" s="141" t="s">
        <v>450</v>
      </c>
      <c r="D46" s="142"/>
      <c r="E46" s="142"/>
      <c r="F46" s="142"/>
      <c r="G46" s="142"/>
      <c r="H46" s="141" t="s">
        <v>451</v>
      </c>
      <c r="I46" s="142"/>
      <c r="J46" s="142"/>
      <c r="K46" s="142"/>
      <c r="L46" s="142"/>
      <c r="M46" s="142"/>
      <c r="N46" s="14" t="s">
        <v>452</v>
      </c>
    </row>
    <row r="47" spans="2:14" ht="138.94999999999999" customHeight="1">
      <c r="B47" s="19" t="s">
        <v>453</v>
      </c>
      <c r="C47" s="141" t="s">
        <v>454</v>
      </c>
      <c r="D47" s="142"/>
      <c r="E47" s="142"/>
      <c r="F47" s="142"/>
      <c r="G47" s="142"/>
      <c r="H47" s="141" t="s">
        <v>455</v>
      </c>
      <c r="I47" s="142"/>
      <c r="J47" s="142"/>
      <c r="K47" s="142"/>
      <c r="L47" s="142"/>
      <c r="M47" s="142"/>
      <c r="N47" s="14" t="s">
        <v>456</v>
      </c>
    </row>
    <row r="48" spans="2:14" ht="156" customHeight="1">
      <c r="B48" s="19" t="s">
        <v>457</v>
      </c>
      <c r="C48" s="141" t="s">
        <v>458</v>
      </c>
      <c r="D48" s="142"/>
      <c r="E48" s="142"/>
      <c r="F48" s="142"/>
      <c r="G48" s="142"/>
      <c r="H48" s="141" t="s">
        <v>459</v>
      </c>
      <c r="I48" s="142"/>
      <c r="J48" s="142"/>
      <c r="K48" s="142"/>
      <c r="L48" s="142"/>
      <c r="M48" s="142"/>
      <c r="N48" s="14" t="s">
        <v>460</v>
      </c>
    </row>
    <row r="49" spans="2:14" ht="207" customHeight="1">
      <c r="B49" s="20" t="s">
        <v>461</v>
      </c>
      <c r="C49" s="143" t="s">
        <v>462</v>
      </c>
      <c r="D49" s="144"/>
      <c r="E49" s="144"/>
      <c r="F49" s="144"/>
      <c r="G49" s="144"/>
      <c r="H49" s="143" t="s">
        <v>463</v>
      </c>
      <c r="I49" s="144"/>
      <c r="J49" s="144"/>
      <c r="K49" s="144"/>
      <c r="L49" s="144"/>
      <c r="M49" s="144"/>
      <c r="N49" s="14" t="s">
        <v>464</v>
      </c>
    </row>
    <row r="51" spans="2:14" ht="20.100000000000001" customHeight="1">
      <c r="B51" s="10" t="s">
        <v>465</v>
      </c>
      <c r="C51" s="11"/>
      <c r="D51" s="11"/>
      <c r="E51" s="11"/>
      <c r="F51" s="11"/>
      <c r="G51" s="11"/>
      <c r="H51" s="11"/>
      <c r="I51" s="11"/>
      <c r="J51" s="11"/>
      <c r="K51" s="11"/>
      <c r="L51" s="11"/>
      <c r="M51" s="11"/>
      <c r="N51" s="17" t="s">
        <v>60</v>
      </c>
    </row>
    <row r="52" spans="2:14" ht="16.5">
      <c r="B52" s="22" t="s">
        <v>466</v>
      </c>
    </row>
    <row r="53" spans="2:14" ht="71.099999999999994" customHeight="1">
      <c r="B53" s="141" t="s">
        <v>467</v>
      </c>
      <c r="C53" s="142"/>
      <c r="D53" s="142"/>
      <c r="E53" s="142"/>
      <c r="F53" s="142"/>
      <c r="G53" s="142"/>
      <c r="H53" s="142"/>
      <c r="I53" s="142"/>
      <c r="J53" s="142"/>
      <c r="K53" s="142"/>
      <c r="L53" s="142"/>
      <c r="M53" s="142"/>
      <c r="N53" s="14"/>
    </row>
    <row r="54" spans="2:14" ht="16.5">
      <c r="B54" s="12" t="s">
        <v>468</v>
      </c>
      <c r="C54" s="18"/>
      <c r="D54" s="18"/>
      <c r="E54" s="18"/>
      <c r="F54" s="18"/>
      <c r="G54" s="18"/>
      <c r="H54" s="18"/>
      <c r="I54" s="18"/>
      <c r="J54" s="18"/>
      <c r="K54" s="18"/>
      <c r="L54" s="12" t="s">
        <v>469</v>
      </c>
      <c r="M54" s="18"/>
    </row>
    <row r="55" spans="2:14" ht="17.100000000000001" customHeight="1">
      <c r="B55" s="141" t="s">
        <v>470</v>
      </c>
      <c r="C55" s="142"/>
      <c r="D55" s="142"/>
      <c r="E55" s="142"/>
      <c r="F55" s="142"/>
      <c r="G55" s="142"/>
      <c r="H55" s="142"/>
      <c r="I55" s="142"/>
      <c r="J55" s="142"/>
      <c r="K55" s="142"/>
      <c r="L55" s="146" t="s">
        <v>471</v>
      </c>
      <c r="M55" s="142"/>
      <c r="N55" s="14" t="s">
        <v>472</v>
      </c>
    </row>
    <row r="56" spans="2:14" ht="17.100000000000001" customHeight="1">
      <c r="B56" s="141" t="s">
        <v>473</v>
      </c>
      <c r="C56" s="142"/>
      <c r="D56" s="142"/>
      <c r="E56" s="142"/>
      <c r="F56" s="142"/>
      <c r="G56" s="142"/>
      <c r="H56" s="142"/>
      <c r="I56" s="142"/>
      <c r="J56" s="142"/>
      <c r="K56" s="142"/>
      <c r="L56" s="146" t="s">
        <v>474</v>
      </c>
      <c r="M56" s="142"/>
      <c r="N56" s="14" t="s">
        <v>475</v>
      </c>
    </row>
    <row r="57" spans="2:14" ht="17.100000000000001" customHeight="1">
      <c r="B57" s="141" t="s">
        <v>476</v>
      </c>
      <c r="C57" s="142"/>
      <c r="D57" s="142"/>
      <c r="E57" s="142"/>
      <c r="F57" s="142"/>
      <c r="G57" s="142"/>
      <c r="H57" s="142"/>
      <c r="I57" s="142"/>
      <c r="J57" s="142"/>
      <c r="K57" s="142"/>
      <c r="L57" s="146" t="s">
        <v>477</v>
      </c>
      <c r="M57" s="142"/>
      <c r="N57" s="14" t="s">
        <v>478</v>
      </c>
    </row>
    <row r="58" spans="2:14" ht="17.100000000000001" customHeight="1">
      <c r="B58" s="141" t="s">
        <v>479</v>
      </c>
      <c r="C58" s="142"/>
      <c r="D58" s="142"/>
      <c r="E58" s="142"/>
      <c r="F58" s="142"/>
      <c r="G58" s="142"/>
      <c r="H58" s="142"/>
      <c r="I58" s="142"/>
      <c r="J58" s="142"/>
      <c r="K58" s="142"/>
      <c r="L58" s="146" t="s">
        <v>480</v>
      </c>
      <c r="M58" s="142"/>
      <c r="N58" s="14" t="s">
        <v>481</v>
      </c>
    </row>
    <row r="59" spans="2:14" ht="17.100000000000001" customHeight="1">
      <c r="B59" s="143" t="s">
        <v>482</v>
      </c>
      <c r="C59" s="144"/>
      <c r="D59" s="144"/>
      <c r="E59" s="144"/>
      <c r="F59" s="144"/>
      <c r="G59" s="144"/>
      <c r="H59" s="144"/>
      <c r="I59" s="144"/>
      <c r="J59" s="144"/>
      <c r="K59" s="144"/>
      <c r="L59" s="147" t="s">
        <v>483</v>
      </c>
      <c r="M59" s="144"/>
      <c r="N59" s="14" t="s">
        <v>484</v>
      </c>
    </row>
    <row r="60" spans="2:14" ht="17.100000000000001" customHeight="1">
      <c r="B60" s="3" t="s">
        <v>485</v>
      </c>
      <c r="C60" s="141" t="s">
        <v>486</v>
      </c>
      <c r="D60" s="142"/>
      <c r="E60" s="142"/>
      <c r="F60" s="142"/>
      <c r="G60" s="142"/>
      <c r="H60" s="142"/>
      <c r="I60" s="142"/>
      <c r="J60" s="142"/>
      <c r="K60" s="142"/>
      <c r="L60" s="142"/>
      <c r="M60" s="142"/>
    </row>
    <row r="61" spans="2:14" ht="17.100000000000001" customHeight="1">
      <c r="B61" s="3" t="s">
        <v>487</v>
      </c>
      <c r="C61" s="141" t="s">
        <v>488</v>
      </c>
      <c r="D61" s="142"/>
      <c r="E61" s="142"/>
      <c r="F61" s="142"/>
      <c r="G61" s="142"/>
      <c r="H61" s="142"/>
      <c r="I61" s="142"/>
      <c r="J61" s="142"/>
      <c r="K61" s="142"/>
      <c r="L61" s="142"/>
      <c r="M61" s="142"/>
    </row>
    <row r="63" spans="2:14" ht="16.5">
      <c r="B63" s="22" t="s">
        <v>489</v>
      </c>
    </row>
    <row r="64" spans="2:14" ht="87.95" customHeight="1">
      <c r="B64" s="141" t="s">
        <v>490</v>
      </c>
      <c r="C64" s="142"/>
      <c r="D64" s="142"/>
      <c r="E64" s="142"/>
      <c r="F64" s="142"/>
      <c r="G64" s="142"/>
      <c r="H64" s="142"/>
      <c r="I64" s="142"/>
      <c r="J64" s="142"/>
      <c r="K64" s="142"/>
      <c r="L64" s="142"/>
      <c r="M64" s="142"/>
      <c r="N64" s="14"/>
    </row>
    <row r="65" spans="2:14" ht="16.5">
      <c r="B65" s="12" t="s">
        <v>468</v>
      </c>
      <c r="C65" s="18"/>
      <c r="D65" s="18"/>
      <c r="E65" s="18"/>
      <c r="F65" s="18"/>
      <c r="G65" s="18"/>
      <c r="H65" s="18"/>
      <c r="I65" s="18"/>
      <c r="J65" s="18"/>
      <c r="K65" s="18"/>
      <c r="L65" s="12" t="s">
        <v>469</v>
      </c>
      <c r="M65" s="18"/>
    </row>
    <row r="66" spans="2:14" ht="36.950000000000003" customHeight="1">
      <c r="B66" s="141" t="s">
        <v>491</v>
      </c>
      <c r="C66" s="142"/>
      <c r="D66" s="142"/>
      <c r="E66" s="142"/>
      <c r="F66" s="142"/>
      <c r="G66" s="142"/>
      <c r="H66" s="142"/>
      <c r="I66" s="142"/>
      <c r="J66" s="142"/>
      <c r="K66" s="142"/>
      <c r="L66" s="146" t="s">
        <v>492</v>
      </c>
      <c r="M66" s="142"/>
      <c r="N66" s="14" t="s">
        <v>493</v>
      </c>
    </row>
    <row r="67" spans="2:14" ht="17.100000000000001" customHeight="1">
      <c r="B67" s="141" t="s">
        <v>494</v>
      </c>
      <c r="C67" s="142"/>
      <c r="D67" s="142"/>
      <c r="E67" s="142"/>
      <c r="F67" s="142"/>
      <c r="G67" s="142"/>
      <c r="H67" s="142"/>
      <c r="I67" s="142"/>
      <c r="J67" s="142"/>
      <c r="K67" s="142"/>
      <c r="L67" s="146" t="s">
        <v>495</v>
      </c>
      <c r="M67" s="142"/>
      <c r="N67" s="14" t="s">
        <v>496</v>
      </c>
    </row>
    <row r="68" spans="2:14" ht="17.100000000000001" customHeight="1">
      <c r="B68" s="141" t="s">
        <v>497</v>
      </c>
      <c r="C68" s="142"/>
      <c r="D68" s="142"/>
      <c r="E68" s="142"/>
      <c r="F68" s="142"/>
      <c r="G68" s="142"/>
      <c r="H68" s="142"/>
      <c r="I68" s="142"/>
      <c r="J68" s="142"/>
      <c r="K68" s="142"/>
      <c r="L68" s="146" t="s">
        <v>498</v>
      </c>
      <c r="M68" s="142"/>
      <c r="N68" s="14" t="s">
        <v>499</v>
      </c>
    </row>
    <row r="69" spans="2:14" ht="17.100000000000001" customHeight="1">
      <c r="B69" s="143" t="s">
        <v>500</v>
      </c>
      <c r="C69" s="144"/>
      <c r="D69" s="144"/>
      <c r="E69" s="144"/>
      <c r="F69" s="144"/>
      <c r="G69" s="144"/>
      <c r="H69" s="144"/>
      <c r="I69" s="144"/>
      <c r="J69" s="144"/>
      <c r="K69" s="144"/>
      <c r="L69" s="147" t="s">
        <v>501</v>
      </c>
      <c r="M69" s="144"/>
      <c r="N69" s="14" t="s">
        <v>502</v>
      </c>
    </row>
    <row r="70" spans="2:14" ht="17.100000000000001" customHeight="1">
      <c r="B70" s="3" t="s">
        <v>485</v>
      </c>
      <c r="C70" s="141" t="s">
        <v>503</v>
      </c>
      <c r="D70" s="142"/>
      <c r="E70" s="142"/>
      <c r="F70" s="142"/>
      <c r="G70" s="142"/>
      <c r="H70" s="142"/>
      <c r="I70" s="142"/>
      <c r="J70" s="142"/>
      <c r="K70" s="142"/>
      <c r="L70" s="142"/>
      <c r="M70" s="142"/>
    </row>
    <row r="72" spans="2:14" ht="16.5">
      <c r="B72" s="22" t="s">
        <v>504</v>
      </c>
    </row>
    <row r="73" spans="2:14" ht="36.950000000000003" customHeight="1">
      <c r="B73" s="141" t="s">
        <v>505</v>
      </c>
      <c r="C73" s="142"/>
      <c r="D73" s="142"/>
      <c r="E73" s="142"/>
      <c r="F73" s="142"/>
      <c r="G73" s="142"/>
      <c r="H73" s="142"/>
      <c r="I73" s="142"/>
      <c r="J73" s="142"/>
      <c r="K73" s="142"/>
      <c r="L73" s="142"/>
      <c r="M73" s="142"/>
      <c r="N73" s="14"/>
    </row>
    <row r="74" spans="2:14" ht="16.5">
      <c r="B74" s="12" t="s">
        <v>468</v>
      </c>
      <c r="C74" s="18"/>
      <c r="D74" s="18"/>
      <c r="E74" s="18"/>
      <c r="F74" s="18"/>
      <c r="G74" s="18"/>
      <c r="H74" s="18"/>
      <c r="I74" s="18"/>
      <c r="J74" s="18"/>
      <c r="K74" s="18"/>
      <c r="L74" s="12" t="s">
        <v>469</v>
      </c>
      <c r="M74" s="18"/>
    </row>
    <row r="75" spans="2:14" ht="17.100000000000001" customHeight="1">
      <c r="B75" s="141" t="s">
        <v>506</v>
      </c>
      <c r="C75" s="142"/>
      <c r="D75" s="142"/>
      <c r="E75" s="142"/>
      <c r="F75" s="142"/>
      <c r="G75" s="142"/>
      <c r="H75" s="142"/>
      <c r="I75" s="142"/>
      <c r="J75" s="142"/>
      <c r="K75" s="142"/>
      <c r="L75" s="146" t="s">
        <v>507</v>
      </c>
      <c r="M75" s="142"/>
      <c r="N75" s="14" t="s">
        <v>323</v>
      </c>
    </row>
    <row r="76" spans="2:14" ht="17.100000000000001" customHeight="1">
      <c r="B76" s="141" t="s">
        <v>508</v>
      </c>
      <c r="C76" s="142"/>
      <c r="D76" s="142"/>
      <c r="E76" s="142"/>
      <c r="F76" s="142"/>
      <c r="G76" s="142"/>
      <c r="H76" s="142"/>
      <c r="I76" s="142"/>
      <c r="J76" s="142"/>
      <c r="K76" s="142"/>
      <c r="L76" s="146" t="s">
        <v>509</v>
      </c>
      <c r="M76" s="142"/>
      <c r="N76" s="14" t="s">
        <v>510</v>
      </c>
    </row>
    <row r="77" spans="2:14" ht="17.100000000000001" customHeight="1">
      <c r="B77" s="143" t="s">
        <v>511</v>
      </c>
      <c r="C77" s="144"/>
      <c r="D77" s="144"/>
      <c r="E77" s="144"/>
      <c r="F77" s="144"/>
      <c r="G77" s="144"/>
      <c r="H77" s="144"/>
      <c r="I77" s="144"/>
      <c r="J77" s="144"/>
      <c r="K77" s="144"/>
      <c r="L77" s="147" t="s">
        <v>512</v>
      </c>
      <c r="M77" s="144"/>
      <c r="N77" s="14" t="s">
        <v>321</v>
      </c>
    </row>
    <row r="78" spans="2:14" ht="17.100000000000001" customHeight="1">
      <c r="B78" s="3" t="s">
        <v>485</v>
      </c>
      <c r="C78" s="141" t="s">
        <v>513</v>
      </c>
      <c r="D78" s="142"/>
      <c r="E78" s="142"/>
      <c r="F78" s="142"/>
      <c r="G78" s="142"/>
      <c r="H78" s="142"/>
      <c r="I78" s="142"/>
      <c r="J78" s="142"/>
      <c r="K78" s="142"/>
      <c r="L78" s="142"/>
      <c r="M78" s="142"/>
    </row>
    <row r="79" spans="2:14" ht="17.100000000000001" customHeight="1">
      <c r="B79" s="3" t="s">
        <v>487</v>
      </c>
      <c r="C79" s="141" t="s">
        <v>514</v>
      </c>
      <c r="D79" s="142"/>
      <c r="E79" s="142"/>
      <c r="F79" s="142"/>
      <c r="G79" s="142"/>
      <c r="H79" s="142"/>
      <c r="I79" s="142"/>
      <c r="J79" s="142"/>
      <c r="K79" s="142"/>
      <c r="L79" s="142"/>
      <c r="M79" s="142"/>
    </row>
    <row r="81" spans="2:14" ht="16.5">
      <c r="B81" s="22" t="s">
        <v>515</v>
      </c>
    </row>
    <row r="82" spans="2:14" ht="36.950000000000003" customHeight="1">
      <c r="B82" s="141" t="s">
        <v>516</v>
      </c>
      <c r="C82" s="142"/>
      <c r="D82" s="142"/>
      <c r="E82" s="142"/>
      <c r="F82" s="142"/>
      <c r="G82" s="142"/>
      <c r="H82" s="142"/>
      <c r="I82" s="142"/>
      <c r="J82" s="142"/>
      <c r="K82" s="142"/>
      <c r="L82" s="142"/>
      <c r="M82" s="142"/>
      <c r="N82" s="14"/>
    </row>
    <row r="83" spans="2:14" ht="16.5">
      <c r="B83" s="12" t="s">
        <v>468</v>
      </c>
      <c r="C83" s="18"/>
      <c r="D83" s="18"/>
      <c r="E83" s="18"/>
      <c r="F83" s="18"/>
      <c r="G83" s="18"/>
      <c r="H83" s="18"/>
      <c r="I83" s="18"/>
      <c r="J83" s="18"/>
      <c r="K83" s="18"/>
      <c r="L83" s="12" t="s">
        <v>469</v>
      </c>
      <c r="M83" s="18"/>
    </row>
    <row r="84" spans="2:14" ht="17.100000000000001" customHeight="1">
      <c r="B84" s="141" t="s">
        <v>517</v>
      </c>
      <c r="C84" s="142"/>
      <c r="D84" s="142"/>
      <c r="E84" s="142"/>
      <c r="F84" s="142"/>
      <c r="G84" s="142"/>
      <c r="H84" s="142"/>
      <c r="I84" s="142"/>
      <c r="J84" s="142"/>
      <c r="K84" s="142"/>
      <c r="L84" s="146" t="s">
        <v>518</v>
      </c>
      <c r="M84" s="142"/>
      <c r="N84" s="14" t="s">
        <v>90</v>
      </c>
    </row>
    <row r="85" spans="2:14" ht="36.950000000000003" customHeight="1">
      <c r="B85" s="141" t="s">
        <v>519</v>
      </c>
      <c r="C85" s="142"/>
      <c r="D85" s="142"/>
      <c r="E85" s="142"/>
      <c r="F85" s="142"/>
      <c r="G85" s="142"/>
      <c r="H85" s="142"/>
      <c r="I85" s="142"/>
      <c r="J85" s="142"/>
      <c r="K85" s="142"/>
      <c r="L85" s="146" t="s">
        <v>520</v>
      </c>
      <c r="M85" s="142"/>
      <c r="N85" s="14" t="s">
        <v>521</v>
      </c>
    </row>
    <row r="86" spans="2:14" ht="17.100000000000001" customHeight="1">
      <c r="B86" s="143" t="s">
        <v>522</v>
      </c>
      <c r="C86" s="144"/>
      <c r="D86" s="144"/>
      <c r="E86" s="144"/>
      <c r="F86" s="144"/>
      <c r="G86" s="144"/>
      <c r="H86" s="144"/>
      <c r="I86" s="144"/>
      <c r="J86" s="144"/>
      <c r="K86" s="144"/>
      <c r="L86" s="147" t="s">
        <v>523</v>
      </c>
      <c r="M86" s="144"/>
      <c r="N86" s="14" t="s">
        <v>524</v>
      </c>
    </row>
    <row r="87" spans="2:14" ht="17.100000000000001" customHeight="1">
      <c r="B87" s="3" t="s">
        <v>485</v>
      </c>
      <c r="C87" s="141" t="s">
        <v>525</v>
      </c>
      <c r="D87" s="142"/>
      <c r="E87" s="142"/>
      <c r="F87" s="142"/>
      <c r="G87" s="142"/>
      <c r="H87" s="142"/>
      <c r="I87" s="142"/>
      <c r="J87" s="142"/>
      <c r="K87" s="142"/>
      <c r="L87" s="142"/>
      <c r="M87" s="142"/>
    </row>
    <row r="88" spans="2:14" ht="17.100000000000001" customHeight="1">
      <c r="B88" s="3" t="s">
        <v>487</v>
      </c>
      <c r="C88" s="141" t="s">
        <v>526</v>
      </c>
      <c r="D88" s="142"/>
      <c r="E88" s="142"/>
      <c r="F88" s="142"/>
      <c r="G88" s="142"/>
      <c r="H88" s="142"/>
      <c r="I88" s="142"/>
      <c r="J88" s="142"/>
      <c r="K88" s="142"/>
      <c r="L88" s="142"/>
      <c r="M88" s="142"/>
    </row>
    <row r="90" spans="2:14" ht="16.5">
      <c r="B90" s="22" t="s">
        <v>527</v>
      </c>
    </row>
    <row r="91" spans="2:14" ht="36.950000000000003" customHeight="1">
      <c r="B91" s="141" t="s">
        <v>528</v>
      </c>
      <c r="C91" s="142"/>
      <c r="D91" s="142"/>
      <c r="E91" s="142"/>
      <c r="F91" s="142"/>
      <c r="G91" s="142"/>
      <c r="H91" s="142"/>
      <c r="I91" s="142"/>
      <c r="J91" s="142"/>
      <c r="K91" s="142"/>
      <c r="L91" s="142"/>
      <c r="M91" s="142"/>
      <c r="N91" s="14"/>
    </row>
    <row r="92" spans="2:14" ht="16.5">
      <c r="B92" s="12" t="s">
        <v>468</v>
      </c>
      <c r="C92" s="18"/>
      <c r="D92" s="18"/>
      <c r="E92" s="18"/>
      <c r="F92" s="18"/>
      <c r="G92" s="18"/>
      <c r="H92" s="18"/>
      <c r="I92" s="18"/>
      <c r="J92" s="18"/>
      <c r="K92" s="18"/>
      <c r="L92" s="12" t="s">
        <v>469</v>
      </c>
      <c r="M92" s="18"/>
    </row>
    <row r="93" spans="2:14" ht="17.100000000000001" customHeight="1">
      <c r="B93" s="141" t="s">
        <v>529</v>
      </c>
      <c r="C93" s="142"/>
      <c r="D93" s="142"/>
      <c r="E93" s="142"/>
      <c r="F93" s="142"/>
      <c r="G93" s="142"/>
      <c r="H93" s="142"/>
      <c r="I93" s="142"/>
      <c r="J93" s="142"/>
      <c r="K93" s="142"/>
      <c r="L93" s="146" t="s">
        <v>530</v>
      </c>
      <c r="M93" s="142"/>
      <c r="N93" s="14" t="s">
        <v>484</v>
      </c>
    </row>
    <row r="94" spans="2:14" ht="17.100000000000001" customHeight="1">
      <c r="B94" s="141" t="s">
        <v>531</v>
      </c>
      <c r="C94" s="142"/>
      <c r="D94" s="142"/>
      <c r="E94" s="142"/>
      <c r="F94" s="142"/>
      <c r="G94" s="142"/>
      <c r="H94" s="142"/>
      <c r="I94" s="142"/>
      <c r="J94" s="142"/>
      <c r="K94" s="142"/>
      <c r="L94" s="146" t="s">
        <v>532</v>
      </c>
      <c r="M94" s="142"/>
      <c r="N94" s="14" t="s">
        <v>472</v>
      </c>
    </row>
    <row r="95" spans="2:14" ht="17.100000000000001" customHeight="1">
      <c r="B95" s="143" t="s">
        <v>533</v>
      </c>
      <c r="C95" s="144"/>
      <c r="D95" s="144"/>
      <c r="E95" s="144"/>
      <c r="F95" s="144"/>
      <c r="G95" s="144"/>
      <c r="H95" s="144"/>
      <c r="I95" s="144"/>
      <c r="J95" s="144"/>
      <c r="K95" s="144"/>
      <c r="L95" s="147" t="s">
        <v>534</v>
      </c>
      <c r="M95" s="144"/>
      <c r="N95" s="14" t="s">
        <v>535</v>
      </c>
    </row>
    <row r="96" spans="2:14" ht="17.100000000000001" customHeight="1">
      <c r="B96" s="3" t="s">
        <v>485</v>
      </c>
      <c r="C96" s="141" t="s">
        <v>536</v>
      </c>
      <c r="D96" s="142"/>
      <c r="E96" s="142"/>
      <c r="F96" s="142"/>
      <c r="G96" s="142"/>
      <c r="H96" s="142"/>
      <c r="I96" s="142"/>
      <c r="J96" s="142"/>
      <c r="K96" s="142"/>
      <c r="L96" s="142"/>
      <c r="M96" s="142"/>
    </row>
    <row r="97" spans="2:14" ht="17.100000000000001" customHeight="1">
      <c r="B97" s="3" t="s">
        <v>487</v>
      </c>
      <c r="C97" s="141" t="s">
        <v>537</v>
      </c>
      <c r="D97" s="142"/>
      <c r="E97" s="142"/>
      <c r="F97" s="142"/>
      <c r="G97" s="142"/>
      <c r="H97" s="142"/>
      <c r="I97" s="142"/>
      <c r="J97" s="142"/>
      <c r="K97" s="142"/>
      <c r="L97" s="142"/>
      <c r="M97" s="142"/>
    </row>
    <row r="99" spans="2:14" ht="16.5">
      <c r="B99" s="22" t="s">
        <v>538</v>
      </c>
    </row>
    <row r="100" spans="2:14" ht="36.950000000000003" customHeight="1">
      <c r="B100" s="141" t="s">
        <v>539</v>
      </c>
      <c r="C100" s="142"/>
      <c r="D100" s="142"/>
      <c r="E100" s="142"/>
      <c r="F100" s="142"/>
      <c r="G100" s="142"/>
      <c r="H100" s="142"/>
      <c r="I100" s="142"/>
      <c r="J100" s="142"/>
      <c r="K100" s="142"/>
      <c r="L100" s="142"/>
      <c r="M100" s="142"/>
      <c r="N100" s="14"/>
    </row>
    <row r="101" spans="2:14" ht="16.5">
      <c r="B101" s="12" t="s">
        <v>468</v>
      </c>
      <c r="C101" s="18"/>
      <c r="D101" s="18"/>
      <c r="E101" s="18"/>
      <c r="F101" s="18"/>
      <c r="G101" s="18"/>
      <c r="H101" s="18"/>
      <c r="I101" s="18"/>
      <c r="J101" s="18"/>
      <c r="K101" s="18"/>
      <c r="L101" s="12" t="s">
        <v>469</v>
      </c>
      <c r="M101" s="18"/>
    </row>
    <row r="102" spans="2:14" ht="17.100000000000001" customHeight="1">
      <c r="B102" s="141" t="s">
        <v>540</v>
      </c>
      <c r="C102" s="142"/>
      <c r="D102" s="142"/>
      <c r="E102" s="142"/>
      <c r="F102" s="142"/>
      <c r="G102" s="142"/>
      <c r="H102" s="142"/>
      <c r="I102" s="142"/>
      <c r="J102" s="142"/>
      <c r="K102" s="142"/>
      <c r="L102" s="146" t="s">
        <v>541</v>
      </c>
      <c r="M102" s="142"/>
      <c r="N102" s="14" t="s">
        <v>542</v>
      </c>
    </row>
    <row r="103" spans="2:14" ht="17.100000000000001" customHeight="1">
      <c r="B103" s="141" t="s">
        <v>543</v>
      </c>
      <c r="C103" s="142"/>
      <c r="D103" s="142"/>
      <c r="E103" s="142"/>
      <c r="F103" s="142"/>
      <c r="G103" s="142"/>
      <c r="H103" s="142"/>
      <c r="I103" s="142"/>
      <c r="J103" s="142"/>
      <c r="K103" s="142"/>
      <c r="L103" s="146" t="s">
        <v>544</v>
      </c>
      <c r="M103" s="142"/>
      <c r="N103" s="14" t="s">
        <v>545</v>
      </c>
    </row>
    <row r="104" spans="2:14" ht="17.100000000000001" customHeight="1">
      <c r="B104" s="143" t="s">
        <v>546</v>
      </c>
      <c r="C104" s="144"/>
      <c r="D104" s="144"/>
      <c r="E104" s="144"/>
      <c r="F104" s="144"/>
      <c r="G104" s="144"/>
      <c r="H104" s="144"/>
      <c r="I104" s="144"/>
      <c r="J104" s="144"/>
      <c r="K104" s="144"/>
      <c r="L104" s="147" t="s">
        <v>547</v>
      </c>
      <c r="M104" s="144"/>
      <c r="N104" s="14" t="s">
        <v>90</v>
      </c>
    </row>
    <row r="105" spans="2:14" ht="17.100000000000001" customHeight="1">
      <c r="B105" s="3" t="s">
        <v>485</v>
      </c>
      <c r="C105" s="141" t="s">
        <v>548</v>
      </c>
      <c r="D105" s="142"/>
      <c r="E105" s="142"/>
      <c r="F105" s="142"/>
      <c r="G105" s="142"/>
      <c r="H105" s="142"/>
      <c r="I105" s="142"/>
      <c r="J105" s="142"/>
      <c r="K105" s="142"/>
      <c r="L105" s="142"/>
      <c r="M105" s="142"/>
    </row>
    <row r="106" spans="2:14" ht="17.100000000000001" customHeight="1">
      <c r="B106" s="3" t="s">
        <v>487</v>
      </c>
      <c r="C106" s="141" t="s">
        <v>549</v>
      </c>
      <c r="D106" s="142"/>
      <c r="E106" s="142"/>
      <c r="F106" s="142"/>
      <c r="G106" s="142"/>
      <c r="H106" s="142"/>
      <c r="I106" s="142"/>
      <c r="J106" s="142"/>
      <c r="K106" s="142"/>
      <c r="L106" s="142"/>
      <c r="M106" s="142"/>
    </row>
    <row r="108" spans="2:14" ht="16.5">
      <c r="B108" s="22" t="s">
        <v>550</v>
      </c>
    </row>
    <row r="109" spans="2:14" ht="36.950000000000003" customHeight="1">
      <c r="B109" s="141" t="s">
        <v>551</v>
      </c>
      <c r="C109" s="142"/>
      <c r="D109" s="142"/>
      <c r="E109" s="142"/>
      <c r="F109" s="142"/>
      <c r="G109" s="142"/>
      <c r="H109" s="142"/>
      <c r="I109" s="142"/>
      <c r="J109" s="142"/>
      <c r="K109" s="142"/>
      <c r="L109" s="142"/>
      <c r="M109" s="142"/>
      <c r="N109" s="14"/>
    </row>
    <row r="110" spans="2:14" ht="16.5">
      <c r="B110" s="12" t="s">
        <v>468</v>
      </c>
      <c r="C110" s="18"/>
      <c r="D110" s="18"/>
      <c r="E110" s="18"/>
      <c r="F110" s="18"/>
      <c r="G110" s="18"/>
      <c r="H110" s="18"/>
      <c r="I110" s="18"/>
      <c r="J110" s="18"/>
      <c r="K110" s="18"/>
      <c r="L110" s="12" t="s">
        <v>469</v>
      </c>
      <c r="M110" s="18"/>
    </row>
    <row r="111" spans="2:14" ht="17.100000000000001" customHeight="1">
      <c r="B111" s="141" t="s">
        <v>552</v>
      </c>
      <c r="C111" s="142"/>
      <c r="D111" s="142"/>
      <c r="E111" s="142"/>
      <c r="F111" s="142"/>
      <c r="G111" s="142"/>
      <c r="H111" s="142"/>
      <c r="I111" s="142"/>
      <c r="J111" s="142"/>
      <c r="K111" s="142"/>
      <c r="L111" s="146" t="s">
        <v>553</v>
      </c>
      <c r="M111" s="142"/>
      <c r="N111" s="14" t="s">
        <v>554</v>
      </c>
    </row>
    <row r="112" spans="2:14" ht="17.100000000000001" customHeight="1">
      <c r="B112" s="141" t="s">
        <v>555</v>
      </c>
      <c r="C112" s="142"/>
      <c r="D112" s="142"/>
      <c r="E112" s="142"/>
      <c r="F112" s="142"/>
      <c r="G112" s="142"/>
      <c r="H112" s="142"/>
      <c r="I112" s="142"/>
      <c r="J112" s="142"/>
      <c r="K112" s="142"/>
      <c r="L112" s="146" t="s">
        <v>556</v>
      </c>
      <c r="M112" s="142"/>
      <c r="N112" s="14" t="s">
        <v>267</v>
      </c>
    </row>
    <row r="113" spans="2:14" ht="17.100000000000001" customHeight="1">
      <c r="B113" s="143" t="s">
        <v>557</v>
      </c>
      <c r="C113" s="144"/>
      <c r="D113" s="144"/>
      <c r="E113" s="144"/>
      <c r="F113" s="144"/>
      <c r="G113" s="144"/>
      <c r="H113" s="144"/>
      <c r="I113" s="144"/>
      <c r="J113" s="144"/>
      <c r="K113" s="144"/>
      <c r="L113" s="147" t="s">
        <v>558</v>
      </c>
      <c r="M113" s="144"/>
      <c r="N113" s="14" t="s">
        <v>559</v>
      </c>
    </row>
    <row r="114" spans="2:14" ht="17.100000000000001" customHeight="1">
      <c r="B114" s="3" t="s">
        <v>485</v>
      </c>
      <c r="C114" s="141" t="s">
        <v>560</v>
      </c>
      <c r="D114" s="142"/>
      <c r="E114" s="142"/>
      <c r="F114" s="142"/>
      <c r="G114" s="142"/>
      <c r="H114" s="142"/>
      <c r="I114" s="142"/>
      <c r="J114" s="142"/>
      <c r="K114" s="142"/>
      <c r="L114" s="142"/>
      <c r="M114" s="142"/>
    </row>
    <row r="116" spans="2:14" ht="16.5">
      <c r="B116" s="22" t="s">
        <v>561</v>
      </c>
    </row>
    <row r="117" spans="2:14" ht="36.950000000000003" customHeight="1">
      <c r="B117" s="141" t="s">
        <v>562</v>
      </c>
      <c r="C117" s="142"/>
      <c r="D117" s="142"/>
      <c r="E117" s="142"/>
      <c r="F117" s="142"/>
      <c r="G117" s="142"/>
      <c r="H117" s="142"/>
      <c r="I117" s="142"/>
      <c r="J117" s="142"/>
      <c r="K117" s="142"/>
      <c r="L117" s="142"/>
      <c r="M117" s="142"/>
      <c r="N117" s="14"/>
    </row>
    <row r="118" spans="2:14" ht="16.5">
      <c r="B118" s="12" t="s">
        <v>468</v>
      </c>
      <c r="C118" s="18"/>
      <c r="D118" s="18"/>
      <c r="E118" s="18"/>
      <c r="F118" s="18"/>
      <c r="G118" s="18"/>
      <c r="H118" s="18"/>
      <c r="I118" s="18"/>
      <c r="J118" s="18"/>
      <c r="K118" s="18"/>
      <c r="L118" s="12" t="s">
        <v>469</v>
      </c>
      <c r="M118" s="18"/>
    </row>
    <row r="119" spans="2:14" ht="17.100000000000001" customHeight="1">
      <c r="B119" s="141" t="s">
        <v>563</v>
      </c>
      <c r="C119" s="142"/>
      <c r="D119" s="142"/>
      <c r="E119" s="142"/>
      <c r="F119" s="142"/>
      <c r="G119" s="142"/>
      <c r="H119" s="142"/>
      <c r="I119" s="142"/>
      <c r="J119" s="142"/>
      <c r="K119" s="142"/>
      <c r="L119" s="146" t="s">
        <v>564</v>
      </c>
      <c r="M119" s="142"/>
      <c r="N119" s="14" t="s">
        <v>565</v>
      </c>
    </row>
    <row r="120" spans="2:14" ht="17.100000000000001" customHeight="1">
      <c r="B120" s="141" t="s">
        <v>566</v>
      </c>
      <c r="C120" s="142"/>
      <c r="D120" s="142"/>
      <c r="E120" s="142"/>
      <c r="F120" s="142"/>
      <c r="G120" s="142"/>
      <c r="H120" s="142"/>
      <c r="I120" s="142"/>
      <c r="J120" s="142"/>
      <c r="K120" s="142"/>
      <c r="L120" s="146" t="s">
        <v>567</v>
      </c>
      <c r="M120" s="142"/>
      <c r="N120" s="14" t="s">
        <v>568</v>
      </c>
    </row>
    <row r="121" spans="2:14" ht="17.100000000000001" customHeight="1">
      <c r="B121" s="143" t="s">
        <v>569</v>
      </c>
      <c r="C121" s="144"/>
      <c r="D121" s="144"/>
      <c r="E121" s="144"/>
      <c r="F121" s="144"/>
      <c r="G121" s="144"/>
      <c r="H121" s="144"/>
      <c r="I121" s="144"/>
      <c r="J121" s="144"/>
      <c r="K121" s="144"/>
      <c r="L121" s="147" t="s">
        <v>421</v>
      </c>
      <c r="M121" s="144"/>
      <c r="N121" s="14" t="s">
        <v>570</v>
      </c>
    </row>
    <row r="122" spans="2:14" ht="17.100000000000001" customHeight="1">
      <c r="B122" s="3" t="s">
        <v>485</v>
      </c>
      <c r="C122" s="141" t="s">
        <v>571</v>
      </c>
      <c r="D122" s="142"/>
      <c r="E122" s="142"/>
      <c r="F122" s="142"/>
      <c r="G122" s="142"/>
      <c r="H122" s="142"/>
      <c r="I122" s="142"/>
      <c r="J122" s="142"/>
      <c r="K122" s="142"/>
      <c r="L122" s="142"/>
      <c r="M122" s="142"/>
    </row>
    <row r="124" spans="2:14" ht="16.5">
      <c r="B124" s="22" t="s">
        <v>572</v>
      </c>
    </row>
    <row r="125" spans="2:14" ht="16.5">
      <c r="B125" s="12" t="s">
        <v>573</v>
      </c>
      <c r="C125" s="12" t="s">
        <v>260</v>
      </c>
      <c r="D125" s="12" t="s">
        <v>574</v>
      </c>
      <c r="E125" s="12" t="s">
        <v>343</v>
      </c>
      <c r="F125" s="12" t="s">
        <v>575</v>
      </c>
      <c r="G125" s="12" t="s">
        <v>576</v>
      </c>
      <c r="H125" s="18"/>
      <c r="I125" s="18"/>
      <c r="J125" s="18"/>
      <c r="K125" s="18"/>
      <c r="L125" s="18"/>
      <c r="M125" s="18"/>
    </row>
    <row r="126" spans="2:14" ht="17.100000000000001" customHeight="1">
      <c r="B126" s="14" t="s">
        <v>577</v>
      </c>
      <c r="C126" s="9">
        <v>2025</v>
      </c>
      <c r="D126" s="36">
        <v>86519</v>
      </c>
      <c r="E126" s="14" t="s">
        <v>365</v>
      </c>
      <c r="F126" s="25">
        <v>8.4000000000000005E-2</v>
      </c>
      <c r="G126" s="141" t="s">
        <v>578</v>
      </c>
      <c r="H126" s="142"/>
      <c r="I126" s="142"/>
      <c r="J126" s="142"/>
      <c r="K126" s="142"/>
      <c r="L126" s="142"/>
      <c r="M126" s="142"/>
      <c r="N126" s="14" t="s">
        <v>484</v>
      </c>
    </row>
    <row r="127" spans="2:14" ht="17.100000000000001" customHeight="1">
      <c r="B127" s="14" t="s">
        <v>579</v>
      </c>
      <c r="C127" s="9">
        <v>2026</v>
      </c>
      <c r="D127" s="36">
        <v>95358</v>
      </c>
      <c r="E127" s="14" t="s">
        <v>365</v>
      </c>
      <c r="F127" s="25">
        <v>8.4000000000000005E-2</v>
      </c>
      <c r="G127" s="141" t="s">
        <v>578</v>
      </c>
      <c r="H127" s="142"/>
      <c r="I127" s="142"/>
      <c r="J127" s="142"/>
      <c r="K127" s="142"/>
      <c r="L127" s="142"/>
      <c r="M127" s="142"/>
      <c r="N127" s="14" t="s">
        <v>484</v>
      </c>
    </row>
    <row r="128" spans="2:14" ht="17.100000000000001" customHeight="1">
      <c r="B128" s="14" t="s">
        <v>579</v>
      </c>
      <c r="C128" s="9">
        <v>2027</v>
      </c>
      <c r="D128" s="36">
        <v>101662</v>
      </c>
      <c r="E128" s="14" t="s">
        <v>365</v>
      </c>
      <c r="F128" s="25">
        <v>8.4000000000000005E-2</v>
      </c>
      <c r="G128" s="141" t="s">
        <v>578</v>
      </c>
      <c r="H128" s="142"/>
      <c r="I128" s="142"/>
      <c r="J128" s="142"/>
      <c r="K128" s="142"/>
      <c r="L128" s="142"/>
      <c r="M128" s="142"/>
      <c r="N128" s="14" t="s">
        <v>484</v>
      </c>
    </row>
    <row r="129" spans="2:14" ht="17.100000000000001" customHeight="1">
      <c r="B129" s="14" t="s">
        <v>580</v>
      </c>
      <c r="C129" s="9">
        <v>2021</v>
      </c>
      <c r="D129" s="36">
        <v>74118</v>
      </c>
      <c r="E129" s="14" t="s">
        <v>365</v>
      </c>
      <c r="F129" s="53" t="s">
        <v>224</v>
      </c>
      <c r="G129" s="141" t="s">
        <v>581</v>
      </c>
      <c r="H129" s="142"/>
      <c r="I129" s="142"/>
      <c r="J129" s="142"/>
      <c r="K129" s="142"/>
      <c r="L129" s="142"/>
      <c r="M129" s="142"/>
      <c r="N129" s="14" t="s">
        <v>582</v>
      </c>
    </row>
    <row r="130" spans="2:14" ht="17.100000000000001" customHeight="1">
      <c r="B130" s="14" t="s">
        <v>583</v>
      </c>
      <c r="C130" s="9">
        <v>2025</v>
      </c>
      <c r="D130" s="36">
        <v>75800</v>
      </c>
      <c r="E130" s="14" t="s">
        <v>365</v>
      </c>
      <c r="F130" s="53" t="s">
        <v>224</v>
      </c>
      <c r="G130" s="141" t="s">
        <v>581</v>
      </c>
      <c r="H130" s="142"/>
      <c r="I130" s="142"/>
      <c r="J130" s="142"/>
      <c r="K130" s="142"/>
      <c r="L130" s="142"/>
      <c r="M130" s="142"/>
      <c r="N130" s="14" t="s">
        <v>584</v>
      </c>
    </row>
    <row r="131" spans="2:14" ht="36.950000000000003" customHeight="1">
      <c r="B131" s="14" t="s">
        <v>585</v>
      </c>
      <c r="C131" s="9">
        <v>2026</v>
      </c>
      <c r="D131" s="36">
        <v>103823</v>
      </c>
      <c r="E131" s="14" t="s">
        <v>365</v>
      </c>
      <c r="F131" s="53" t="s">
        <v>224</v>
      </c>
      <c r="G131" s="141" t="s">
        <v>581</v>
      </c>
      <c r="H131" s="142"/>
      <c r="I131" s="142"/>
      <c r="J131" s="142"/>
      <c r="K131" s="142"/>
      <c r="L131" s="142"/>
      <c r="M131" s="142"/>
      <c r="N131" s="14" t="s">
        <v>586</v>
      </c>
    </row>
    <row r="132" spans="2:14" ht="36.950000000000003" customHeight="1">
      <c r="B132" s="14" t="s">
        <v>587</v>
      </c>
      <c r="C132" s="9">
        <v>2026</v>
      </c>
      <c r="D132" s="36">
        <v>111823</v>
      </c>
      <c r="E132" s="14" t="s">
        <v>365</v>
      </c>
      <c r="F132" s="53" t="s">
        <v>224</v>
      </c>
      <c r="G132" s="141" t="s">
        <v>581</v>
      </c>
      <c r="H132" s="142"/>
      <c r="I132" s="142"/>
      <c r="J132" s="142"/>
      <c r="K132" s="142"/>
      <c r="L132" s="142"/>
      <c r="M132" s="142"/>
      <c r="N132" s="14" t="s">
        <v>586</v>
      </c>
    </row>
    <row r="133" spans="2:14" ht="17.100000000000001" customHeight="1">
      <c r="B133" s="14" t="s">
        <v>588</v>
      </c>
      <c r="C133" s="9">
        <v>2025</v>
      </c>
      <c r="D133" s="36">
        <v>22100</v>
      </c>
      <c r="E133" s="14" t="s">
        <v>365</v>
      </c>
      <c r="F133" s="25">
        <v>-3.0000000000000001E-3</v>
      </c>
      <c r="G133" s="141" t="s">
        <v>578</v>
      </c>
      <c r="H133" s="142"/>
      <c r="I133" s="142"/>
      <c r="J133" s="142"/>
      <c r="K133" s="142"/>
      <c r="L133" s="142"/>
      <c r="M133" s="142"/>
      <c r="N133" s="14" t="s">
        <v>589</v>
      </c>
    </row>
    <row r="134" spans="2:14" ht="17.100000000000001" customHeight="1">
      <c r="B134" s="14" t="s">
        <v>590</v>
      </c>
      <c r="C134" s="9">
        <v>2026</v>
      </c>
      <c r="D134" s="36">
        <v>38340</v>
      </c>
      <c r="E134" s="14" t="s">
        <v>365</v>
      </c>
      <c r="F134" s="25">
        <v>0.104</v>
      </c>
      <c r="G134" s="141" t="s">
        <v>578</v>
      </c>
      <c r="H134" s="142"/>
      <c r="I134" s="142"/>
      <c r="J134" s="142"/>
      <c r="K134" s="142"/>
      <c r="L134" s="142"/>
      <c r="M134" s="142"/>
      <c r="N134" s="14" t="s">
        <v>591</v>
      </c>
    </row>
    <row r="135" spans="2:14" ht="17.100000000000001" customHeight="1">
      <c r="B135" s="14" t="s">
        <v>592</v>
      </c>
      <c r="C135" s="9">
        <v>2026</v>
      </c>
      <c r="D135" s="36">
        <v>101655</v>
      </c>
      <c r="E135" s="14" t="s">
        <v>365</v>
      </c>
      <c r="F135" s="25">
        <v>0.19900000000000001</v>
      </c>
      <c r="G135" s="141" t="s">
        <v>578</v>
      </c>
      <c r="H135" s="142"/>
      <c r="I135" s="142"/>
      <c r="J135" s="142"/>
      <c r="K135" s="142"/>
      <c r="L135" s="142"/>
      <c r="M135" s="142"/>
      <c r="N135" s="14" t="s">
        <v>484</v>
      </c>
    </row>
    <row r="136" spans="2:14" ht="36.950000000000003" customHeight="1">
      <c r="B136" s="14" t="s">
        <v>593</v>
      </c>
      <c r="C136" s="9">
        <v>2026</v>
      </c>
      <c r="D136" s="36">
        <v>36158</v>
      </c>
      <c r="E136" s="14" t="s">
        <v>365</v>
      </c>
      <c r="F136" s="53" t="s">
        <v>224</v>
      </c>
      <c r="G136" s="141" t="s">
        <v>581</v>
      </c>
      <c r="H136" s="142"/>
      <c r="I136" s="142"/>
      <c r="J136" s="142"/>
      <c r="K136" s="142"/>
      <c r="L136" s="142"/>
      <c r="M136" s="142"/>
      <c r="N136" s="14" t="s">
        <v>594</v>
      </c>
    </row>
    <row r="137" spans="2:14" ht="36.950000000000003" customHeight="1">
      <c r="B137" s="14" t="s">
        <v>595</v>
      </c>
      <c r="C137" s="9">
        <v>2030</v>
      </c>
      <c r="D137" s="36">
        <v>27000</v>
      </c>
      <c r="E137" s="14" t="s">
        <v>365</v>
      </c>
      <c r="F137" s="53" t="s">
        <v>224</v>
      </c>
      <c r="G137" s="141" t="s">
        <v>578</v>
      </c>
      <c r="H137" s="142"/>
      <c r="I137" s="142"/>
      <c r="J137" s="142"/>
      <c r="K137" s="142"/>
      <c r="L137" s="142"/>
      <c r="M137" s="142"/>
      <c r="N137" s="14" t="s">
        <v>596</v>
      </c>
    </row>
    <row r="138" spans="2:14" ht="36.950000000000003" customHeight="1">
      <c r="B138" s="16" t="s">
        <v>597</v>
      </c>
      <c r="C138" s="30">
        <v>2026</v>
      </c>
      <c r="D138" s="54">
        <v>4150</v>
      </c>
      <c r="E138" s="16" t="s">
        <v>365</v>
      </c>
      <c r="F138" s="55" t="s">
        <v>224</v>
      </c>
      <c r="G138" s="143" t="s">
        <v>581</v>
      </c>
      <c r="H138" s="144"/>
      <c r="I138" s="144"/>
      <c r="J138" s="144"/>
      <c r="K138" s="144"/>
      <c r="L138" s="144"/>
      <c r="M138" s="144"/>
      <c r="N138" s="14" t="s">
        <v>598</v>
      </c>
    </row>
    <row r="140" spans="2:14" ht="16.5">
      <c r="B140" s="22" t="s">
        <v>599</v>
      </c>
    </row>
    <row r="141" spans="2:14" ht="16.5">
      <c r="B141" s="12" t="s">
        <v>600</v>
      </c>
      <c r="C141" s="12" t="s">
        <v>601</v>
      </c>
      <c r="D141" s="12" t="s">
        <v>602</v>
      </c>
      <c r="E141" s="12" t="s">
        <v>603</v>
      </c>
      <c r="F141" s="12" t="s">
        <v>604</v>
      </c>
      <c r="G141" s="12" t="s">
        <v>605</v>
      </c>
      <c r="H141" s="12" t="s">
        <v>606</v>
      </c>
      <c r="I141" s="12" t="s">
        <v>607</v>
      </c>
      <c r="J141" s="12" t="s">
        <v>608</v>
      </c>
      <c r="K141" s="12" t="s">
        <v>609</v>
      </c>
      <c r="L141" s="12" t="s">
        <v>610</v>
      </c>
      <c r="M141" s="12" t="s">
        <v>611</v>
      </c>
    </row>
    <row r="142" spans="2:14" ht="36.950000000000003" customHeight="1">
      <c r="B142" s="14" t="s">
        <v>612</v>
      </c>
      <c r="C142" s="25">
        <v>7.0000000000000007E-2</v>
      </c>
      <c r="D142" s="25">
        <v>0.09</v>
      </c>
      <c r="E142" s="25">
        <v>-0.18</v>
      </c>
      <c r="F142" s="25">
        <f>IF(AND(ISNUMBER('3_PL'!D6),ISNUMBER('3_PL'!E6)),IF('3_PL'!D6&lt;&gt;0,'3_PL'!E6/'3_PL'!D6-1,""),"")</f>
        <v>9.1801133885739183E-2</v>
      </c>
      <c r="G142" s="25">
        <f>IF(AND(ISNUMBER('3_PL'!E6),ISNUMBER('3_PL'!F6)),IF('3_PL'!E6&lt;&gt;0,'3_PL'!F6/'3_PL'!E6-1,""),"")</f>
        <v>-0.12527461553824648</v>
      </c>
      <c r="H142" s="25">
        <f>IF(AND(ISNUMBER('3_PL'!F6),ISNUMBER('3_PL'!G6)),IF('3_PL'!F6&lt;&gt;0,'3_PL'!G6/'3_PL'!F6-1,""),"")</f>
        <v>-0.10719789942348312</v>
      </c>
      <c r="I142" s="25">
        <f>IF(AND(ISNUMBER('3_PL'!G6),ISNUMBER('3_PL'!H6)),IF('3_PL'!G6&lt;&gt;0,'3_PL'!H6/'3_PL'!G6-1,""),"")</f>
        <v>0.13049037785307838</v>
      </c>
      <c r="J142" s="25">
        <f>IF(COUNT(F142:I142)&gt;=2,STDEV(F142:I142),"n.a.")</f>
        <v>0.13243160829569478</v>
      </c>
      <c r="K142" s="56">
        <f>IF(AND(ISNUMBER(J142),ISNUMBER(D142)),IF(J142&gt;0,D142/J142,"n.a."),"n.a.")</f>
        <v>0.67959606591084354</v>
      </c>
      <c r="L142" s="56">
        <f>IF(AND(ISNUMBER(J142),ISNUMBER(E142)),IF(J142&gt;0,E142/J142,"n.a."),"n.a.")</f>
        <v>-1.3591921318216871</v>
      </c>
      <c r="M142" s="9" t="s">
        <v>613</v>
      </c>
      <c r="N142" s="14" t="s">
        <v>614</v>
      </c>
    </row>
    <row r="143" spans="2:14" ht="17.100000000000001" customHeight="1">
      <c r="B143" s="16" t="s">
        <v>615</v>
      </c>
      <c r="C143" s="33">
        <v>0.62</v>
      </c>
      <c r="D143" s="33">
        <v>0.02</v>
      </c>
      <c r="E143" s="33">
        <v>-0.05</v>
      </c>
      <c r="F143" s="55" t="s">
        <v>224</v>
      </c>
      <c r="G143" s="55" t="s">
        <v>224</v>
      </c>
      <c r="H143" s="55" t="s">
        <v>224</v>
      </c>
      <c r="I143" s="55" t="s">
        <v>224</v>
      </c>
      <c r="J143" s="55" t="s">
        <v>224</v>
      </c>
      <c r="K143" s="57" t="str">
        <f>IF(AND(ISNUMBER(J143),ISNUMBER(D143)),IF(J143&gt;0,D143/J143,"n.a."),"n.a.")</f>
        <v>n.a.</v>
      </c>
      <c r="L143" s="57" t="str">
        <f>IF(AND(ISNUMBER(J143),ISNUMBER(E143)),IF(J143&gt;0,E143/J143,"n.a."),"n.a.")</f>
        <v>n.a.</v>
      </c>
      <c r="M143" s="30" t="s">
        <v>616</v>
      </c>
      <c r="N143" s="14" t="s">
        <v>617</v>
      </c>
    </row>
    <row r="144" spans="2:14" ht="17.100000000000001" customHeight="1">
      <c r="B144" s="141" t="s">
        <v>618</v>
      </c>
      <c r="C144" s="142"/>
      <c r="D144" s="142"/>
      <c r="E144" s="142"/>
      <c r="F144" s="142"/>
      <c r="G144" s="142"/>
      <c r="H144" s="142"/>
      <c r="I144" s="142"/>
      <c r="J144" s="142"/>
      <c r="K144" s="142"/>
      <c r="L144" s="142"/>
      <c r="M144" s="142"/>
    </row>
    <row r="145" spans="2:14" ht="87.95" customHeight="1">
      <c r="B145" s="141" t="s">
        <v>619</v>
      </c>
      <c r="C145" s="142"/>
      <c r="D145" s="142"/>
      <c r="E145" s="142"/>
      <c r="F145" s="142"/>
      <c r="G145" s="142"/>
      <c r="H145" s="142"/>
      <c r="I145" s="142"/>
      <c r="J145" s="142"/>
      <c r="K145" s="142"/>
      <c r="L145" s="142"/>
      <c r="M145" s="142"/>
      <c r="N145" s="14" t="s">
        <v>614</v>
      </c>
    </row>
    <row r="146" spans="2:14" ht="36.950000000000003" customHeight="1">
      <c r="B146" s="141" t="s">
        <v>620</v>
      </c>
      <c r="C146" s="142"/>
      <c r="D146" s="142"/>
      <c r="E146" s="142"/>
      <c r="F146" s="142"/>
      <c r="G146" s="142"/>
      <c r="H146" s="142"/>
      <c r="I146" s="142"/>
      <c r="J146" s="142"/>
      <c r="K146" s="142"/>
      <c r="L146" s="142"/>
      <c r="M146" s="142"/>
      <c r="N146" s="14" t="s">
        <v>617</v>
      </c>
    </row>
    <row r="148" spans="2:14" ht="20.100000000000001" customHeight="1">
      <c r="B148" s="10" t="s">
        <v>621</v>
      </c>
      <c r="C148" s="11"/>
      <c r="D148" s="11"/>
      <c r="E148" s="11"/>
      <c r="F148" s="11"/>
      <c r="G148" s="11"/>
      <c r="H148" s="11"/>
      <c r="I148" s="11"/>
      <c r="J148" s="11"/>
      <c r="K148" s="11"/>
      <c r="L148" s="11"/>
      <c r="M148" s="11"/>
      <c r="N148" s="17" t="s">
        <v>60</v>
      </c>
    </row>
    <row r="149" spans="2:14" ht="16.5">
      <c r="B149" s="12" t="s">
        <v>61</v>
      </c>
      <c r="C149" s="12" t="s">
        <v>128</v>
      </c>
    </row>
    <row r="150" spans="2:14" ht="16.5">
      <c r="B150" s="3" t="s">
        <v>622</v>
      </c>
      <c r="C150" s="51">
        <f>計算_シナリオ!$C$67</f>
        <v>128.72753564034394</v>
      </c>
    </row>
    <row r="151" spans="2:14" ht="16.5">
      <c r="B151" s="39" t="s">
        <v>623</v>
      </c>
      <c r="C151" s="30" t="s">
        <v>124</v>
      </c>
    </row>
    <row r="152" spans="2:14" ht="122.1" customHeight="1">
      <c r="B152" s="141" t="s">
        <v>624</v>
      </c>
      <c r="C152" s="142"/>
      <c r="D152" s="142"/>
      <c r="E152" s="142"/>
      <c r="F152" s="142"/>
      <c r="G152" s="142"/>
      <c r="H152" s="142"/>
      <c r="I152" s="142"/>
      <c r="J152" s="142"/>
      <c r="K152" s="142"/>
      <c r="L152" s="142"/>
      <c r="M152" s="142"/>
      <c r="N152" s="14"/>
    </row>
    <row r="154" spans="2:14" ht="16.5">
      <c r="B154" s="12" t="s">
        <v>625</v>
      </c>
      <c r="C154" s="12" t="s">
        <v>128</v>
      </c>
    </row>
    <row r="155" spans="2:14" ht="16.5">
      <c r="B155" s="9" t="s">
        <v>626</v>
      </c>
      <c r="C155" s="36">
        <f>'3_Forecast'!$J$21*計算_DCF!$C$27/計算_DCF!$C$26</f>
        <v>10.049602600397717</v>
      </c>
    </row>
    <row r="156" spans="2:14" ht="16.5">
      <c r="B156" s="9" t="s">
        <v>627</v>
      </c>
      <c r="C156" s="36">
        <v>21.007444414154261</v>
      </c>
    </row>
    <row r="157" spans="2:14" ht="16.5">
      <c r="B157" s="9" t="s">
        <v>628</v>
      </c>
      <c r="C157" s="35">
        <f>'3_Forecast'!$J$14+'3_Forecast'!$J$32</f>
        <v>13049.394968009536</v>
      </c>
    </row>
    <row r="158" spans="2:14" ht="16.5">
      <c r="B158" s="9" t="s">
        <v>629</v>
      </c>
      <c r="C158" s="25">
        <f>IF(ISNUMBER($C$156),$C$155/$C$156,"n.a.")</f>
        <v>0.47838291999128468</v>
      </c>
    </row>
    <row r="159" spans="2:14" ht="16.5">
      <c r="B159" s="9" t="s">
        <v>630</v>
      </c>
      <c r="C159" s="28">
        <f>$C$150/$C$155</f>
        <v>12.809216519193455</v>
      </c>
    </row>
    <row r="160" spans="2:14" ht="16.5">
      <c r="B160" s="9" t="s">
        <v>631</v>
      </c>
      <c r="C160" s="28">
        <f>IF(ISNUMBER($C$156),$C$150/$C$156,"n.a.")</f>
        <v>6.1277104012523642</v>
      </c>
    </row>
    <row r="161" spans="2:13" ht="16.5">
      <c r="B161" s="9" t="s">
        <v>632</v>
      </c>
      <c r="C161" s="28">
        <f>IF(ISNUMBER($C$158),($C$158-計算_DCF!$C$15)/(計算_DCF!$C$10-計算_DCF!$C$15),"n.a.")</f>
        <v>6.6474200898243581</v>
      </c>
    </row>
    <row r="162" spans="2:13" ht="16.5">
      <c r="B162" s="30" t="s">
        <v>633</v>
      </c>
      <c r="C162" s="32">
        <f>($C$150*計算_DCF!$C$26/計算_DCF!$C$27+計算_DCF!$C$22+計算_DCF!$C$23-計算_DCF!$C$25)/$C$157</f>
        <v>9.2579099907843609</v>
      </c>
    </row>
    <row r="164" spans="2:13" ht="16.5">
      <c r="B164" s="12" t="s">
        <v>634</v>
      </c>
      <c r="C164" s="12" t="s">
        <v>635</v>
      </c>
      <c r="D164" s="12" t="s">
        <v>636</v>
      </c>
      <c r="E164" s="12" t="s">
        <v>116</v>
      </c>
      <c r="F164" s="12" t="s">
        <v>637</v>
      </c>
      <c r="G164" s="12" t="s">
        <v>638</v>
      </c>
    </row>
    <row r="165" spans="2:13" ht="16.5">
      <c r="B165" s="9" t="s">
        <v>639</v>
      </c>
      <c r="C165" s="28">
        <f>$C$162</f>
        <v>9.2579099907843609</v>
      </c>
      <c r="D165" s="28">
        <v>15.1</v>
      </c>
      <c r="E165" s="28">
        <v>25.5</v>
      </c>
      <c r="F165" s="28">
        <v>36.200000000000003</v>
      </c>
      <c r="G165" s="9" t="str">
        <f>IF(AND(ISNUMBER(C165),ISNUMBER(D165),ISNUMBER(F165)),IF(C165&lt;D165,"下限を下回る",IF(C165&gt;F165,"上限を上回る","レンジ内")),"n.a.")</f>
        <v>下限を下回る</v>
      </c>
    </row>
    <row r="166" spans="2:13" ht="16.5">
      <c r="B166" s="30" t="s">
        <v>640</v>
      </c>
      <c r="C166" s="32">
        <f>$C$162</f>
        <v>9.2579099907843609</v>
      </c>
      <c r="D166" s="32">
        <v>12.8</v>
      </c>
      <c r="E166" s="32">
        <v>20.100000000000001</v>
      </c>
      <c r="F166" s="32">
        <v>33.6</v>
      </c>
      <c r="G166" s="30" t="str">
        <f>IF(AND(ISNUMBER(C166),ISNUMBER(D166),ISNUMBER(F166)),IF(C166&lt;D166,"下限を下回る",IF(C166&gt;F166,"上限を上回る","レンジ内")),"n.a.")</f>
        <v>下限を下回る</v>
      </c>
    </row>
    <row r="167" spans="2:13" ht="17.100000000000001" customHeight="1">
      <c r="B167" s="141" t="s">
        <v>641</v>
      </c>
      <c r="C167" s="142"/>
      <c r="D167" s="142"/>
      <c r="E167" s="142"/>
      <c r="F167" s="142"/>
      <c r="G167" s="142"/>
      <c r="H167" s="142"/>
      <c r="I167" s="142"/>
      <c r="J167" s="142"/>
      <c r="K167" s="142"/>
      <c r="L167" s="142"/>
      <c r="M167" s="142"/>
    </row>
    <row r="168" spans="2:13" ht="17.100000000000001" customHeight="1">
      <c r="B168" s="141" t="s">
        <v>642</v>
      </c>
      <c r="C168" s="142"/>
      <c r="D168" s="142"/>
      <c r="E168" s="142"/>
      <c r="F168" s="142"/>
      <c r="G168" s="142"/>
      <c r="H168" s="142"/>
      <c r="I168" s="142"/>
      <c r="J168" s="142"/>
      <c r="K168" s="142"/>
      <c r="L168" s="142"/>
      <c r="M168" s="142"/>
    </row>
    <row r="170" spans="2:13" ht="16.5">
      <c r="B170" s="22" t="s">
        <v>643</v>
      </c>
    </row>
    <row r="171" spans="2:13" ht="16.5">
      <c r="B171" s="12" t="s">
        <v>644</v>
      </c>
      <c r="C171" s="12" t="s">
        <v>645</v>
      </c>
      <c r="D171" s="12" t="s">
        <v>646</v>
      </c>
      <c r="E171" s="12" t="s">
        <v>647</v>
      </c>
      <c r="F171" s="12" t="s">
        <v>15</v>
      </c>
      <c r="G171" s="18"/>
      <c r="H171" s="18"/>
      <c r="I171" s="18"/>
      <c r="J171" s="18"/>
      <c r="K171" s="18"/>
      <c r="L171" s="18"/>
      <c r="M171" s="18"/>
    </row>
    <row r="172" spans="2:13" ht="54" customHeight="1">
      <c r="B172" s="3" t="s">
        <v>648</v>
      </c>
      <c r="C172" s="25">
        <f>計算_シナリオ!$C$5</f>
        <v>0.5</v>
      </c>
      <c r="D172" s="51">
        <f>計算_シナリオ!$D$5</f>
        <v>128.72753564034394</v>
      </c>
      <c r="E172" s="25">
        <f>D172/'2_投資判断'!$C$11-1</f>
        <v>-0.5394363662241719</v>
      </c>
      <c r="F172" s="141" t="s">
        <v>649</v>
      </c>
      <c r="G172" s="142"/>
      <c r="H172" s="142"/>
      <c r="I172" s="142"/>
      <c r="J172" s="142"/>
      <c r="K172" s="142"/>
      <c r="L172" s="142"/>
      <c r="M172" s="142"/>
    </row>
    <row r="173" spans="2:13" ht="54" customHeight="1">
      <c r="B173" s="3" t="s">
        <v>650</v>
      </c>
      <c r="C173" s="25">
        <f>計算_シナリオ!$C$6</f>
        <v>0.25</v>
      </c>
      <c r="D173" s="51">
        <f>計算_シナリオ!$D$6</f>
        <v>173.2451614140742</v>
      </c>
      <c r="E173" s="25">
        <f>D173/'2_投資判断'!$C$11-1</f>
        <v>-0.38016042427880425</v>
      </c>
      <c r="F173" s="141" t="s">
        <v>651</v>
      </c>
      <c r="G173" s="142"/>
      <c r="H173" s="142"/>
      <c r="I173" s="142"/>
      <c r="J173" s="142"/>
      <c r="K173" s="142"/>
      <c r="L173" s="142"/>
      <c r="M173" s="142"/>
    </row>
    <row r="174" spans="2:13" ht="36.950000000000003" customHeight="1">
      <c r="B174" s="3" t="s">
        <v>652</v>
      </c>
      <c r="C174" s="25">
        <f>計算_シナリオ!$C$7</f>
        <v>0.25</v>
      </c>
      <c r="D174" s="51">
        <f>計算_シナリオ!$D$7</f>
        <v>84.838547509987507</v>
      </c>
      <c r="E174" s="25">
        <f>D174/'2_投資判断'!$C$11-1</f>
        <v>-0.69646315738823783</v>
      </c>
      <c r="F174" s="141" t="s">
        <v>653</v>
      </c>
      <c r="G174" s="142"/>
      <c r="H174" s="142"/>
      <c r="I174" s="142"/>
      <c r="J174" s="142"/>
      <c r="K174" s="142"/>
      <c r="L174" s="142"/>
      <c r="M174" s="142"/>
    </row>
    <row r="175" spans="2:13" ht="16.5">
      <c r="B175" s="39" t="s">
        <v>654</v>
      </c>
      <c r="C175" s="33">
        <f>計算_シナリオ!$C$8</f>
        <v>1</v>
      </c>
      <c r="D175" s="58">
        <f>計算_シナリオ!$D$8</f>
        <v>128.88469505118741</v>
      </c>
      <c r="E175" s="33">
        <f>D175/'2_投資判断'!$C$11-1</f>
        <v>-0.5388740785288465</v>
      </c>
      <c r="F175" s="21"/>
      <c r="G175" s="21"/>
      <c r="H175" s="21"/>
      <c r="I175" s="21"/>
      <c r="J175" s="21"/>
      <c r="K175" s="21"/>
      <c r="L175" s="21"/>
      <c r="M175" s="21"/>
    </row>
    <row r="176" spans="2:13" ht="17.100000000000001" customHeight="1">
      <c r="B176" s="141" t="s">
        <v>655</v>
      </c>
      <c r="C176" s="142"/>
      <c r="D176" s="142"/>
      <c r="E176" s="142"/>
      <c r="F176" s="142"/>
      <c r="G176" s="142"/>
      <c r="H176" s="142"/>
      <c r="I176" s="142"/>
      <c r="J176" s="142"/>
      <c r="K176" s="142"/>
      <c r="L176" s="142"/>
      <c r="M176" s="142"/>
    </row>
    <row r="178" spans="2:14" ht="20.100000000000001" customHeight="1">
      <c r="B178" s="10" t="s">
        <v>656</v>
      </c>
      <c r="C178" s="11"/>
      <c r="D178" s="11"/>
      <c r="E178" s="11"/>
      <c r="F178" s="11"/>
      <c r="G178" s="11"/>
      <c r="H178" s="11"/>
      <c r="I178" s="11"/>
      <c r="J178" s="11"/>
      <c r="K178" s="11"/>
      <c r="L178" s="11"/>
      <c r="M178" s="11"/>
      <c r="N178" s="17" t="s">
        <v>60</v>
      </c>
    </row>
    <row r="179" spans="2:14" ht="16.5">
      <c r="B179" s="22" t="s">
        <v>657</v>
      </c>
    </row>
    <row r="180" spans="2:14" ht="16.5">
      <c r="B180" s="12" t="s">
        <v>61</v>
      </c>
      <c r="C180" s="12" t="s">
        <v>128</v>
      </c>
    </row>
    <row r="181" spans="2:14" ht="16.5">
      <c r="B181" s="3" t="s">
        <v>658</v>
      </c>
      <c r="C181" s="59">
        <f>計算_DCF!$C$14</f>
        <v>9.7911250000000005E-2</v>
      </c>
    </row>
    <row r="182" spans="2:14" ht="16.5">
      <c r="B182" s="9" t="s">
        <v>659</v>
      </c>
      <c r="C182" s="60">
        <f>計算_DCF!$C$10</f>
        <v>0.1017</v>
      </c>
    </row>
    <row r="183" spans="2:14" ht="16.5">
      <c r="B183" s="9" t="s">
        <v>660</v>
      </c>
      <c r="C183" s="60">
        <f>計算_DCF!$C$15</f>
        <v>3.5000000000000003E-2</v>
      </c>
    </row>
    <row r="184" spans="2:14" ht="16.5">
      <c r="B184" s="9" t="s">
        <v>661</v>
      </c>
      <c r="C184" s="9" t="str">
        <f>計算_DCF!$C$17</f>
        <v>value_driver</v>
      </c>
    </row>
    <row r="185" spans="2:14" ht="16.5">
      <c r="B185" s="30" t="s">
        <v>662</v>
      </c>
      <c r="C185" s="34">
        <f>計算_DCF!$C$16</f>
        <v>7</v>
      </c>
    </row>
    <row r="187" spans="2:14" ht="16.5">
      <c r="B187" s="22" t="s">
        <v>663</v>
      </c>
    </row>
    <row r="188" spans="2:14" ht="16.5">
      <c r="B188" s="12" t="s">
        <v>61</v>
      </c>
      <c r="C188" s="12" t="s">
        <v>128</v>
      </c>
    </row>
    <row r="189" spans="2:14" ht="16.5">
      <c r="B189" s="3" t="s">
        <v>664</v>
      </c>
      <c r="C189" s="61">
        <f>計算_DCF!$C$47</f>
        <v>120810.1240480266</v>
      </c>
    </row>
    <row r="190" spans="2:14" ht="16.5">
      <c r="B190" s="9" t="s">
        <v>665</v>
      </c>
      <c r="C190" s="35">
        <f>計算_DCF!$C$46</f>
        <v>62752.86005445238</v>
      </c>
    </row>
    <row r="191" spans="2:14" ht="16.5">
      <c r="B191" s="9" t="s">
        <v>666</v>
      </c>
      <c r="C191" s="35">
        <f>計算_DCF!$C$48</f>
        <v>5413</v>
      </c>
    </row>
    <row r="192" spans="2:14" ht="16.5">
      <c r="B192" s="9" t="s">
        <v>667</v>
      </c>
      <c r="C192" s="35">
        <f>計算_DCF!$C$49</f>
        <v>0</v>
      </c>
    </row>
    <row r="193" spans="2:13" ht="16.5">
      <c r="B193" s="9" t="s">
        <v>668</v>
      </c>
      <c r="C193" s="35">
        <f>計算_DCF!$C$50</f>
        <v>2163</v>
      </c>
    </row>
    <row r="194" spans="2:13" ht="16.5">
      <c r="B194" s="3" t="s">
        <v>669</v>
      </c>
      <c r="C194" s="61">
        <f>計算_DCF!$C$51</f>
        <v>117560.1240480266</v>
      </c>
    </row>
    <row r="195" spans="2:13" ht="16.5">
      <c r="B195" s="9" t="s">
        <v>670</v>
      </c>
      <c r="C195" s="35">
        <f>計算_DCF!$C$52</f>
        <v>913247686</v>
      </c>
    </row>
    <row r="196" spans="2:13" ht="16.5">
      <c r="B196" s="3" t="s">
        <v>671</v>
      </c>
      <c r="C196" s="51">
        <f>計算_DCF!$C$53</f>
        <v>128.72753564034389</v>
      </c>
    </row>
    <row r="197" spans="2:13" ht="16.5">
      <c r="B197" s="30" t="s">
        <v>672</v>
      </c>
      <c r="C197" s="33">
        <f>計算_DCF!$C$54</f>
        <v>0.51943378544587659</v>
      </c>
    </row>
    <row r="198" spans="2:13" ht="17.100000000000001" customHeight="1">
      <c r="B198" s="141" t="s">
        <v>673</v>
      </c>
      <c r="C198" s="142"/>
      <c r="D198" s="142"/>
      <c r="E198" s="142"/>
      <c r="F198" s="142"/>
      <c r="G198" s="142"/>
      <c r="H198" s="142"/>
      <c r="I198" s="142"/>
      <c r="J198" s="142"/>
      <c r="K198" s="142"/>
      <c r="L198" s="142"/>
      <c r="M198" s="142"/>
    </row>
    <row r="200" spans="2:13" ht="16.5">
      <c r="B200" s="22" t="s">
        <v>674</v>
      </c>
    </row>
    <row r="201" spans="2:13" ht="16.5">
      <c r="B201" s="12" t="s">
        <v>675</v>
      </c>
      <c r="C201" s="62">
        <f>計算_DCF!C63</f>
        <v>2.5000000000000001E-2</v>
      </c>
      <c r="D201" s="62">
        <f>計算_DCF!D63</f>
        <v>3.0000000000000002E-2</v>
      </c>
      <c r="E201" s="62">
        <f>計算_DCF!E63</f>
        <v>3.5000000000000003E-2</v>
      </c>
      <c r="F201" s="62">
        <f>計算_DCF!F63</f>
        <v>0.04</v>
      </c>
      <c r="G201" s="62">
        <f>計算_DCF!G63</f>
        <v>4.5000000000000005E-2</v>
      </c>
    </row>
    <row r="202" spans="2:13" ht="16.5">
      <c r="B202" s="63">
        <f>計算_DCF!B64</f>
        <v>8.791125000000001E-2</v>
      </c>
      <c r="C202" s="64">
        <f>計算_DCF!C64</f>
        <v>142.15169809780625</v>
      </c>
      <c r="D202" s="64">
        <f>計算_DCF!D64</f>
        <v>146.93256008254838</v>
      </c>
      <c r="E202" s="64">
        <f>計算_DCF!E64</f>
        <v>152.5907720285885</v>
      </c>
      <c r="F202" s="64">
        <f>計算_DCF!F64</f>
        <v>159.40101367021595</v>
      </c>
      <c r="G202" s="64">
        <f>計算_DCF!G64</f>
        <v>167.7659869896338</v>
      </c>
    </row>
    <row r="203" spans="2:13" ht="16.5">
      <c r="B203" s="63">
        <f>計算_DCF!B65</f>
        <v>9.2911250000000001E-2</v>
      </c>
      <c r="C203" s="64">
        <f>計算_DCF!C65</f>
        <v>131.49393496951157</v>
      </c>
      <c r="D203" s="64">
        <f>計算_DCF!D65</f>
        <v>135.25553032012689</v>
      </c>
      <c r="E203" s="64">
        <f>計算_DCF!E65</f>
        <v>139.6437945441979</v>
      </c>
      <c r="F203" s="64">
        <f>計算_DCF!F65</f>
        <v>144.83638424786864</v>
      </c>
      <c r="G203" s="64">
        <f>計算_DCF!G65</f>
        <v>151.08511674323162</v>
      </c>
    </row>
    <row r="204" spans="2:13" ht="16.5">
      <c r="B204" s="63">
        <f>計算_DCF!B66</f>
        <v>9.7911250000000005E-2</v>
      </c>
      <c r="C204" s="64">
        <f>計算_DCF!C66</f>
        <v>122.28895356963856</v>
      </c>
      <c r="D204" s="64">
        <f>計算_DCF!D66</f>
        <v>125.2805412069778</v>
      </c>
      <c r="E204" s="65">
        <f>計算_DCF!E66</f>
        <v>128.72753564034389</v>
      </c>
      <c r="F204" s="64">
        <f>計算_DCF!F66</f>
        <v>132.74789498565403</v>
      </c>
      <c r="G204" s="64">
        <f>計算_DCF!G66</f>
        <v>137.50416451785742</v>
      </c>
    </row>
    <row r="205" spans="2:13" ht="16.5">
      <c r="B205" s="63">
        <f>計算_DCF!B67</f>
        <v>0.10291125000000001</v>
      </c>
      <c r="C205" s="64">
        <f>計算_DCF!C67</f>
        <v>114.25761647074822</v>
      </c>
      <c r="D205" s="64">
        <f>計算_DCF!D67</f>
        <v>116.65838007778804</v>
      </c>
      <c r="E205" s="64">
        <f>計算_DCF!E67</f>
        <v>119.39484936508322</v>
      </c>
      <c r="F205" s="64">
        <f>計算_DCF!F67</f>
        <v>122.5470670150448</v>
      </c>
      <c r="G205" s="64">
        <f>計算_DCF!G67</f>
        <v>126.22271893395175</v>
      </c>
    </row>
    <row r="206" spans="2:13" ht="16.5">
      <c r="B206" s="66">
        <f>計算_DCF!B68</f>
        <v>0.10791125</v>
      </c>
      <c r="C206" s="67">
        <f>計算_DCF!C68</f>
        <v>107.18808650755838</v>
      </c>
      <c r="D206" s="67">
        <f>計算_DCF!D68</f>
        <v>109.12942463232345</v>
      </c>
      <c r="E206" s="67">
        <f>計算_DCF!E68</f>
        <v>111.3211688942194</v>
      </c>
      <c r="F206" s="67">
        <f>計算_DCF!F68</f>
        <v>113.81862812730489</v>
      </c>
      <c r="G206" s="67">
        <f>計算_DCF!G68</f>
        <v>116.69469429554252</v>
      </c>
    </row>
    <row r="207" spans="2:13" ht="17.100000000000001" customHeight="1">
      <c r="B207" s="141" t="s">
        <v>676</v>
      </c>
      <c r="C207" s="142"/>
      <c r="D207" s="142"/>
      <c r="E207" s="142"/>
      <c r="F207" s="142"/>
      <c r="G207" s="142"/>
      <c r="H207" s="142"/>
      <c r="I207" s="142"/>
      <c r="J207" s="142"/>
      <c r="K207" s="142"/>
      <c r="L207" s="142"/>
      <c r="M207" s="142"/>
    </row>
    <row r="209" spans="2:13" ht="16.5">
      <c r="B209" s="22" t="s">
        <v>677</v>
      </c>
    </row>
    <row r="210" spans="2:13" ht="16.5">
      <c r="B210" s="12" t="s">
        <v>678</v>
      </c>
      <c r="C210" s="68">
        <f>計算_DCF!C73</f>
        <v>0.246099196923425</v>
      </c>
      <c r="D210" s="68">
        <f>計算_DCF!D73</f>
        <v>0.25609919692342498</v>
      </c>
      <c r="E210" s="68">
        <f>計算_DCF!E73</f>
        <v>0.26609919692342499</v>
      </c>
      <c r="F210" s="68">
        <f>計算_DCF!F73</f>
        <v>0.27609919692342499</v>
      </c>
      <c r="G210" s="68">
        <f>計算_DCF!G73</f>
        <v>0.286099196923425</v>
      </c>
    </row>
    <row r="211" spans="2:13" ht="16.5">
      <c r="B211" s="69">
        <f>計算_DCF!B74</f>
        <v>0.40299999999999991</v>
      </c>
      <c r="C211" s="64">
        <f>計算_DCF!C74</f>
        <v>104.56728920900606</v>
      </c>
      <c r="D211" s="64">
        <f>計算_DCF!D74</f>
        <v>113.10603928834678</v>
      </c>
      <c r="E211" s="64">
        <f>計算_DCF!E74</f>
        <v>122.35304758119635</v>
      </c>
      <c r="F211" s="64">
        <f>計算_DCF!F74</f>
        <v>132.363662273389</v>
      </c>
      <c r="G211" s="64">
        <f>計算_DCF!G74</f>
        <v>143.19708434910527</v>
      </c>
    </row>
    <row r="212" spans="2:13" ht="16.5">
      <c r="B212" s="69">
        <f>計算_DCF!B75</f>
        <v>0.41299999999999992</v>
      </c>
      <c r="C212" s="64">
        <f>計算_DCF!C75</f>
        <v>107.30801943771333</v>
      </c>
      <c r="D212" s="64">
        <f>計算_DCF!D75</f>
        <v>116.06117150891176</v>
      </c>
      <c r="E212" s="64">
        <f>計算_DCF!E75</f>
        <v>125.5402916107701</v>
      </c>
      <c r="F212" s="64">
        <f>計算_DCF!F75</f>
        <v>135.80210904845325</v>
      </c>
      <c r="G212" s="64">
        <f>計算_DCF!G75</f>
        <v>146.90730194859049</v>
      </c>
    </row>
    <row r="213" spans="2:13" ht="16.5">
      <c r="B213" s="69">
        <f>計算_DCF!B76</f>
        <v>0.42299999999999993</v>
      </c>
      <c r="C213" s="64">
        <f>計算_DCF!C76</f>
        <v>110.0487496664206</v>
      </c>
      <c r="D213" s="64">
        <f>計算_DCF!D76</f>
        <v>119.01630372947672</v>
      </c>
      <c r="E213" s="65">
        <f>計算_DCF!E76</f>
        <v>128.72753564034389</v>
      </c>
      <c r="F213" s="64">
        <f>計算_DCF!F76</f>
        <v>139.2405558235175</v>
      </c>
      <c r="G213" s="64">
        <f>計算_DCF!G76</f>
        <v>150.61751954807571</v>
      </c>
    </row>
    <row r="214" spans="2:13" ht="16.5">
      <c r="B214" s="69">
        <f>計算_DCF!B77</f>
        <v>0.43299999999999994</v>
      </c>
      <c r="C214" s="64">
        <f>計算_DCF!C77</f>
        <v>112.78947989512787</v>
      </c>
      <c r="D214" s="64">
        <f>計算_DCF!D77</f>
        <v>121.97143595004169</v>
      </c>
      <c r="E214" s="64">
        <f>計算_DCF!E77</f>
        <v>131.91477966991766</v>
      </c>
      <c r="F214" s="64">
        <f>計算_DCF!F77</f>
        <v>142.67900259858172</v>
      </c>
      <c r="G214" s="64">
        <f>計算_DCF!G77</f>
        <v>154.3277371475609</v>
      </c>
    </row>
    <row r="215" spans="2:13" ht="16.5">
      <c r="B215" s="70">
        <f>計算_DCF!B78</f>
        <v>0.44299999999999995</v>
      </c>
      <c r="C215" s="67">
        <f>計算_DCF!C78</f>
        <v>115.5302101238351</v>
      </c>
      <c r="D215" s="67">
        <f>計算_DCF!D78</f>
        <v>124.92656817060667</v>
      </c>
      <c r="E215" s="67">
        <f>計算_DCF!E78</f>
        <v>135.10202369949147</v>
      </c>
      <c r="F215" s="67">
        <f>計算_DCF!F78</f>
        <v>146.117449373646</v>
      </c>
      <c r="G215" s="67">
        <f>計算_DCF!G78</f>
        <v>158.03795474704606</v>
      </c>
    </row>
    <row r="216" spans="2:13" ht="17.100000000000001" customHeight="1">
      <c r="B216" s="141" t="s">
        <v>679</v>
      </c>
      <c r="C216" s="142"/>
      <c r="D216" s="142"/>
      <c r="E216" s="142"/>
      <c r="F216" s="142"/>
      <c r="G216" s="142"/>
      <c r="H216" s="142"/>
      <c r="I216" s="142"/>
      <c r="J216" s="142"/>
      <c r="K216" s="142"/>
      <c r="L216" s="142"/>
      <c r="M216" s="142"/>
    </row>
  </sheetData>
  <mergeCells count="136">
    <mergeCell ref="B16:M16"/>
    <mergeCell ref="L56:M56"/>
    <mergeCell ref="C122:M122"/>
    <mergeCell ref="B57:K57"/>
    <mergeCell ref="B25:M25"/>
    <mergeCell ref="G137:M137"/>
    <mergeCell ref="H44:M44"/>
    <mergeCell ref="C32:M32"/>
    <mergeCell ref="B27:M27"/>
    <mergeCell ref="C78:M78"/>
    <mergeCell ref="B22:M22"/>
    <mergeCell ref="B69:K69"/>
    <mergeCell ref="B103:K103"/>
    <mergeCell ref="B112:K112"/>
    <mergeCell ref="L77:M77"/>
    <mergeCell ref="L86:M86"/>
    <mergeCell ref="B117:M117"/>
    <mergeCell ref="L95:M95"/>
    <mergeCell ref="L67:M67"/>
    <mergeCell ref="C33:M33"/>
    <mergeCell ref="B55:K55"/>
    <mergeCell ref="B95:K95"/>
    <mergeCell ref="B104:K104"/>
    <mergeCell ref="C35:M35"/>
    <mergeCell ref="L55:M55"/>
    <mergeCell ref="B24:M24"/>
    <mergeCell ref="B64:M64"/>
    <mergeCell ref="C43:G43"/>
    <mergeCell ref="L104:M104"/>
    <mergeCell ref="B58:K58"/>
    <mergeCell ref="B26:M26"/>
    <mergeCell ref="C61:M61"/>
    <mergeCell ref="B21:M21"/>
    <mergeCell ref="B152:M152"/>
    <mergeCell ref="B167:M167"/>
    <mergeCell ref="C49:G49"/>
    <mergeCell ref="C34:M34"/>
    <mergeCell ref="H49:M49"/>
    <mergeCell ref="G135:M135"/>
    <mergeCell ref="B23:M23"/>
    <mergeCell ref="L103:M103"/>
    <mergeCell ref="B145:M145"/>
    <mergeCell ref="L112:M112"/>
    <mergeCell ref="B73:M73"/>
    <mergeCell ref="G134:M134"/>
    <mergeCell ref="C97:M97"/>
    <mergeCell ref="B113:K113"/>
    <mergeCell ref="C31:M31"/>
    <mergeCell ref="H48:M48"/>
    <mergeCell ref="B66:K66"/>
    <mergeCell ref="C114:M114"/>
    <mergeCell ref="B93:K93"/>
    <mergeCell ref="L58:M58"/>
    <mergeCell ref="L76:M76"/>
    <mergeCell ref="B77:K77"/>
    <mergeCell ref="C60:M60"/>
    <mergeCell ref="B207:M207"/>
    <mergeCell ref="G126:M126"/>
    <mergeCell ref="L85:M85"/>
    <mergeCell ref="B216:M216"/>
    <mergeCell ref="B198:M198"/>
    <mergeCell ref="L94:M94"/>
    <mergeCell ref="L69:M69"/>
    <mergeCell ref="L84:M84"/>
    <mergeCell ref="C48:G48"/>
    <mergeCell ref="B109:M109"/>
    <mergeCell ref="L59:M59"/>
    <mergeCell ref="L111:M111"/>
    <mergeCell ref="G133:M133"/>
    <mergeCell ref="F172:M172"/>
    <mergeCell ref="F173:M173"/>
    <mergeCell ref="B86:K86"/>
    <mergeCell ref="L113:M113"/>
    <mergeCell ref="C70:M70"/>
    <mergeCell ref="B91:M91"/>
    <mergeCell ref="B67:K67"/>
    <mergeCell ref="B100:M100"/>
    <mergeCell ref="C106:M106"/>
    <mergeCell ref="B119:K119"/>
    <mergeCell ref="G136:M136"/>
    <mergeCell ref="B176:M176"/>
    <mergeCell ref="C96:M96"/>
    <mergeCell ref="L120:M120"/>
    <mergeCell ref="H46:M46"/>
    <mergeCell ref="C42:G42"/>
    <mergeCell ref="B68:K68"/>
    <mergeCell ref="F174:M174"/>
    <mergeCell ref="G129:M129"/>
    <mergeCell ref="B17:M17"/>
    <mergeCell ref="L57:M57"/>
    <mergeCell ref="G138:M138"/>
    <mergeCell ref="B82:M82"/>
    <mergeCell ref="B76:K76"/>
    <mergeCell ref="H45:M45"/>
    <mergeCell ref="B85:K85"/>
    <mergeCell ref="L121:M121"/>
    <mergeCell ref="G131:M131"/>
    <mergeCell ref="B19:M19"/>
    <mergeCell ref="L93:M93"/>
    <mergeCell ref="B146:M146"/>
    <mergeCell ref="B75:K75"/>
    <mergeCell ref="H47:M47"/>
    <mergeCell ref="G130:M130"/>
    <mergeCell ref="B59:K59"/>
    <mergeCell ref="B28:M28"/>
    <mergeCell ref="L68:M68"/>
    <mergeCell ref="C47:G47"/>
    <mergeCell ref="B168:M168"/>
    <mergeCell ref="C44:G44"/>
    <mergeCell ref="L102:M102"/>
    <mergeCell ref="B121:K121"/>
    <mergeCell ref="C105:M105"/>
    <mergeCell ref="G132:M132"/>
    <mergeCell ref="H42:M42"/>
    <mergeCell ref="B56:K56"/>
    <mergeCell ref="C36:M36"/>
    <mergeCell ref="B111:K111"/>
    <mergeCell ref="B144:M144"/>
    <mergeCell ref="B120:K120"/>
    <mergeCell ref="G127:M127"/>
    <mergeCell ref="C37:M37"/>
    <mergeCell ref="B102:K102"/>
    <mergeCell ref="C46:G46"/>
    <mergeCell ref="H43:M43"/>
    <mergeCell ref="C38:M38"/>
    <mergeCell ref="L119:M119"/>
    <mergeCell ref="G128:M128"/>
    <mergeCell ref="C87:M87"/>
    <mergeCell ref="B84:K84"/>
    <mergeCell ref="L66:M66"/>
    <mergeCell ref="C45:G45"/>
    <mergeCell ref="L75:M75"/>
    <mergeCell ref="B53:M53"/>
    <mergeCell ref="C79:M79"/>
    <mergeCell ref="B94:K94"/>
    <mergeCell ref="C88:M88"/>
  </mergeCells>
  <phoneticPr fontId="12"/>
  <dataValidations count="1">
    <dataValidation type="list" sqref="C4" xr:uid="{00000000-0002-0000-0200-000000000000}">
      <formula1>"1,2,3"</formula1>
    </dataValidation>
  </dataValidations>
  <printOptions horizontalCentered="1"/>
  <pageMargins left="0.4" right="0.4" top="0.6" bottom="0.6" header="0.25" footer="0.25"/>
  <pageSetup paperSize="9" fitToHeight="0" orientation="portrait"/>
  <headerFooter>
    <oddHeader>&amp;L&amp;9 TXN Texas Instruments&amp;R&amp;9 &amp;A</oddHeader>
    <oddFooter>&amp;C&amp;9 &amp;P / &amp;N</oddFooter>
    <evenHeader>&amp;L&amp;9 TXN Texas Instruments&amp;R&amp;9 &amp;A</evenHeader>
    <evenFooter>&amp;C&amp;9 &amp;P / &amp;N</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5"/>
  <sheetViews>
    <sheetView workbookViewId="0">
      <pane xSplit="3" ySplit="5" topLeftCell="D6" activePane="bottomRight" state="frozen"/>
      <selection pane="topRight"/>
      <selection pane="bottomLeft"/>
      <selection pane="bottomRight"/>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680</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690</v>
      </c>
      <c r="D6" s="75">
        <f>IF(AND(ISNUMBER('3_PL'!D6)),'3_PL'!D6,"n.a.")</f>
        <v>18344</v>
      </c>
      <c r="E6" s="75">
        <f>IF(AND(ISNUMBER('3_PL'!E6)),'3_PL'!E6,"n.a.")</f>
        <v>20028</v>
      </c>
      <c r="F6" s="75">
        <f>IF(AND(ISNUMBER('3_PL'!F6)),'3_PL'!F6,"n.a.")</f>
        <v>17519</v>
      </c>
      <c r="G6" s="75">
        <f>IF(AND(ISNUMBER('3_PL'!G6)),'3_PL'!G6,"n.a.")</f>
        <v>15641</v>
      </c>
      <c r="H6" s="75">
        <f>IF(AND(ISNUMBER('3_PL'!H6)),'3_PL'!H6,"n.a.")</f>
        <v>17682</v>
      </c>
      <c r="I6" s="75">
        <f>'3_Forecast'!I8</f>
        <v>22387.166000000001</v>
      </c>
      <c r="J6" s="75">
        <f>'3_Forecast'!J8</f>
        <v>23954.267619999999</v>
      </c>
      <c r="K6" s="75">
        <f>'3_Forecast'!K8</f>
        <v>24912.438324800005</v>
      </c>
    </row>
    <row r="7" spans="1:11" ht="21.95" customHeight="1">
      <c r="A7" s="71"/>
      <c r="B7" s="71"/>
      <c r="C7" s="71" t="s">
        <v>691</v>
      </c>
      <c r="D7" s="75">
        <f>IF(AND(ISNUMBER('3_PL'!D12)),'3_PL'!D12,"n.a.")</f>
        <v>8960</v>
      </c>
      <c r="E7" s="75">
        <f>IF(AND(ISNUMBER('3_PL'!E12)),'3_PL'!E12,"n.a.")</f>
        <v>10140</v>
      </c>
      <c r="F7" s="75">
        <f>IF(AND(ISNUMBER('3_PL'!F12)),'3_PL'!F12,"n.a.")</f>
        <v>7331</v>
      </c>
      <c r="G7" s="75">
        <f>IF(AND(ISNUMBER('3_PL'!G12)),'3_PL'!G12,"n.a.")</f>
        <v>5465</v>
      </c>
      <c r="H7" s="75">
        <f>IF(AND(ISNUMBER('3_PL'!H12)),'3_PL'!H12,"n.a.")</f>
        <v>6023</v>
      </c>
      <c r="I7" s="75">
        <f>'3_Forecast'!I14</f>
        <v>9850.35304</v>
      </c>
      <c r="J7" s="75">
        <f>'3_Forecast'!J14</f>
        <v>10923.146034719999</v>
      </c>
      <c r="K7" s="75">
        <f>'3_Forecast'!K14</f>
        <v>10537.961411390401</v>
      </c>
    </row>
    <row r="8" spans="1:11" ht="21.95" customHeight="1">
      <c r="A8" s="71"/>
      <c r="B8" s="71"/>
      <c r="C8" s="71" t="s">
        <v>692</v>
      </c>
      <c r="D8" s="75">
        <f>IF(AND(ISNUMBER('3_PL'!D17)),'3_PL'!D17,"n.a.")</f>
        <v>7769</v>
      </c>
      <c r="E8" s="75">
        <f>IF(AND(ISNUMBER('3_PL'!E17)),'3_PL'!E17,"n.a.")</f>
        <v>8749</v>
      </c>
      <c r="F8" s="75">
        <f>IF(AND(ISNUMBER('3_PL'!F17)),'3_PL'!F17,"n.a.")</f>
        <v>6510</v>
      </c>
      <c r="G8" s="75">
        <f>IF(AND(ISNUMBER('3_PL'!G17)),'3_PL'!G17,"n.a.")</f>
        <v>4799</v>
      </c>
      <c r="H8" s="75">
        <f>IF(AND(ISNUMBER('3_PL'!H17)),'3_PL'!H17,"n.a.")</f>
        <v>5001</v>
      </c>
      <c r="I8" s="75">
        <f>'3_Forecast'!I21</f>
        <v>8392.8706751999998</v>
      </c>
      <c r="J8" s="75">
        <f>'3_Forecast'!J21</f>
        <v>9177.776320032799</v>
      </c>
      <c r="K8" s="75">
        <f>'3_Forecast'!K21</f>
        <v>8844.591620852696</v>
      </c>
    </row>
    <row r="9" spans="1:11" ht="21.95" customHeight="1">
      <c r="A9" s="71"/>
      <c r="B9" s="71"/>
      <c r="C9" s="71" t="s">
        <v>693</v>
      </c>
      <c r="D9" s="75">
        <f>IF(AND(ISNUMBER('3_BS'!D12)),'3_BS'!D12,"n.a.")</f>
        <v>24676</v>
      </c>
      <c r="E9" s="75">
        <f>IF(AND(ISNUMBER('3_BS'!E12)),'3_BS'!E12,"n.a.")</f>
        <v>27207</v>
      </c>
      <c r="F9" s="75">
        <f>IF(AND(ISNUMBER('3_BS'!F12)),'3_BS'!F12,"n.a.")</f>
        <v>32348</v>
      </c>
      <c r="G9" s="75">
        <f>IF(AND(ISNUMBER('3_BS'!G12)),'3_BS'!G12,"n.a.")</f>
        <v>35509</v>
      </c>
      <c r="H9" s="75">
        <f>IF(AND(ISNUMBER('3_BS'!H12)),'3_BS'!H12,"n.a.")</f>
        <v>34585</v>
      </c>
      <c r="I9" s="75">
        <f>'3_Forecast'!I56</f>
        <v>38069.216911346855</v>
      </c>
      <c r="J9" s="75">
        <f>'3_Forecast'!J56</f>
        <v>42283.406139681596</v>
      </c>
      <c r="K9" s="75">
        <f>'3_Forecast'!K56</f>
        <v>46223.554741007531</v>
      </c>
    </row>
    <row r="10" spans="1:11" ht="21.95" customHeight="1">
      <c r="A10" s="71"/>
      <c r="B10" s="71"/>
      <c r="C10" s="71" t="s">
        <v>694</v>
      </c>
      <c r="D10" s="75">
        <f>IF(AND(ISNUMBER('3_BS'!D16)),'3_BS'!D16,"n.a.")</f>
        <v>13333</v>
      </c>
      <c r="E10" s="75">
        <f>IF(AND(ISNUMBER('3_BS'!E16)),'3_BS'!E16,"n.a.")</f>
        <v>14577</v>
      </c>
      <c r="F10" s="75">
        <f>IF(AND(ISNUMBER('3_BS'!F16)),'3_BS'!F16,"n.a.")</f>
        <v>16897</v>
      </c>
      <c r="G10" s="75">
        <f>IF(AND(ISNUMBER('3_BS'!G16)),'3_BS'!G16,"n.a.")</f>
        <v>16903</v>
      </c>
      <c r="H10" s="75">
        <f>IF(AND(ISNUMBER('3_BS'!H16)),'3_BS'!H16,"n.a.")</f>
        <v>16273</v>
      </c>
      <c r="I10" s="75">
        <f>'3_Forecast'!I60</f>
        <v>19666.8706752</v>
      </c>
      <c r="J10" s="75">
        <f>'3_Forecast'!J60</f>
        <v>23845.646995232797</v>
      </c>
      <c r="K10" s="75">
        <f>'3_Forecast'!K60</f>
        <v>27691.238616085495</v>
      </c>
    </row>
    <row r="11" spans="1:11" ht="21.95" customHeight="1">
      <c r="A11" s="71"/>
      <c r="B11" s="71"/>
      <c r="C11" s="71" t="s">
        <v>695</v>
      </c>
      <c r="D11" s="75">
        <f>IF(AND(ISNUMBER('3_CF'!D6)),'3_CF'!D6,"n.a.")</f>
        <v>8756</v>
      </c>
      <c r="E11" s="75">
        <f>IF(AND(ISNUMBER('3_CF'!E6)),'3_CF'!E6,"n.a.")</f>
        <v>8720</v>
      </c>
      <c r="F11" s="75">
        <f>IF(AND(ISNUMBER('3_CF'!F6)),'3_CF'!F6,"n.a.")</f>
        <v>6420</v>
      </c>
      <c r="G11" s="75">
        <f>IF(AND(ISNUMBER('3_CF'!G6)),'3_CF'!G6,"n.a.")</f>
        <v>6318</v>
      </c>
      <c r="H11" s="75">
        <f>IF(AND(ISNUMBER('3_CF'!H6)),'3_CF'!H6,"n.a.")</f>
        <v>7153</v>
      </c>
      <c r="I11" s="75">
        <f>'3_Forecast'!I37</f>
        <v>10102.426883676588</v>
      </c>
      <c r="J11" s="75">
        <f>'3_Forecast'!J37</f>
        <v>10970.419120618859</v>
      </c>
      <c r="K11" s="75">
        <f>'3_Forecast'!K37</f>
        <v>10488.635815494552</v>
      </c>
    </row>
    <row r="12" spans="1:11" ht="21.95" customHeight="1">
      <c r="A12" s="71"/>
      <c r="B12" s="71"/>
      <c r="C12" s="71" t="s">
        <v>696</v>
      </c>
      <c r="D12" s="75">
        <f>IF(AND(ISNUMBER('3_CF'!D10)),'3_CF'!D10,"n.a.")</f>
        <v>-4095</v>
      </c>
      <c r="E12" s="75">
        <f>IF(AND(ISNUMBER('3_CF'!E10)),'3_CF'!E10,"n.a.")</f>
        <v>-3583</v>
      </c>
      <c r="F12" s="75">
        <f>IF(AND(ISNUMBER('3_CF'!F10)),'3_CF'!F10,"n.a.")</f>
        <v>-4362</v>
      </c>
      <c r="G12" s="75">
        <f>IF(AND(ISNUMBER('3_CF'!G10)),'3_CF'!G10,"n.a.")</f>
        <v>-3202</v>
      </c>
      <c r="H12" s="75">
        <f>IF(AND(ISNUMBER('3_CF'!H10)),'3_CF'!H10,"n.a.")</f>
        <v>-1439</v>
      </c>
      <c r="I12" s="75">
        <f>'3_Forecast'!I38</f>
        <v>-2798.3957500000001</v>
      </c>
      <c r="J12" s="75">
        <f>'3_Forecast'!J38</f>
        <v>-2395.4267620000001</v>
      </c>
      <c r="K12" s="75">
        <f>'3_Forecast'!K38</f>
        <v>-2242.1194492320005</v>
      </c>
    </row>
    <row r="13" spans="1:11" ht="21.95" customHeight="1">
      <c r="A13" s="71"/>
      <c r="B13" s="71"/>
      <c r="C13" s="71" t="s">
        <v>697</v>
      </c>
      <c r="D13" s="75">
        <f>IF(AND(ISNUMBER('3_CF'!D12)),'3_CF'!D12,"n.a.")</f>
        <v>-3137</v>
      </c>
      <c r="E13" s="75">
        <f>IF(AND(ISNUMBER('3_CF'!E12)),'3_CF'!E12,"n.a.")</f>
        <v>-6718</v>
      </c>
      <c r="F13" s="75">
        <f>IF(AND(ISNUMBER('3_CF'!F12)),'3_CF'!F12,"n.a.")</f>
        <v>-2144</v>
      </c>
      <c r="G13" s="75">
        <f>IF(AND(ISNUMBER('3_CF'!G12)),'3_CF'!G12,"n.a.")</f>
        <v>-2880</v>
      </c>
      <c r="H13" s="75">
        <f>IF(AND(ISNUMBER('3_CF'!H12)),'3_CF'!H12,"n.a.")</f>
        <v>-5689</v>
      </c>
      <c r="I13" s="75">
        <f>'3_Forecast'!I45</f>
        <v>-4999</v>
      </c>
      <c r="J13" s="75">
        <f>'3_Forecast'!J45</f>
        <v>-4999</v>
      </c>
      <c r="K13" s="75">
        <f>'3_Forecast'!K45</f>
        <v>-4999</v>
      </c>
    </row>
    <row r="14" spans="1:11" ht="21.95" customHeight="1">
      <c r="A14" s="71"/>
      <c r="B14" s="71"/>
      <c r="C14" s="71" t="s">
        <v>698</v>
      </c>
      <c r="D14" s="75">
        <f>IF(AND(ISNUMBER('3_CF'!D16)),'3_CF'!D16,"n.a.")</f>
        <v>4631</v>
      </c>
      <c r="E14" s="75">
        <f>IF(AND(ISNUMBER('3_CF'!E16)),'3_CF'!E16,"n.a.")</f>
        <v>3050</v>
      </c>
      <c r="F14" s="75">
        <f>IF(AND(ISNUMBER('3_CF'!F16)),'3_CF'!F16,"n.a.")</f>
        <v>2964</v>
      </c>
      <c r="G14" s="75">
        <f>IF(AND(ISNUMBER('3_CF'!G16)),'3_CF'!G16,"n.a.")</f>
        <v>3200</v>
      </c>
      <c r="H14" s="75">
        <f>IF(AND(ISNUMBER('3_CF'!H16)),'3_CF'!H16,"n.a.")</f>
        <v>3225</v>
      </c>
      <c r="I14" s="75">
        <f>'3_Forecast'!I48</f>
        <v>5530.0311336765881</v>
      </c>
      <c r="J14" s="75">
        <f>'3_Forecast'!J48</f>
        <v>9106.0234922954478</v>
      </c>
      <c r="K14" s="75">
        <f>'3_Forecast'!K48</f>
        <v>12353.539858557999</v>
      </c>
    </row>
    <row r="15" spans="1:11" ht="21.95" customHeight="1">
      <c r="A15" s="71"/>
      <c r="B15" s="71"/>
      <c r="C15" s="71"/>
      <c r="D15" s="75"/>
      <c r="E15" s="75"/>
      <c r="F15" s="75"/>
      <c r="G15" s="75"/>
      <c r="H15" s="75"/>
      <c r="I15" s="75"/>
      <c r="J15" s="75"/>
      <c r="K15" s="75"/>
    </row>
    <row r="16" spans="1:11" ht="21.95" customHeight="1">
      <c r="A16" s="71"/>
      <c r="B16" s="71"/>
      <c r="C16" s="71"/>
      <c r="D16" s="75"/>
      <c r="E16" s="75"/>
      <c r="F16" s="75"/>
      <c r="G16" s="75"/>
      <c r="H16" s="75"/>
      <c r="I16" s="75"/>
      <c r="J16" s="75"/>
      <c r="K16" s="75"/>
    </row>
    <row r="17" spans="1:11" ht="21.95" customHeight="1">
      <c r="A17" s="71"/>
      <c r="B17" s="71"/>
      <c r="C17" s="71" t="s">
        <v>151</v>
      </c>
      <c r="D17" s="76">
        <f>IF(AND(ISNUMBER('3_PL'!D12),ISNUMBER('3_PL'!D6),'3_PL'!D6&lt;&gt;0),'3_PL'!D12/'3_PL'!D6,"n.a.")</f>
        <v>0.48844308765808986</v>
      </c>
      <c r="E17" s="76">
        <f>IF(AND(ISNUMBER('3_PL'!E12),ISNUMBER('3_PL'!E6),'3_PL'!E6&lt;&gt;0),'3_PL'!E12/'3_PL'!E6,"n.a.")</f>
        <v>0.50629119233073694</v>
      </c>
      <c r="F17" s="76">
        <f>IF(AND(ISNUMBER('3_PL'!F12),ISNUMBER('3_PL'!F6),'3_PL'!F6&lt;&gt;0),'3_PL'!F12/'3_PL'!F6,"n.a.")</f>
        <v>0.41845995776014611</v>
      </c>
      <c r="G17" s="76">
        <f>IF(AND(ISNUMBER('3_PL'!G12),ISNUMBER('3_PL'!G6),'3_PL'!G6&lt;&gt;0),'3_PL'!G12/'3_PL'!G6,"n.a.")</f>
        <v>0.34940221213477402</v>
      </c>
      <c r="H17" s="76">
        <f>IF(AND(ISNUMBER('3_PL'!H12),ISNUMBER('3_PL'!H6),'3_PL'!H6&lt;&gt;0),'3_PL'!H12/'3_PL'!H6,"n.a.")</f>
        <v>0.34062888813482639</v>
      </c>
      <c r="I17" s="76">
        <f>IF(AND(ISNUMBER('3_Forecast'!I14),ISNUMBER('3_Forecast'!I8),'3_Forecast'!I8&lt;&gt;0),'3_Forecast'!I14/'3_Forecast'!I8,"n.a.")</f>
        <v>0.44</v>
      </c>
      <c r="J17" s="76">
        <f>IF(AND(ISNUMBER('3_Forecast'!J14),ISNUMBER('3_Forecast'!J8),'3_Forecast'!J8&lt;&gt;0),'3_Forecast'!J14/'3_Forecast'!J8,"n.a.")</f>
        <v>0.45599999999999996</v>
      </c>
      <c r="K17" s="76">
        <f>IF(AND(ISNUMBER('3_Forecast'!K14),ISNUMBER('3_Forecast'!K8),'3_Forecast'!K8&lt;&gt;0),'3_Forecast'!K14/'3_Forecast'!K8,"n.a.")</f>
        <v>0.42299999999999993</v>
      </c>
    </row>
    <row r="18" spans="1:11" ht="21.95" customHeight="1">
      <c r="A18" s="71"/>
      <c r="B18" s="71"/>
      <c r="C18" s="71" t="s">
        <v>699</v>
      </c>
      <c r="D18" s="76">
        <f>IF(AND(ISNUMBER('3_PL'!D17),ISNUMBER('3_PL'!D6),'3_PL'!D6&lt;&gt;0),'3_PL'!D17/'3_PL'!D6,"n.a.")</f>
        <v>0.42351722634103794</v>
      </c>
      <c r="E18" s="76">
        <f>IF(AND(ISNUMBER('3_PL'!E17),ISNUMBER('3_PL'!E6),'3_PL'!E6&lt;&gt;0),'3_PL'!E17/'3_PL'!E6,"n.a.")</f>
        <v>0.43683842620331537</v>
      </c>
      <c r="F18" s="76">
        <f>IF(AND(ISNUMBER('3_PL'!F17),ISNUMBER('3_PL'!F6),'3_PL'!F6&lt;&gt;0),'3_PL'!F17/'3_PL'!F6,"n.a.")</f>
        <v>0.37159655231462985</v>
      </c>
      <c r="G18" s="76">
        <f>IF(AND(ISNUMBER('3_PL'!G17),ISNUMBER('3_PL'!G6),'3_PL'!G6&lt;&gt;0),'3_PL'!G17/'3_PL'!G6,"n.a.")</f>
        <v>0.30682181446199092</v>
      </c>
      <c r="H18" s="76">
        <f>IF(AND(ISNUMBER('3_PL'!H17),ISNUMBER('3_PL'!H6),'3_PL'!H6&lt;&gt;0),'3_PL'!H17/'3_PL'!H6,"n.a.")</f>
        <v>0.2828299966067187</v>
      </c>
      <c r="I18" s="76">
        <f>IF(AND(ISNUMBER('3_Forecast'!I21),ISNUMBER('3_Forecast'!I8),'3_Forecast'!I8&lt;&gt;0),'3_Forecast'!I21/'3_Forecast'!I8,"n.a.")</f>
        <v>0.37489652219490399</v>
      </c>
      <c r="J18" s="76">
        <f>IF(AND(ISNUMBER('3_Forecast'!J21),ISNUMBER('3_Forecast'!J8),'3_Forecast'!J8&lt;&gt;0),'3_Forecast'!J21/'3_Forecast'!J8,"n.a.")</f>
        <v>0.38313742109026333</v>
      </c>
      <c r="K18" s="76">
        <f>IF(AND(ISNUMBER('3_Forecast'!K21),ISNUMBER('3_Forecast'!K8),'3_Forecast'!K8&lt;&gt;0),'3_Forecast'!K21/'3_Forecast'!K8,"n.a.")</f>
        <v>0.35502713566371469</v>
      </c>
    </row>
    <row r="19" spans="1:11" ht="21.95" customHeight="1">
      <c r="A19" s="71"/>
      <c r="B19" s="71"/>
      <c r="C19" s="71" t="s">
        <v>700</v>
      </c>
      <c r="D19" s="76">
        <f>IF(AND(ISNUMBER('3_CF'!D6),ISNUMBER('3_PL'!D6),'3_PL'!D6&lt;&gt;0),'3_CF'!D6/'3_PL'!D6,"n.a.")</f>
        <v>0.47732228521587439</v>
      </c>
      <c r="E19" s="76">
        <f>IF(AND(ISNUMBER('3_CF'!E6),ISNUMBER('3_PL'!E6),'3_PL'!E6&lt;&gt;0),'3_CF'!E6/'3_PL'!E6,"n.a.")</f>
        <v>0.43539045336528859</v>
      </c>
      <c r="F19" s="76">
        <f>IF(AND(ISNUMBER('3_CF'!F6),ISNUMBER('3_PL'!F6),'3_PL'!F6&lt;&gt;0),'3_CF'!F6/'3_PL'!F6,"n.a.")</f>
        <v>0.36645927278954277</v>
      </c>
      <c r="G19" s="76">
        <f>IF(AND(ISNUMBER('3_CF'!G6),ISNUMBER('3_PL'!G6),'3_PL'!G6&lt;&gt;0),'3_CF'!G6/'3_PL'!G6,"n.a.")</f>
        <v>0.40393836711207726</v>
      </c>
      <c r="H19" s="76">
        <f>IF(AND(ISNUMBER('3_CF'!H6),ISNUMBER('3_PL'!H6),'3_PL'!H6&lt;&gt;0),'3_CF'!H6/'3_PL'!H6,"n.a.")</f>
        <v>0.40453568600837009</v>
      </c>
      <c r="I19" s="76">
        <f>IF(AND(ISNUMBER('3_Forecast'!I37),ISNUMBER('3_Forecast'!I8),'3_Forecast'!I8&lt;&gt;0),'3_Forecast'!I37/'3_Forecast'!I8,"n.a.")</f>
        <v>0.45125974782500772</v>
      </c>
      <c r="J19" s="76">
        <f>IF(AND(ISNUMBER('3_Forecast'!J37),ISNUMBER('3_Forecast'!J8),'3_Forecast'!J8&lt;&gt;0),'3_Forecast'!J37/'3_Forecast'!J8,"n.a.")</f>
        <v>0.45797347239534847</v>
      </c>
      <c r="K19" s="76">
        <f>IF(AND(ISNUMBER('3_Forecast'!K37),ISNUMBER('3_Forecast'!K8),'3_Forecast'!K8&lt;&gt;0),'3_Forecast'!K37/'3_Forecast'!K8,"n.a.")</f>
        <v>0.42102004142457838</v>
      </c>
    </row>
    <row r="20" spans="1:11" ht="21.95" customHeight="1">
      <c r="A20" s="71"/>
      <c r="B20" s="71"/>
      <c r="C20" s="71" t="s">
        <v>701</v>
      </c>
      <c r="D20" s="76" t="s">
        <v>224</v>
      </c>
      <c r="E20" s="76">
        <f>IF(AND(ISNUMBER('3_PL'!E6),ISNUMBER('3_PL'!D6),'3_PL'!D6&lt;&gt;0),'3_PL'!E6/'3_PL'!D6-1,"n.a.")</f>
        <v>9.1801133885739183E-2</v>
      </c>
      <c r="F20" s="76">
        <f>IF(AND(ISNUMBER('3_PL'!F6),ISNUMBER('3_PL'!E6),'3_PL'!E6&lt;&gt;0),'3_PL'!F6/'3_PL'!E6-1,"n.a.")</f>
        <v>-0.12527461553824648</v>
      </c>
      <c r="G20" s="76">
        <f>IF(AND(ISNUMBER('3_PL'!G6),ISNUMBER('3_PL'!F6),'3_PL'!F6&lt;&gt;0),'3_PL'!G6/'3_PL'!F6-1,"n.a.")</f>
        <v>-0.10719789942348312</v>
      </c>
      <c r="H20" s="76">
        <f>IF(AND(ISNUMBER('3_PL'!H6),ISNUMBER('3_PL'!G6),'3_PL'!G6&lt;&gt;0),'3_PL'!H6/'3_PL'!G6-1,"n.a.")</f>
        <v>0.13049037785307838</v>
      </c>
      <c r="I20" s="76">
        <f>IF(AND(ISNUMBER('3_Forecast'!I8),ISNUMBER('3_Forecast'!H8),'3_Forecast'!H8&lt;&gt;0),'3_Forecast'!I8/'3_Forecast'!H8-1,"n.a.")</f>
        <v>0.26609919692342499</v>
      </c>
      <c r="J20" s="76">
        <f>IF(AND(ISNUMBER('3_Forecast'!J8),ISNUMBER('3_Forecast'!I8),'3_Forecast'!I8&lt;&gt;0),'3_Forecast'!J8/'3_Forecast'!I8-1,"n.a.")</f>
        <v>6.999999999999984E-2</v>
      </c>
      <c r="K20" s="76">
        <f>IF(AND(ISNUMBER('3_Forecast'!K8),ISNUMBER('3_Forecast'!J8),'3_Forecast'!J8&lt;&gt;0),'3_Forecast'!K8/'3_Forecast'!J8-1,"n.a.")</f>
        <v>4.0000000000000258E-2</v>
      </c>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t="s">
        <v>702</v>
      </c>
      <c r="D23" s="75"/>
      <c r="E23" s="75"/>
      <c r="F23" s="75"/>
      <c r="G23" s="75"/>
      <c r="H23" s="75"/>
      <c r="I23" s="75"/>
      <c r="J23" s="75"/>
      <c r="K23" s="75"/>
    </row>
    <row r="24" spans="1:11" ht="29.1" customHeight="1">
      <c r="A24" s="71"/>
      <c r="B24" s="71"/>
      <c r="C24" s="71" t="s">
        <v>703</v>
      </c>
      <c r="D24" s="75"/>
      <c r="E24" s="75"/>
      <c r="F24" s="75"/>
      <c r="G24" s="75"/>
      <c r="H24" s="75"/>
      <c r="I24" s="75"/>
      <c r="J24" s="75"/>
      <c r="K24" s="75"/>
    </row>
    <row r="25" spans="1:11" ht="29.1" customHeight="1">
      <c r="A25" s="71"/>
      <c r="B25" s="71"/>
      <c r="C25" s="71" t="s">
        <v>704</v>
      </c>
      <c r="D25" s="75"/>
      <c r="E25" s="75"/>
      <c r="F25" s="75"/>
      <c r="G25" s="75"/>
      <c r="H25" s="75"/>
      <c r="I25" s="75"/>
      <c r="J25" s="75"/>
      <c r="K25" s="75"/>
    </row>
    <row r="26" spans="1:11" ht="29.1" customHeight="1">
      <c r="A26" s="71"/>
      <c r="B26" s="71"/>
      <c r="C26" s="71" t="s">
        <v>705</v>
      </c>
      <c r="D26" s="75"/>
      <c r="E26" s="75"/>
      <c r="F26" s="75"/>
      <c r="G26" s="75"/>
      <c r="H26" s="75"/>
      <c r="I26" s="75"/>
      <c r="J26" s="75"/>
      <c r="K26" s="75"/>
    </row>
    <row r="27" spans="1:11" ht="29.1" customHeight="1">
      <c r="A27" s="71"/>
      <c r="B27" s="71"/>
      <c r="C27" s="71" t="s">
        <v>706</v>
      </c>
      <c r="D27" s="75"/>
      <c r="E27" s="75"/>
      <c r="F27" s="75"/>
      <c r="G27" s="75"/>
      <c r="H27" s="75"/>
      <c r="I27" s="75"/>
      <c r="J27" s="75"/>
      <c r="K27" s="75"/>
    </row>
    <row r="28" spans="1:11" ht="29.1" customHeight="1">
      <c r="A28" s="71"/>
      <c r="B28" s="71"/>
      <c r="C28" s="71" t="s">
        <v>707</v>
      </c>
      <c r="D28" s="75"/>
      <c r="E28" s="75"/>
      <c r="F28" s="75"/>
      <c r="G28" s="75"/>
      <c r="H28" s="75"/>
      <c r="I28" s="75"/>
      <c r="J28" s="75"/>
      <c r="K28" s="75"/>
    </row>
    <row r="29" spans="1:11" ht="29.1" customHeight="1">
      <c r="A29" s="71"/>
      <c r="B29" s="71"/>
      <c r="C29" s="71" t="s">
        <v>708</v>
      </c>
      <c r="D29" s="75"/>
      <c r="E29" s="75"/>
      <c r="F29" s="75"/>
      <c r="G29" s="75"/>
      <c r="H29" s="75"/>
      <c r="I29" s="75"/>
      <c r="J29" s="75"/>
      <c r="K29" s="75"/>
    </row>
    <row r="30" spans="1:11" ht="29.1" customHeight="1">
      <c r="A30" s="71"/>
      <c r="B30" s="71"/>
      <c r="C30" s="71" t="s">
        <v>709</v>
      </c>
      <c r="D30" s="75"/>
      <c r="E30" s="75"/>
      <c r="F30" s="75"/>
      <c r="G30" s="75"/>
      <c r="H30" s="75"/>
      <c r="I30" s="75"/>
      <c r="J30" s="75"/>
      <c r="K30" s="75"/>
    </row>
    <row r="31" spans="1:11" ht="29.1" customHeight="1">
      <c r="A31" s="71"/>
      <c r="B31" s="71"/>
      <c r="C31" s="71" t="s">
        <v>710</v>
      </c>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row r="41" spans="1:11" ht="21.95" customHeight="1">
      <c r="A41" s="71"/>
      <c r="B41" s="71"/>
      <c r="C41" s="71"/>
      <c r="D41" s="75"/>
      <c r="E41" s="75"/>
      <c r="F41" s="75"/>
      <c r="G41" s="75"/>
      <c r="H41" s="75"/>
      <c r="I41" s="75"/>
      <c r="J41" s="75"/>
      <c r="K41" s="75"/>
    </row>
    <row r="42" spans="1:11" ht="21.95" customHeight="1">
      <c r="A42" s="71"/>
      <c r="B42" s="71"/>
      <c r="C42" s="71"/>
      <c r="D42" s="75"/>
      <c r="E42" s="75"/>
      <c r="F42" s="75"/>
      <c r="G42" s="75"/>
      <c r="H42" s="75"/>
      <c r="I42" s="75"/>
      <c r="J42" s="75"/>
      <c r="K42" s="75"/>
    </row>
    <row r="43" spans="1:11" ht="21.95" customHeight="1">
      <c r="A43" s="71"/>
      <c r="B43" s="71"/>
      <c r="C43" s="71"/>
      <c r="D43" s="75"/>
      <c r="E43" s="75"/>
      <c r="F43" s="75"/>
      <c r="G43" s="75"/>
      <c r="H43" s="75"/>
      <c r="I43" s="75"/>
      <c r="J43" s="75"/>
      <c r="K43" s="75"/>
    </row>
    <row r="44" spans="1:11" ht="21.95" customHeight="1">
      <c r="A44" s="71"/>
      <c r="B44" s="71"/>
      <c r="C44" s="71"/>
      <c r="D44" s="75"/>
      <c r="E44" s="75"/>
      <c r="F44" s="75"/>
      <c r="G44" s="75"/>
      <c r="H44" s="75"/>
      <c r="I44" s="75"/>
      <c r="J44" s="75"/>
      <c r="K44" s="75"/>
    </row>
    <row r="45" spans="1:11" ht="21.95" customHeight="1">
      <c r="A45" s="71"/>
      <c r="B45" s="71"/>
      <c r="C45" s="71"/>
      <c r="D45" s="75"/>
      <c r="E45" s="75"/>
      <c r="F45" s="75"/>
      <c r="G45" s="75"/>
      <c r="H45" s="75"/>
      <c r="I45" s="75"/>
      <c r="J45" s="75"/>
      <c r="K45" s="75"/>
    </row>
    <row r="46" spans="1:11" ht="21.95" customHeight="1">
      <c r="A46" s="71"/>
      <c r="B46" s="71"/>
      <c r="C46" s="71"/>
      <c r="D46" s="75"/>
      <c r="E46" s="75"/>
      <c r="F46" s="75"/>
      <c r="G46" s="75"/>
      <c r="H46" s="75"/>
      <c r="I46" s="75"/>
      <c r="J46" s="75"/>
      <c r="K46" s="75"/>
    </row>
    <row r="47" spans="1:11" ht="21.95" customHeight="1">
      <c r="A47" s="71"/>
      <c r="B47" s="71"/>
      <c r="C47" s="71"/>
      <c r="D47" s="75"/>
      <c r="E47" s="75"/>
      <c r="F47" s="75"/>
      <c r="G47" s="75"/>
      <c r="H47" s="75"/>
      <c r="I47" s="75"/>
      <c r="J47" s="75"/>
      <c r="K47" s="75"/>
    </row>
    <row r="48" spans="1:11" ht="21.95" customHeight="1">
      <c r="A48" s="71"/>
      <c r="B48" s="71"/>
      <c r="C48" s="71"/>
      <c r="D48" s="75"/>
      <c r="E48" s="75"/>
      <c r="F48" s="75"/>
      <c r="G48" s="75"/>
      <c r="H48" s="75"/>
      <c r="I48" s="75"/>
      <c r="J48" s="75"/>
      <c r="K48" s="75"/>
    </row>
    <row r="49" spans="1:11" ht="21.95" customHeight="1">
      <c r="A49" s="71"/>
      <c r="B49" s="71"/>
      <c r="C49" s="71"/>
      <c r="D49" s="75"/>
      <c r="E49" s="75"/>
      <c r="F49" s="75"/>
      <c r="G49" s="75"/>
      <c r="H49" s="75"/>
      <c r="I49" s="75"/>
      <c r="J49" s="75"/>
      <c r="K49" s="75"/>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c r="D52" s="75"/>
      <c r="E52" s="75"/>
      <c r="F52" s="75"/>
      <c r="G52" s="75"/>
      <c r="H52" s="75"/>
      <c r="I52" s="75"/>
      <c r="J52" s="75"/>
      <c r="K52" s="75"/>
    </row>
    <row r="53" spans="1:11" ht="21.95" customHeight="1">
      <c r="A53" s="71"/>
      <c r="B53" s="71"/>
      <c r="C53" s="71"/>
      <c r="D53" s="75"/>
      <c r="E53" s="75"/>
      <c r="F53" s="75"/>
      <c r="G53" s="75"/>
      <c r="H53" s="75"/>
      <c r="I53" s="75"/>
      <c r="J53" s="75"/>
      <c r="K53" s="75"/>
    </row>
    <row r="54" spans="1:11" ht="21.95" customHeight="1">
      <c r="A54" s="71"/>
      <c r="B54" s="71"/>
      <c r="C54" s="71"/>
      <c r="D54" s="75"/>
      <c r="E54" s="75"/>
      <c r="F54" s="75"/>
      <c r="G54" s="75"/>
      <c r="H54" s="75"/>
      <c r="I54" s="75"/>
      <c r="J54" s="75"/>
      <c r="K54" s="75"/>
    </row>
    <row r="55" spans="1:11" ht="21.95" customHeight="1">
      <c r="A55" s="71"/>
      <c r="B55" s="71"/>
      <c r="C55" s="71"/>
      <c r="D55" s="75"/>
      <c r="E55" s="75"/>
      <c r="F55" s="75"/>
      <c r="G55" s="75"/>
      <c r="H55" s="75"/>
      <c r="I55" s="75"/>
      <c r="J55" s="75"/>
      <c r="K55" s="75"/>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55"/>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711</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690</v>
      </c>
      <c r="D6" s="75">
        <f>IF(AND(ISNUMBER(データ_財務!F6)),データ_財務!F6/1000000,"n.a.")</f>
        <v>18344</v>
      </c>
      <c r="E6" s="75">
        <f>IF(AND(ISNUMBER(データ_財務!F7)),データ_財務!F7/1000000,"n.a.")</f>
        <v>20028</v>
      </c>
      <c r="F6" s="75">
        <f>IF(AND(ISNUMBER(データ_財務!F8)),データ_財務!F8/1000000,"n.a.")</f>
        <v>17519</v>
      </c>
      <c r="G6" s="75">
        <f>IF(AND(ISNUMBER(データ_財務!F9)),データ_財務!F9/1000000,"n.a.")</f>
        <v>15641</v>
      </c>
      <c r="H6" s="75">
        <f>IF(AND(ISNUMBER(データ_財務!F10)),データ_財務!F10/1000000,"n.a.")</f>
        <v>17682</v>
      </c>
      <c r="I6" s="75">
        <f>'3_Forecast'!I8</f>
        <v>22387.166000000001</v>
      </c>
      <c r="J6" s="75">
        <f>'3_Forecast'!J8</f>
        <v>23954.267619999999</v>
      </c>
      <c r="K6" s="75">
        <f>'3_Forecast'!K8</f>
        <v>24912.438324800005</v>
      </c>
    </row>
    <row r="7" spans="1:11" ht="21.95" customHeight="1">
      <c r="A7" s="71"/>
      <c r="B7" s="71"/>
      <c r="C7" s="71" t="s">
        <v>712</v>
      </c>
      <c r="D7" s="75">
        <f>IF(AND(ISNUMBER(データ_財務!F11)),データ_財務!F11/1000000,"n.a.")</f>
        <v>5968</v>
      </c>
      <c r="E7" s="75">
        <f>IF(AND(ISNUMBER(データ_財務!F12)),データ_財務!F12/1000000,"n.a.")</f>
        <v>6257</v>
      </c>
      <c r="F7" s="75">
        <f>IF(AND(ISNUMBER(データ_財務!F13)),データ_財務!F13/1000000,"n.a.")</f>
        <v>6500</v>
      </c>
      <c r="G7" s="75">
        <f>IF(AND(ISNUMBER(データ_財務!F14)),データ_財務!F14/1000000,"n.a.")</f>
        <v>6547</v>
      </c>
      <c r="H7" s="75">
        <f>IF(AND(ISNUMBER(データ_財務!F15)),データ_財務!F15/1000000,"n.a.")</f>
        <v>7599</v>
      </c>
      <c r="I7" s="75">
        <f>'3_Forecast'!I9</f>
        <v>8507.1230800000012</v>
      </c>
      <c r="J7" s="75">
        <f>'3_Forecast'!J9</f>
        <v>8863.0790194000001</v>
      </c>
      <c r="K7" s="75">
        <f>'3_Forecast'!K9</f>
        <v>9840.4131382960022</v>
      </c>
    </row>
    <row r="8" spans="1:11" ht="21.95" customHeight="1">
      <c r="A8" s="71"/>
      <c r="B8" s="71"/>
      <c r="C8" s="71" t="s">
        <v>713</v>
      </c>
      <c r="D8" s="75">
        <f>IF(AND(ISNUMBER(データ_財務!F16)),データ_財務!F16/1000000,"n.a.")</f>
        <v>12376</v>
      </c>
      <c r="E8" s="75">
        <f>IF(AND(ISNUMBER(データ_財務!F17)),データ_財務!F17/1000000,"n.a.")</f>
        <v>13771</v>
      </c>
      <c r="F8" s="75">
        <f>IF(AND(ISNUMBER(データ_財務!F18)),データ_財務!F18/1000000,"n.a.")</f>
        <v>11019</v>
      </c>
      <c r="G8" s="75">
        <f>IF(AND(ISNUMBER(データ_財務!F19)),データ_財務!F19/1000000,"n.a.")</f>
        <v>9094</v>
      </c>
      <c r="H8" s="75">
        <f>IF(AND(ISNUMBER(データ_財務!F20)),データ_財務!F20/1000000,"n.a.")</f>
        <v>10083</v>
      </c>
      <c r="I8" s="75">
        <f>'3_Forecast'!I10</f>
        <v>13880.04292</v>
      </c>
      <c r="J8" s="75">
        <f>'3_Forecast'!J10</f>
        <v>15091.188600599999</v>
      </c>
      <c r="K8" s="75">
        <f>'3_Forecast'!K10</f>
        <v>15072.025186504003</v>
      </c>
    </row>
    <row r="9" spans="1:11" ht="21.95" customHeight="1">
      <c r="A9" s="71"/>
      <c r="B9" s="71"/>
      <c r="C9" s="71" t="s">
        <v>714</v>
      </c>
      <c r="D9" s="75">
        <f>IF(AND(ISNUMBER(データ_財務!F21)),データ_財務!F21/1000000,"n.a.")</f>
        <v>1666</v>
      </c>
      <c r="E9" s="75">
        <f>IF(AND(ISNUMBER(データ_財務!F22)),データ_財務!F22/1000000,"n.a.")</f>
        <v>1704</v>
      </c>
      <c r="F9" s="75">
        <f>IF(AND(ISNUMBER(データ_財務!F23)),データ_財務!F23/1000000,"n.a.")</f>
        <v>1825</v>
      </c>
      <c r="G9" s="75">
        <f>IF(AND(ISNUMBER(データ_財務!F24)),データ_財務!F24/1000000,"n.a.")</f>
        <v>1794</v>
      </c>
      <c r="H9" s="75">
        <f>IF(AND(ISNUMBER(データ_財務!F25)),データ_財務!F25/1000000,"n.a.")</f>
        <v>1860</v>
      </c>
      <c r="I9" s="75">
        <f>'3_Forecast'!I11</f>
        <v>1880.5219440000003</v>
      </c>
      <c r="J9" s="75">
        <f>'3_Forecast'!J11</f>
        <v>1964.2499448399999</v>
      </c>
      <c r="K9" s="75">
        <f>'3_Forecast'!K11</f>
        <v>2142.4696959328003</v>
      </c>
    </row>
    <row r="10" spans="1:11" ht="21.95" customHeight="1">
      <c r="A10" s="71"/>
      <c r="B10" s="71"/>
      <c r="C10" s="71" t="s">
        <v>715</v>
      </c>
      <c r="D10" s="75">
        <f>IF(AND(ISNUMBER(データ_財務!F26)),データ_財務!F26/1000000,"n.a.")</f>
        <v>1554</v>
      </c>
      <c r="E10" s="75">
        <f>IF(AND(ISNUMBER(データ_財務!F27)),データ_財務!F27/1000000,"n.a.")</f>
        <v>1670</v>
      </c>
      <c r="F10" s="75">
        <f>IF(AND(ISNUMBER(データ_財務!F28)),データ_財務!F28/1000000,"n.a.")</f>
        <v>1863</v>
      </c>
      <c r="G10" s="75">
        <f>IF(AND(ISNUMBER(データ_財務!F29)),データ_財務!F29/1000000,"n.a.")</f>
        <v>1959</v>
      </c>
      <c r="H10" s="75">
        <f>IF(AND(ISNUMBER(データ_財務!F30)),データ_財務!F30/1000000,"n.a.")</f>
        <v>2083</v>
      </c>
      <c r="I10" s="75">
        <f>'3_Forecast'!I12</f>
        <v>2149.1679360000003</v>
      </c>
      <c r="J10" s="75">
        <f>'3_Forecast'!J12</f>
        <v>2203.7926210399996</v>
      </c>
      <c r="K10" s="75">
        <f>'3_Forecast'!K12</f>
        <v>2391.5940791808007</v>
      </c>
    </row>
    <row r="11" spans="1:11" ht="21.95" customHeight="1">
      <c r="A11" s="71"/>
      <c r="B11" s="71"/>
      <c r="C11" s="71" t="s">
        <v>716</v>
      </c>
      <c r="D11" s="75">
        <f>IF(AND(ISNUMBER(D8),ISNUMBER(D9),ISNUMBER(D12),ISNUMBER(D10)),D8-D9-D12-D10,"n.a.")</f>
        <v>196</v>
      </c>
      <c r="E11" s="75">
        <f>IF(AND(ISNUMBER(E8),ISNUMBER(E9),ISNUMBER(E12),ISNUMBER(E10)),E8-E9-E12-E10,"n.a.")</f>
        <v>257</v>
      </c>
      <c r="F11" s="75">
        <f>IF(AND(ISNUMBER(F8),ISNUMBER(F9),ISNUMBER(F12),ISNUMBER(F10)),F8-F9-F12-F10,"n.a.")</f>
        <v>0</v>
      </c>
      <c r="G11" s="75">
        <f>IF(AND(ISNUMBER(G8),ISNUMBER(G9),ISNUMBER(G12),ISNUMBER(G10)),G8-G9-G12-G10,"n.a.")</f>
        <v>-124</v>
      </c>
      <c r="H11" s="75">
        <f>IF(AND(ISNUMBER(H8),ISNUMBER(H9),ISNUMBER(H12),ISNUMBER(H10)),H8-H9-H12-H10,"n.a.")</f>
        <v>117</v>
      </c>
      <c r="I11" s="75">
        <f>'3_Forecast'!I13</f>
        <v>0</v>
      </c>
      <c r="J11" s="75">
        <f>'3_Forecast'!J13</f>
        <v>0</v>
      </c>
      <c r="K11" s="75">
        <f>'3_Forecast'!K13</f>
        <v>0</v>
      </c>
    </row>
    <row r="12" spans="1:11" ht="21.95" customHeight="1">
      <c r="A12" s="71"/>
      <c r="B12" s="71"/>
      <c r="C12" s="71" t="s">
        <v>691</v>
      </c>
      <c r="D12" s="75">
        <f>IF(AND(ISNUMBER(データ_財務!F31)),データ_財務!F31/1000000,"n.a.")</f>
        <v>8960</v>
      </c>
      <c r="E12" s="75">
        <f>IF(AND(ISNUMBER(データ_財務!F32)),データ_財務!F32/1000000,"n.a.")</f>
        <v>10140</v>
      </c>
      <c r="F12" s="75">
        <f>IF(AND(ISNUMBER(データ_財務!F33)),データ_財務!F33/1000000,"n.a.")</f>
        <v>7331</v>
      </c>
      <c r="G12" s="75">
        <f>IF(AND(ISNUMBER(データ_財務!F34)),データ_財務!F34/1000000,"n.a.")</f>
        <v>5465</v>
      </c>
      <c r="H12" s="75">
        <f>IF(AND(ISNUMBER(データ_財務!F35)),データ_財務!F35/1000000,"n.a.")</f>
        <v>6023</v>
      </c>
      <c r="I12" s="75">
        <f>'3_Forecast'!I14</f>
        <v>9850.35304</v>
      </c>
      <c r="J12" s="75">
        <f>'3_Forecast'!J14</f>
        <v>10923.146034719999</v>
      </c>
      <c r="K12" s="75">
        <f>'3_Forecast'!K14</f>
        <v>10537.961411390401</v>
      </c>
    </row>
    <row r="13" spans="1:11" ht="21.95" customHeight="1">
      <c r="A13" s="71"/>
      <c r="B13" s="71"/>
      <c r="C13" s="71" t="s">
        <v>717</v>
      </c>
      <c r="D13" s="75">
        <f>IF(AND(ISNUMBER(データ_財務!F36)),データ_財務!F36/1000000,"n.a.")</f>
        <v>8919</v>
      </c>
      <c r="E13" s="75">
        <f>IF(AND(ISNUMBER(データ_財務!F37)),データ_財務!F37/1000000,"n.a.")</f>
        <v>10032</v>
      </c>
      <c r="F13" s="75">
        <f>IF(AND(ISNUMBER(データ_財務!F38)),データ_財務!F38/1000000,"n.a.")</f>
        <v>7418</v>
      </c>
      <c r="G13" s="75">
        <f>IF(AND(ISNUMBER(データ_財務!F39)),データ_財務!F39/1000000,"n.a.")</f>
        <v>5453</v>
      </c>
      <c r="H13" s="75">
        <f>IF(AND(ISNUMBER(データ_財務!F40)),データ_財務!F40/1000000,"n.a.")</f>
        <v>5710</v>
      </c>
      <c r="I13" s="75">
        <f>'3_Forecast'!I17</f>
        <v>9537.35304</v>
      </c>
      <c r="J13" s="75">
        <f>'3_Forecast'!J17</f>
        <v>10610.146034719999</v>
      </c>
      <c r="K13" s="75">
        <f>'3_Forecast'!K17</f>
        <v>10224.961411390401</v>
      </c>
    </row>
    <row r="14" spans="1:11" ht="21.95" customHeight="1">
      <c r="A14" s="71"/>
      <c r="B14" s="71"/>
      <c r="C14" s="71" t="s">
        <v>718</v>
      </c>
      <c r="D14" s="75">
        <f>IF(AND(ISNUMBER(データ_財務!F41)),データ_財務!F41/1000000,"n.a.")</f>
        <v>1150</v>
      </c>
      <c r="E14" s="75">
        <f>IF(AND(ISNUMBER(データ_財務!F42)),データ_財務!F42/1000000,"n.a.")</f>
        <v>1283</v>
      </c>
      <c r="F14" s="75">
        <f>IF(AND(ISNUMBER(データ_財務!F43)),データ_財務!F43/1000000,"n.a.")</f>
        <v>908</v>
      </c>
      <c r="G14" s="75">
        <f>IF(AND(ISNUMBER(データ_財務!F44)),データ_財務!F44/1000000,"n.a.")</f>
        <v>654</v>
      </c>
      <c r="H14" s="75">
        <f>IF(AND(ISNUMBER(データ_財務!F45)),データ_財務!F45/1000000,"n.a.")</f>
        <v>709</v>
      </c>
      <c r="I14" s="75">
        <f>'3_Forecast'!I18</f>
        <v>1144.4823647999999</v>
      </c>
      <c r="J14" s="75">
        <f>'3_Forecast'!J18</f>
        <v>1432.3697146872</v>
      </c>
      <c r="K14" s="75">
        <f>'3_Forecast'!K18</f>
        <v>1380.3697905377041</v>
      </c>
    </row>
    <row r="15" spans="1:11" ht="21.95" customHeight="1">
      <c r="A15" s="71"/>
      <c r="B15" s="71"/>
      <c r="C15" s="71" t="s">
        <v>719</v>
      </c>
      <c r="D15" s="75">
        <f>IF(AND(ISNUMBER(データ_財務!F151)),データ_財務!F151/1000000,"n.a.")</f>
        <v>7769</v>
      </c>
      <c r="E15" s="75">
        <f>IF(AND(ISNUMBER(データ_財務!F152)),データ_財務!F152/1000000,"n.a.")</f>
        <v>8749</v>
      </c>
      <c r="F15" s="75">
        <f>IF(AND(ISNUMBER(データ_財務!F153)),データ_財務!F153/1000000,"n.a.")</f>
        <v>6510</v>
      </c>
      <c r="G15" s="75">
        <f>IF(AND(ISNUMBER(データ_財務!F154)),データ_財務!F154/1000000,"n.a.")</f>
        <v>4799</v>
      </c>
      <c r="H15" s="75">
        <f>IF(AND(ISNUMBER(データ_財務!F155)),データ_財務!F155/1000000,"n.a.")</f>
        <v>5001</v>
      </c>
      <c r="I15" s="75">
        <f>'3_Forecast'!I19</f>
        <v>8392.8706751999998</v>
      </c>
      <c r="J15" s="75">
        <f>'3_Forecast'!J19</f>
        <v>9177.776320032799</v>
      </c>
      <c r="K15" s="75">
        <f>'3_Forecast'!K19</f>
        <v>8844.591620852696</v>
      </c>
    </row>
    <row r="16" spans="1:11" ht="21.95" customHeight="1">
      <c r="A16" s="71"/>
      <c r="B16" s="71"/>
      <c r="C16" s="71" t="s">
        <v>720</v>
      </c>
      <c r="D16" s="75">
        <f>IF(AND(ISNUMBER(データ_財務!F141)),データ_財務!F141/1000000,"n.a.")</f>
        <v>0</v>
      </c>
      <c r="E16" s="75">
        <f>IF(AND(ISNUMBER(データ_財務!F142)),データ_財務!F142/1000000,"n.a.")</f>
        <v>0</v>
      </c>
      <c r="F16" s="75">
        <f>IF(AND(ISNUMBER(データ_財務!F143)),データ_財務!F143/1000000,"n.a.")</f>
        <v>0</v>
      </c>
      <c r="G16" s="75">
        <f>IF(AND(ISNUMBER(データ_財務!F144)),データ_財務!F144/1000000,"n.a.")</f>
        <v>0</v>
      </c>
      <c r="H16" s="75">
        <f>IF(AND(ISNUMBER(データ_財務!F145)),データ_財務!F145/1000000,"n.a.")</f>
        <v>0</v>
      </c>
      <c r="I16" s="75">
        <f>'3_Forecast'!I20</f>
        <v>0</v>
      </c>
      <c r="J16" s="75">
        <f>'3_Forecast'!J20</f>
        <v>0</v>
      </c>
      <c r="K16" s="75">
        <f>'3_Forecast'!K20</f>
        <v>0</v>
      </c>
    </row>
    <row r="17" spans="1:11" ht="21.95" customHeight="1">
      <c r="A17" s="71"/>
      <c r="B17" s="71"/>
      <c r="C17" s="71" t="s">
        <v>692</v>
      </c>
      <c r="D17" s="75">
        <f>IF(AND(ISNUMBER(データ_財務!F46)),データ_財務!F46/1000000,"n.a.")</f>
        <v>7769</v>
      </c>
      <c r="E17" s="75">
        <f>IF(AND(ISNUMBER(データ_財務!F47)),データ_財務!F47/1000000,"n.a.")</f>
        <v>8749</v>
      </c>
      <c r="F17" s="75">
        <f>IF(AND(ISNUMBER(データ_財務!F48)),データ_財務!F48/1000000,"n.a.")</f>
        <v>6510</v>
      </c>
      <c r="G17" s="75">
        <f>IF(AND(ISNUMBER(データ_財務!F49)),データ_財務!F49/1000000,"n.a.")</f>
        <v>4799</v>
      </c>
      <c r="H17" s="75">
        <f>IF(AND(ISNUMBER(データ_財務!F50)),データ_財務!F50/1000000,"n.a.")</f>
        <v>5001</v>
      </c>
      <c r="I17" s="75">
        <f>'3_Forecast'!I21</f>
        <v>8392.8706751999998</v>
      </c>
      <c r="J17" s="75">
        <f>'3_Forecast'!J21</f>
        <v>9177.776320032799</v>
      </c>
      <c r="K17" s="75">
        <f>'3_Forecast'!K21</f>
        <v>8844.591620852696</v>
      </c>
    </row>
    <row r="18" spans="1:11" ht="21.95" customHeight="1">
      <c r="A18" s="71"/>
      <c r="B18" s="71"/>
      <c r="C18" s="71"/>
      <c r="D18" s="75"/>
      <c r="E18" s="75"/>
      <c r="F18" s="75"/>
      <c r="G18" s="75"/>
      <c r="H18" s="75"/>
      <c r="I18" s="75"/>
      <c r="J18" s="75"/>
      <c r="K18" s="75"/>
    </row>
    <row r="19" spans="1:11" ht="21.95" customHeight="1">
      <c r="A19" s="71"/>
      <c r="B19" s="71"/>
      <c r="C19" s="71"/>
      <c r="D19" s="75"/>
      <c r="E19" s="75"/>
      <c r="F19" s="75"/>
      <c r="G19" s="75"/>
      <c r="H19" s="75"/>
      <c r="I19" s="75"/>
      <c r="J19" s="75"/>
      <c r="K19" s="75"/>
    </row>
    <row r="20" spans="1:11" ht="21.95" customHeight="1">
      <c r="A20" s="71"/>
      <c r="B20" s="71"/>
      <c r="C20" s="71"/>
      <c r="D20" s="75"/>
      <c r="E20" s="75"/>
      <c r="F20" s="75"/>
      <c r="G20" s="75"/>
      <c r="H20" s="75"/>
      <c r="I20" s="75"/>
      <c r="J20" s="75"/>
      <c r="K20" s="75"/>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c r="D24" s="75"/>
      <c r="E24" s="75"/>
      <c r="F24" s="75"/>
      <c r="G24" s="75"/>
      <c r="H24" s="75"/>
      <c r="I24" s="75"/>
      <c r="J24" s="75"/>
      <c r="K24" s="75"/>
    </row>
    <row r="25" spans="1:11" ht="21.95" customHeight="1">
      <c r="A25" s="71"/>
      <c r="B25" s="71"/>
      <c r="C25" s="71"/>
      <c r="D25" s="75"/>
      <c r="E25" s="75"/>
      <c r="F25" s="75"/>
      <c r="G25" s="75"/>
      <c r="H25" s="75"/>
      <c r="I25" s="75"/>
      <c r="J25" s="75"/>
      <c r="K25" s="75"/>
    </row>
    <row r="26" spans="1:11" ht="21.95" customHeight="1">
      <c r="A26" s="71"/>
      <c r="B26" s="71"/>
      <c r="C26" s="71"/>
      <c r="D26" s="75"/>
      <c r="E26" s="75"/>
      <c r="F26" s="75"/>
      <c r="G26" s="75"/>
      <c r="H26" s="75"/>
      <c r="I26" s="75"/>
      <c r="J26" s="75"/>
      <c r="K26" s="75"/>
    </row>
    <row r="27" spans="1:11" ht="21.95" customHeight="1">
      <c r="A27" s="71"/>
      <c r="B27" s="71"/>
      <c r="C27" s="71"/>
      <c r="D27" s="75"/>
      <c r="E27" s="75"/>
      <c r="F27" s="75"/>
      <c r="G27" s="75"/>
      <c r="H27" s="75"/>
      <c r="I27" s="75"/>
      <c r="J27" s="75"/>
      <c r="K27" s="75"/>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c r="D30" s="75"/>
      <c r="E30" s="75"/>
      <c r="F30" s="75"/>
      <c r="G30" s="75"/>
      <c r="H30" s="75"/>
      <c r="I30" s="75"/>
      <c r="J30" s="75"/>
      <c r="K30" s="75"/>
    </row>
    <row r="31" spans="1:11" ht="21.95" customHeight="1">
      <c r="A31" s="71"/>
      <c r="B31" s="71"/>
      <c r="C31" s="71"/>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row r="41" spans="1:11" ht="21.95" customHeight="1">
      <c r="A41" s="71"/>
      <c r="B41" s="71"/>
      <c r="C41" s="71"/>
      <c r="D41" s="75"/>
      <c r="E41" s="75"/>
      <c r="F41" s="75"/>
      <c r="G41" s="75"/>
      <c r="H41" s="75"/>
      <c r="I41" s="75"/>
      <c r="J41" s="75"/>
      <c r="K41" s="75"/>
    </row>
    <row r="42" spans="1:11" ht="21.95" customHeight="1">
      <c r="A42" s="71"/>
      <c r="B42" s="71"/>
      <c r="C42" s="71"/>
      <c r="D42" s="75"/>
      <c r="E42" s="75"/>
      <c r="F42" s="75"/>
      <c r="G42" s="75"/>
      <c r="H42" s="75"/>
      <c r="I42" s="75"/>
      <c r="J42" s="75"/>
      <c r="K42" s="75"/>
    </row>
    <row r="43" spans="1:11" ht="21.95" customHeight="1">
      <c r="A43" s="71"/>
      <c r="B43" s="71"/>
      <c r="C43" s="71"/>
      <c r="D43" s="75"/>
      <c r="E43" s="75"/>
      <c r="F43" s="75"/>
      <c r="G43" s="75"/>
      <c r="H43" s="75"/>
      <c r="I43" s="75"/>
      <c r="J43" s="75"/>
      <c r="K43" s="75"/>
    </row>
    <row r="44" spans="1:11" ht="21.95" customHeight="1">
      <c r="A44" s="71"/>
      <c r="B44" s="71"/>
      <c r="C44" s="71"/>
      <c r="D44" s="75"/>
      <c r="E44" s="75"/>
      <c r="F44" s="75"/>
      <c r="G44" s="75"/>
      <c r="H44" s="75"/>
      <c r="I44" s="75"/>
      <c r="J44" s="75"/>
      <c r="K44" s="75"/>
    </row>
    <row r="45" spans="1:11" ht="21.95" customHeight="1">
      <c r="A45" s="71"/>
      <c r="B45" s="71"/>
      <c r="C45" s="71"/>
      <c r="D45" s="75"/>
      <c r="E45" s="75"/>
      <c r="F45" s="75"/>
      <c r="G45" s="75"/>
      <c r="H45" s="75"/>
      <c r="I45" s="75"/>
      <c r="J45" s="75"/>
      <c r="K45" s="75"/>
    </row>
    <row r="46" spans="1:11" ht="21.95" customHeight="1">
      <c r="A46" s="71"/>
      <c r="B46" s="71"/>
      <c r="C46" s="71"/>
      <c r="D46" s="75"/>
      <c r="E46" s="75"/>
      <c r="F46" s="75"/>
      <c r="G46" s="75"/>
      <c r="H46" s="75"/>
      <c r="I46" s="75"/>
      <c r="J46" s="75"/>
      <c r="K46" s="75"/>
    </row>
    <row r="47" spans="1:11" ht="21.95" customHeight="1">
      <c r="A47" s="71"/>
      <c r="B47" s="71"/>
      <c r="C47" s="71"/>
      <c r="D47" s="75"/>
      <c r="E47" s="75"/>
      <c r="F47" s="75"/>
      <c r="G47" s="75"/>
      <c r="H47" s="75"/>
      <c r="I47" s="75"/>
      <c r="J47" s="75"/>
      <c r="K47" s="75"/>
    </row>
    <row r="48" spans="1:11" ht="21.95" customHeight="1">
      <c r="A48" s="71"/>
      <c r="B48" s="71"/>
      <c r="C48" s="71"/>
      <c r="D48" s="75"/>
      <c r="E48" s="75"/>
      <c r="F48" s="75"/>
      <c r="G48" s="75"/>
      <c r="H48" s="75"/>
      <c r="I48" s="75"/>
      <c r="J48" s="75"/>
      <c r="K48" s="75"/>
    </row>
    <row r="49" spans="1:11" ht="21.95" customHeight="1">
      <c r="A49" s="71"/>
      <c r="B49" s="71"/>
      <c r="C49" s="71"/>
      <c r="D49" s="75"/>
      <c r="E49" s="75"/>
      <c r="F49" s="75"/>
      <c r="G49" s="75"/>
      <c r="H49" s="75"/>
      <c r="I49" s="75"/>
      <c r="J49" s="75"/>
      <c r="K49" s="75"/>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c r="D52" s="75"/>
      <c r="E52" s="75"/>
      <c r="F52" s="75"/>
      <c r="G52" s="75"/>
      <c r="H52" s="75"/>
      <c r="I52" s="75"/>
      <c r="J52" s="75"/>
      <c r="K52" s="75"/>
    </row>
    <row r="53" spans="1:11" ht="21.95" customHeight="1">
      <c r="A53" s="71"/>
      <c r="B53" s="71"/>
      <c r="C53" s="71"/>
      <c r="D53" s="75"/>
      <c r="E53" s="75"/>
      <c r="F53" s="75"/>
      <c r="G53" s="75"/>
      <c r="H53" s="75"/>
      <c r="I53" s="75"/>
      <c r="J53" s="75"/>
      <c r="K53" s="75"/>
    </row>
    <row r="54" spans="1:11" ht="21.95" customHeight="1">
      <c r="A54" s="71"/>
      <c r="B54" s="71"/>
      <c r="C54" s="71"/>
      <c r="D54" s="75"/>
      <c r="E54" s="75"/>
      <c r="F54" s="75"/>
      <c r="G54" s="75"/>
      <c r="H54" s="75"/>
      <c r="I54" s="75"/>
      <c r="J54" s="75"/>
      <c r="K54" s="75"/>
    </row>
    <row r="55" spans="1:11" ht="21.95" customHeight="1">
      <c r="A55" s="71"/>
      <c r="B55" s="71"/>
      <c r="C55" s="71"/>
      <c r="D55" s="75"/>
      <c r="E55" s="75"/>
      <c r="F55" s="75"/>
      <c r="G55" s="75"/>
      <c r="H55" s="75"/>
      <c r="I55" s="75"/>
      <c r="J55" s="75"/>
      <c r="K55" s="75"/>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55"/>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721</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722</v>
      </c>
      <c r="D6" s="75">
        <f>IF(AND(ISNUMBER(データ_財務!F51)),データ_財務!F51/1000000,"n.a.")</f>
        <v>4631</v>
      </c>
      <c r="E6" s="75">
        <f>IF(AND(ISNUMBER(データ_財務!F52)),データ_財務!F52/1000000,"n.a.")</f>
        <v>3050</v>
      </c>
      <c r="F6" s="75">
        <f>IF(AND(ISNUMBER(データ_財務!F53)),データ_財務!F53/1000000,"n.a.")</f>
        <v>2964</v>
      </c>
      <c r="G6" s="75">
        <f>IF(AND(ISNUMBER(データ_財務!F54)),データ_財務!F54/1000000,"n.a.")</f>
        <v>3200</v>
      </c>
      <c r="H6" s="75">
        <f>IF(AND(ISNUMBER(データ_財務!F55)),データ_財務!F55/1000000,"n.a.")</f>
        <v>3225</v>
      </c>
      <c r="I6" s="75">
        <f>'3_Forecast'!I52</f>
        <v>5530.0311336765881</v>
      </c>
      <c r="J6" s="75">
        <f>'3_Forecast'!J52</f>
        <v>9106.0234922954478</v>
      </c>
      <c r="K6" s="75">
        <f>'3_Forecast'!K52</f>
        <v>12353.539858557999</v>
      </c>
    </row>
    <row r="7" spans="1:11" ht="21.95" customHeight="1">
      <c r="A7" s="71"/>
      <c r="B7" s="71"/>
      <c r="C7" s="71" t="s">
        <v>723</v>
      </c>
      <c r="D7" s="75">
        <f>IF(AND(ISNUMBER(データ_財務!F56)),データ_財務!F56/1000000,"n.a.")</f>
        <v>1701</v>
      </c>
      <c r="E7" s="75">
        <f>IF(AND(ISNUMBER(データ_財務!F57)),データ_財務!F57/1000000,"n.a.")</f>
        <v>1895</v>
      </c>
      <c r="F7" s="75">
        <f>IF(AND(ISNUMBER(データ_財務!F58)),データ_財務!F58/1000000,"n.a.")</f>
        <v>1787</v>
      </c>
      <c r="G7" s="75">
        <f>IF(AND(ISNUMBER(データ_財務!F59)),データ_財務!F59/1000000,"n.a.")</f>
        <v>1719</v>
      </c>
      <c r="H7" s="75">
        <f>IF(AND(ISNUMBER(データ_財務!F60)),データ_財務!F60/1000000,"n.a.")</f>
        <v>1963</v>
      </c>
      <c r="I7" s="75">
        <f>'3_Forecast'!I24</f>
        <v>2485.352723560683</v>
      </c>
      <c r="J7" s="75">
        <f>'3_Forecast'!J24</f>
        <v>2659.3274142099303</v>
      </c>
      <c r="K7" s="75">
        <f>'3_Forecast'!K24</f>
        <v>2758.1439520057106</v>
      </c>
    </row>
    <row r="8" spans="1:11" ht="21.95" customHeight="1">
      <c r="A8" s="71"/>
      <c r="B8" s="71"/>
      <c r="C8" s="71" t="s">
        <v>724</v>
      </c>
      <c r="D8" s="75">
        <f>IF(AND(ISNUMBER(データ_財務!F61)),データ_財務!F61/1000000,"n.a.")</f>
        <v>1910</v>
      </c>
      <c r="E8" s="75">
        <f>IF(AND(ISNUMBER(データ_財務!F62)),データ_財務!F62/1000000,"n.a.")</f>
        <v>2757</v>
      </c>
      <c r="F8" s="75">
        <f>IF(AND(ISNUMBER(データ_財務!F63)),データ_財務!F63/1000000,"n.a.")</f>
        <v>3999</v>
      </c>
      <c r="G8" s="75">
        <f>IF(AND(ISNUMBER(データ_財務!F64)),データ_財務!F64/1000000,"n.a.")</f>
        <v>4527</v>
      </c>
      <c r="H8" s="75">
        <f>IF(AND(ISNUMBER(データ_財務!F65)),データ_財務!F65/1000000,"n.a.")</f>
        <v>4804</v>
      </c>
      <c r="I8" s="75">
        <f>'3_Forecast'!I25</f>
        <v>4661.4373041095896</v>
      </c>
      <c r="J8" s="75">
        <f>'3_Forecast'!J25</f>
        <v>4856.4816544657533</v>
      </c>
      <c r="K8" s="75">
        <f>'3_Forecast'!K25</f>
        <v>5377.2749389595638</v>
      </c>
    </row>
    <row r="9" spans="1:11" ht="21.95" customHeight="1">
      <c r="A9" s="71"/>
      <c r="B9" s="71"/>
      <c r="C9" s="71" t="s">
        <v>725</v>
      </c>
      <c r="D9" s="75">
        <f>IF(AND(ISNUMBER(データ_財務!F66)),データ_財務!F66/1000000,"n.a.")</f>
        <v>13685</v>
      </c>
      <c r="E9" s="75">
        <f>IF(AND(ISNUMBER(データ_財務!F67)),データ_財務!F67/1000000,"n.a.")</f>
        <v>14021</v>
      </c>
      <c r="F9" s="75">
        <f>IF(AND(ISNUMBER(データ_財務!F68)),データ_財務!F68/1000000,"n.a.")</f>
        <v>15122</v>
      </c>
      <c r="G9" s="75">
        <f>IF(AND(ISNUMBER(データ_財務!F69)),データ_財務!F69/1000000,"n.a.")</f>
        <v>15026</v>
      </c>
      <c r="H9" s="75">
        <f>IF(AND(ISNUMBER(データ_財務!F70)),データ_財務!F70/1000000,"n.a.")</f>
        <v>13750</v>
      </c>
      <c r="I9" s="75">
        <f>'3_Forecast'!I54</f>
        <v>16434.821161346859</v>
      </c>
      <c r="J9" s="75">
        <f>'3_Forecast'!J54</f>
        <v>20379.832560971132</v>
      </c>
      <c r="K9" s="75">
        <f>'3_Forecast'!K54</f>
        <v>24246.958749523274</v>
      </c>
    </row>
    <row r="10" spans="1:11" ht="21.95" customHeight="1">
      <c r="A10" s="71"/>
      <c r="B10" s="71"/>
      <c r="C10" s="71" t="s">
        <v>726</v>
      </c>
      <c r="D10" s="75">
        <f>IF(AND(ISNUMBER(データ_財務!F71)),データ_財務!F71/1000000,"n.a.")</f>
        <v>5141</v>
      </c>
      <c r="E10" s="75">
        <f>IF(AND(ISNUMBER(データ_財務!F72)),データ_財務!F72/1000000,"n.a.")</f>
        <v>6876</v>
      </c>
      <c r="F10" s="75">
        <f>IF(AND(ISNUMBER(データ_財務!F73)),データ_財務!F73/1000000,"n.a.")</f>
        <v>9999</v>
      </c>
      <c r="G10" s="75">
        <f>IF(AND(ISNUMBER(データ_財務!F74)),データ_財務!F74/1000000,"n.a.")</f>
        <v>11347</v>
      </c>
      <c r="H10" s="75">
        <f>IF(AND(ISNUMBER(データ_財務!F75)),データ_財務!F75/1000000,"n.a.")</f>
        <v>12320</v>
      </c>
      <c r="I10" s="75">
        <f>'3_Forecast'!I33</f>
        <v>13104.245551839465</v>
      </c>
      <c r="J10" s="75">
        <f>'3_Forecast'!J33</f>
        <v>13368.321905535349</v>
      </c>
      <c r="K10" s="75">
        <f>'3_Forecast'!K33</f>
        <v>13439.960392983437</v>
      </c>
    </row>
    <row r="11" spans="1:11" ht="21.95" customHeight="1">
      <c r="A11" s="71"/>
      <c r="B11" s="71"/>
      <c r="C11" s="71" t="s">
        <v>727</v>
      </c>
      <c r="D11" s="75">
        <f>IF(AND(ISNUMBER(データ_財務!F146)),データ_財務!F146/1000000,"n.a.")</f>
        <v>85</v>
      </c>
      <c r="E11" s="75">
        <f>IF(AND(ISNUMBER(データ_財務!F147)),データ_財務!F147/1000000,"n.a.")</f>
        <v>152</v>
      </c>
      <c r="F11" s="75">
        <f>IF(AND(ISNUMBER(データ_財務!F148)),データ_財務!F148/1000000,"n.a.")</f>
        <v>223</v>
      </c>
      <c r="G11" s="75">
        <f>IF(AND(ISNUMBER(データ_財務!F149)),データ_財務!F149/1000000,"n.a.")</f>
        <v>257</v>
      </c>
      <c r="H11" s="75">
        <f>IF(AND(ISNUMBER(データ_財務!F150)),データ_財務!F150/1000000,"n.a.")</f>
        <v>238</v>
      </c>
      <c r="I11" s="75">
        <f>'3_Forecast'!I34</f>
        <v>253.15019816053518</v>
      </c>
      <c r="J11" s="75">
        <f>'3_Forecast'!J34</f>
        <v>258.25167317511477</v>
      </c>
      <c r="K11" s="75">
        <f>'3_Forecast'!K34</f>
        <v>259.63559850081651</v>
      </c>
    </row>
    <row r="12" spans="1:11" ht="21.95" customHeight="1">
      <c r="A12" s="71"/>
      <c r="B12" s="71"/>
      <c r="C12" s="71" t="s">
        <v>693</v>
      </c>
      <c r="D12" s="75">
        <f>IF(AND(ISNUMBER(データ_財務!F76)),データ_財務!F76/1000000,"n.a.")</f>
        <v>24676</v>
      </c>
      <c r="E12" s="75">
        <f>IF(AND(ISNUMBER(データ_財務!F77)),データ_財務!F77/1000000,"n.a.")</f>
        <v>27207</v>
      </c>
      <c r="F12" s="75">
        <f>IF(AND(ISNUMBER(データ_財務!F78)),データ_財務!F78/1000000,"n.a.")</f>
        <v>32348</v>
      </c>
      <c r="G12" s="75">
        <f>IF(AND(ISNUMBER(データ_財務!F79)),データ_財務!F79/1000000,"n.a.")</f>
        <v>35509</v>
      </c>
      <c r="H12" s="75">
        <f>IF(AND(ISNUMBER(データ_財務!F80)),データ_財務!F80/1000000,"n.a.")</f>
        <v>34585</v>
      </c>
      <c r="I12" s="75">
        <f>'3_Forecast'!I56</f>
        <v>38069.216911346855</v>
      </c>
      <c r="J12" s="75">
        <f>'3_Forecast'!J56</f>
        <v>42283.406139681596</v>
      </c>
      <c r="K12" s="75">
        <f>'3_Forecast'!K56</f>
        <v>46223.554741007531</v>
      </c>
    </row>
    <row r="13" spans="1:11" ht="21.95" customHeight="1">
      <c r="A13" s="71"/>
      <c r="B13" s="71"/>
      <c r="C13" s="71" t="s">
        <v>728</v>
      </c>
      <c r="D13" s="75">
        <f>IF(AND(ISNUMBER(データ_財務!F81)),データ_財務!F81/1000000,"n.a.")</f>
        <v>571</v>
      </c>
      <c r="E13" s="75">
        <f>IF(AND(ISNUMBER(データ_財務!F82)),データ_財務!F82/1000000,"n.a.")</f>
        <v>851</v>
      </c>
      <c r="F13" s="75">
        <f>IF(AND(ISNUMBER(データ_財務!F83)),データ_財務!F83/1000000,"n.a.")</f>
        <v>802</v>
      </c>
      <c r="G13" s="75">
        <f>IF(AND(ISNUMBER(データ_財務!F84)),データ_財務!F84/1000000,"n.a.")</f>
        <v>820</v>
      </c>
      <c r="H13" s="75">
        <f>IF(AND(ISNUMBER(データ_財務!F85)),データ_財務!F85/1000000,"n.a.")</f>
        <v>756</v>
      </c>
      <c r="I13" s="75">
        <f>'3_Forecast'!I26</f>
        <v>846.34623614686154</v>
      </c>
      <c r="J13" s="75">
        <f>'3_Forecast'!J26</f>
        <v>881.75914444879595</v>
      </c>
      <c r="K13" s="75">
        <f>'3_Forecast'!K26</f>
        <v>976.31612492203067</v>
      </c>
    </row>
    <row r="14" spans="1:11" ht="21.95" customHeight="1">
      <c r="A14" s="71"/>
      <c r="B14" s="71"/>
      <c r="C14" s="71" t="s">
        <v>729</v>
      </c>
      <c r="D14" s="75">
        <f>IF(AND(ISNUMBER(データ_財務!F86)),データ_財務!F86/1000000,"n.a.")</f>
        <v>2569</v>
      </c>
      <c r="E14" s="75">
        <f>IF(AND(ISNUMBER(データ_財務!F87)),データ_財務!F87/1000000,"n.a.")</f>
        <v>2985</v>
      </c>
      <c r="F14" s="75">
        <f>IF(AND(ISNUMBER(データ_財務!F88)),データ_財務!F88/1000000,"n.a.")</f>
        <v>3320</v>
      </c>
      <c r="G14" s="75">
        <f>IF(AND(ISNUMBER(データ_財務!F89)),データ_財務!F89/1000000,"n.a.")</f>
        <v>3643</v>
      </c>
      <c r="H14" s="75">
        <f>IF(AND(ISNUMBER(データ_財務!F90)),データ_財務!F90/1000000,"n.a.")</f>
        <v>3159</v>
      </c>
      <c r="I14" s="75">
        <f>'3_Forecast'!I58</f>
        <v>3249.3462361468614</v>
      </c>
      <c r="J14" s="75">
        <f>'3_Forecast'!J58</f>
        <v>3284.7591444487962</v>
      </c>
      <c r="K14" s="75">
        <f>'3_Forecast'!K58</f>
        <v>3379.3161249220307</v>
      </c>
    </row>
    <row r="15" spans="1:11" ht="21.95" customHeight="1">
      <c r="A15" s="71"/>
      <c r="B15" s="71"/>
      <c r="C15" s="71" t="s">
        <v>730</v>
      </c>
      <c r="D15" s="75">
        <f>IF(AND(ISNUMBER(データ_財務!F91)),データ_財務!F91/1000000,"n.a.")</f>
        <v>11343</v>
      </c>
      <c r="E15" s="75">
        <f>IF(AND(ISNUMBER(データ_財務!F92)),データ_財務!F92/1000000,"n.a.")</f>
        <v>12630</v>
      </c>
      <c r="F15" s="75">
        <f>IF(AND(ISNUMBER(データ_財務!F93)),データ_財務!F93/1000000,"n.a.")</f>
        <v>15451</v>
      </c>
      <c r="G15" s="75">
        <f>IF(AND(ISNUMBER(データ_財務!F94)),データ_財務!F94/1000000,"n.a.")</f>
        <v>18606</v>
      </c>
      <c r="H15" s="75">
        <f>IF(AND(ISNUMBER(データ_財務!F95)),データ_財務!F95/1000000,"n.a.")</f>
        <v>18312</v>
      </c>
      <c r="I15" s="75">
        <f>'3_Forecast'!I59</f>
        <v>18402.346236146863</v>
      </c>
      <c r="J15" s="75">
        <f>'3_Forecast'!J59</f>
        <v>18437.759144448795</v>
      </c>
      <c r="K15" s="75">
        <f>'3_Forecast'!K59</f>
        <v>18532.316124922032</v>
      </c>
    </row>
    <row r="16" spans="1:11" ht="21.95" customHeight="1">
      <c r="A16" s="71"/>
      <c r="B16" s="71"/>
      <c r="C16" s="71" t="s">
        <v>694</v>
      </c>
      <c r="D16" s="75">
        <f>IF(AND(ISNUMBER(データ_財務!F96)),データ_財務!F96/1000000,"n.a.")</f>
        <v>13333</v>
      </c>
      <c r="E16" s="75">
        <f>IF(AND(ISNUMBER(データ_財務!F97)),データ_財務!F97/1000000,"n.a.")</f>
        <v>14577</v>
      </c>
      <c r="F16" s="75">
        <f>IF(AND(ISNUMBER(データ_財務!F98)),データ_財務!F98/1000000,"n.a.")</f>
        <v>16897</v>
      </c>
      <c r="G16" s="75">
        <f>IF(AND(ISNUMBER(データ_財務!F99)),データ_財務!F99/1000000,"n.a.")</f>
        <v>16903</v>
      </c>
      <c r="H16" s="75">
        <f>IF(AND(ISNUMBER(データ_財務!F100)),データ_財務!F100/1000000,"n.a.")</f>
        <v>16273</v>
      </c>
      <c r="I16" s="75">
        <f>'3_Forecast'!I60</f>
        <v>19666.8706752</v>
      </c>
      <c r="J16" s="75">
        <f>'3_Forecast'!J60</f>
        <v>23845.646995232797</v>
      </c>
      <c r="K16" s="75">
        <f>'3_Forecast'!K60</f>
        <v>27691.238616085495</v>
      </c>
    </row>
    <row r="17" spans="1:11" ht="21.95" customHeight="1">
      <c r="A17" s="71"/>
      <c r="B17" s="71"/>
      <c r="C17" s="71"/>
      <c r="D17" s="75"/>
      <c r="E17" s="75"/>
      <c r="F17" s="75"/>
      <c r="G17" s="75"/>
      <c r="H17" s="75"/>
      <c r="I17" s="75"/>
      <c r="J17" s="75"/>
      <c r="K17" s="75"/>
    </row>
    <row r="18" spans="1:11" ht="21.95" customHeight="1">
      <c r="A18" s="71"/>
      <c r="B18" s="71"/>
      <c r="C18" s="71"/>
      <c r="D18" s="75"/>
      <c r="E18" s="75"/>
      <c r="F18" s="75"/>
      <c r="G18" s="75"/>
      <c r="H18" s="75"/>
      <c r="I18" s="75"/>
      <c r="J18" s="75"/>
      <c r="K18" s="75"/>
    </row>
    <row r="19" spans="1:11" ht="21.95" customHeight="1">
      <c r="A19" s="71"/>
      <c r="B19" s="71"/>
      <c r="C19" s="71"/>
      <c r="D19" s="75"/>
      <c r="E19" s="75"/>
      <c r="F19" s="75"/>
      <c r="G19" s="75"/>
      <c r="H19" s="75"/>
      <c r="I19" s="75"/>
      <c r="J19" s="75"/>
      <c r="K19" s="75"/>
    </row>
    <row r="20" spans="1:11" ht="21.95" customHeight="1">
      <c r="A20" s="71"/>
      <c r="B20" s="71"/>
      <c r="C20" s="71"/>
      <c r="D20" s="75"/>
      <c r="E20" s="75"/>
      <c r="F20" s="75"/>
      <c r="G20" s="75"/>
      <c r="H20" s="75"/>
      <c r="I20" s="75"/>
      <c r="J20" s="75"/>
      <c r="K20" s="75"/>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c r="D24" s="75"/>
      <c r="E24" s="75"/>
      <c r="F24" s="75"/>
      <c r="G24" s="75"/>
      <c r="H24" s="75"/>
      <c r="I24" s="75"/>
      <c r="J24" s="75"/>
      <c r="K24" s="75"/>
    </row>
    <row r="25" spans="1:11" ht="21.95" customHeight="1">
      <c r="A25" s="71"/>
      <c r="B25" s="71"/>
      <c r="C25" s="71"/>
      <c r="D25" s="75"/>
      <c r="E25" s="75"/>
      <c r="F25" s="75"/>
      <c r="G25" s="75"/>
      <c r="H25" s="75"/>
      <c r="I25" s="75"/>
      <c r="J25" s="75"/>
      <c r="K25" s="75"/>
    </row>
    <row r="26" spans="1:11" ht="21.95" customHeight="1">
      <c r="A26" s="71"/>
      <c r="B26" s="71"/>
      <c r="C26" s="71"/>
      <c r="D26" s="75"/>
      <c r="E26" s="75"/>
      <c r="F26" s="75"/>
      <c r="G26" s="75"/>
      <c r="H26" s="75"/>
      <c r="I26" s="75"/>
      <c r="J26" s="75"/>
      <c r="K26" s="75"/>
    </row>
    <row r="27" spans="1:11" ht="21.95" customHeight="1">
      <c r="A27" s="71"/>
      <c r="B27" s="71"/>
      <c r="C27" s="71"/>
      <c r="D27" s="75"/>
      <c r="E27" s="75"/>
      <c r="F27" s="75"/>
      <c r="G27" s="75"/>
      <c r="H27" s="75"/>
      <c r="I27" s="75"/>
      <c r="J27" s="75"/>
      <c r="K27" s="75"/>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c r="D30" s="75"/>
      <c r="E30" s="75"/>
      <c r="F30" s="75"/>
      <c r="G30" s="75"/>
      <c r="H30" s="75"/>
      <c r="I30" s="75"/>
      <c r="J30" s="75"/>
      <c r="K30" s="75"/>
    </row>
    <row r="31" spans="1:11" ht="21.95" customHeight="1">
      <c r="A31" s="71"/>
      <c r="B31" s="71"/>
      <c r="C31" s="71"/>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row r="41" spans="1:11" ht="21.95" customHeight="1">
      <c r="A41" s="71"/>
      <c r="B41" s="71"/>
      <c r="C41" s="71"/>
      <c r="D41" s="75"/>
      <c r="E41" s="75"/>
      <c r="F41" s="75"/>
      <c r="G41" s="75"/>
      <c r="H41" s="75"/>
      <c r="I41" s="75"/>
      <c r="J41" s="75"/>
      <c r="K41" s="75"/>
    </row>
    <row r="42" spans="1:11" ht="21.95" customHeight="1">
      <c r="A42" s="71"/>
      <c r="B42" s="71"/>
      <c r="C42" s="71"/>
      <c r="D42" s="75"/>
      <c r="E42" s="75"/>
      <c r="F42" s="75"/>
      <c r="G42" s="75"/>
      <c r="H42" s="75"/>
      <c r="I42" s="75"/>
      <c r="J42" s="75"/>
      <c r="K42" s="75"/>
    </row>
    <row r="43" spans="1:11" ht="21.95" customHeight="1">
      <c r="A43" s="71"/>
      <c r="B43" s="71"/>
      <c r="C43" s="71"/>
      <c r="D43" s="75"/>
      <c r="E43" s="75"/>
      <c r="F43" s="75"/>
      <c r="G43" s="75"/>
      <c r="H43" s="75"/>
      <c r="I43" s="75"/>
      <c r="J43" s="75"/>
      <c r="K43" s="75"/>
    </row>
    <row r="44" spans="1:11" ht="21.95" customHeight="1">
      <c r="A44" s="71"/>
      <c r="B44" s="71"/>
      <c r="C44" s="71"/>
      <c r="D44" s="75"/>
      <c r="E44" s="75"/>
      <c r="F44" s="75"/>
      <c r="G44" s="75"/>
      <c r="H44" s="75"/>
      <c r="I44" s="75"/>
      <c r="J44" s="75"/>
      <c r="K44" s="75"/>
    </row>
    <row r="45" spans="1:11" ht="21.95" customHeight="1">
      <c r="A45" s="71"/>
      <c r="B45" s="71"/>
      <c r="C45" s="71"/>
      <c r="D45" s="75"/>
      <c r="E45" s="75"/>
      <c r="F45" s="75"/>
      <c r="G45" s="75"/>
      <c r="H45" s="75"/>
      <c r="I45" s="75"/>
      <c r="J45" s="75"/>
      <c r="K45" s="75"/>
    </row>
    <row r="46" spans="1:11" ht="21.95" customHeight="1">
      <c r="A46" s="71"/>
      <c r="B46" s="71"/>
      <c r="C46" s="71"/>
      <c r="D46" s="75"/>
      <c r="E46" s="75"/>
      <c r="F46" s="75"/>
      <c r="G46" s="75"/>
      <c r="H46" s="75"/>
      <c r="I46" s="75"/>
      <c r="J46" s="75"/>
      <c r="K46" s="75"/>
    </row>
    <row r="47" spans="1:11" ht="21.95" customHeight="1">
      <c r="A47" s="71"/>
      <c r="B47" s="71"/>
      <c r="C47" s="71"/>
      <c r="D47" s="75"/>
      <c r="E47" s="75"/>
      <c r="F47" s="75"/>
      <c r="G47" s="75"/>
      <c r="H47" s="75"/>
      <c r="I47" s="75"/>
      <c r="J47" s="75"/>
      <c r="K47" s="75"/>
    </row>
    <row r="48" spans="1:11" ht="21.95" customHeight="1">
      <c r="A48" s="71"/>
      <c r="B48" s="71"/>
      <c r="C48" s="71"/>
      <c r="D48" s="75"/>
      <c r="E48" s="75"/>
      <c r="F48" s="75"/>
      <c r="G48" s="75"/>
      <c r="H48" s="75"/>
      <c r="I48" s="75"/>
      <c r="J48" s="75"/>
      <c r="K48" s="75"/>
    </row>
    <row r="49" spans="1:11" ht="21.95" customHeight="1">
      <c r="A49" s="71"/>
      <c r="B49" s="71"/>
      <c r="C49" s="71"/>
      <c r="D49" s="75"/>
      <c r="E49" s="75"/>
      <c r="F49" s="75"/>
      <c r="G49" s="75"/>
      <c r="H49" s="75"/>
      <c r="I49" s="75"/>
      <c r="J49" s="75"/>
      <c r="K49" s="75"/>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c r="D52" s="75"/>
      <c r="E52" s="75"/>
      <c r="F52" s="75"/>
      <c r="G52" s="75"/>
      <c r="H52" s="75"/>
      <c r="I52" s="75"/>
      <c r="J52" s="75"/>
      <c r="K52" s="75"/>
    </row>
    <row r="53" spans="1:11" ht="21.95" customHeight="1">
      <c r="A53" s="71"/>
      <c r="B53" s="71"/>
      <c r="C53" s="71"/>
      <c r="D53" s="75"/>
      <c r="E53" s="75"/>
      <c r="F53" s="75"/>
      <c r="G53" s="75"/>
      <c r="H53" s="75"/>
      <c r="I53" s="75"/>
      <c r="J53" s="75"/>
      <c r="K53" s="75"/>
    </row>
    <row r="54" spans="1:11" ht="21.95" customHeight="1">
      <c r="A54" s="71"/>
      <c r="B54" s="71"/>
      <c r="C54" s="71"/>
      <c r="D54" s="75"/>
      <c r="E54" s="75"/>
      <c r="F54" s="75"/>
      <c r="G54" s="75"/>
      <c r="H54" s="75"/>
      <c r="I54" s="75"/>
      <c r="J54" s="75"/>
      <c r="K54" s="75"/>
    </row>
    <row r="55" spans="1:11" ht="21.95" customHeight="1">
      <c r="A55" s="71"/>
      <c r="B55" s="71"/>
      <c r="C55" s="71"/>
      <c r="D55" s="75"/>
      <c r="E55" s="75"/>
      <c r="F55" s="75"/>
      <c r="G55" s="75"/>
      <c r="H55" s="75"/>
      <c r="I55" s="75"/>
      <c r="J55" s="75"/>
      <c r="K55" s="75"/>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55"/>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731</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695</v>
      </c>
      <c r="D6" s="75">
        <f>IF(AND(ISNUMBER(データ_財務!F101)),データ_財務!F101/1000000,"n.a.")</f>
        <v>8756</v>
      </c>
      <c r="E6" s="75">
        <f>IF(AND(ISNUMBER(データ_財務!F102)),データ_財務!F102/1000000,"n.a.")</f>
        <v>8720</v>
      </c>
      <c r="F6" s="75">
        <f>IF(AND(ISNUMBER(データ_財務!F103)),データ_財務!F103/1000000,"n.a.")</f>
        <v>6420</v>
      </c>
      <c r="G6" s="75">
        <f>IF(AND(ISNUMBER(データ_財務!F104)),データ_財務!F104/1000000,"n.a.")</f>
        <v>6318</v>
      </c>
      <c r="H6" s="75">
        <f>IF(AND(ISNUMBER(データ_財務!F105)),データ_財務!F105/1000000,"n.a.")</f>
        <v>7153</v>
      </c>
      <c r="I6" s="75">
        <f>'3_Forecast'!I37</f>
        <v>10102.426883676588</v>
      </c>
      <c r="J6" s="75">
        <f>'3_Forecast'!J37</f>
        <v>10970.419120618859</v>
      </c>
      <c r="K6" s="75">
        <f>'3_Forecast'!K37</f>
        <v>10488.635815494552</v>
      </c>
    </row>
    <row r="7" spans="1:11" ht="21.95" customHeight="1">
      <c r="A7" s="71"/>
      <c r="B7" s="71"/>
      <c r="C7" s="71" t="s">
        <v>732</v>
      </c>
      <c r="D7" s="75">
        <f>IF(AND(ISNUMBER(データ_財務!F131)),データ_財務!F131/1000000,"n.a.")</f>
        <v>954</v>
      </c>
      <c r="E7" s="75">
        <f>IF(AND(ISNUMBER(データ_財務!F132)),データ_財務!F132/1000000,"n.a.")</f>
        <v>979</v>
      </c>
      <c r="F7" s="75">
        <f>IF(AND(ISNUMBER(データ_財務!F133)),データ_財務!F133/1000000,"n.a.")</f>
        <v>1238</v>
      </c>
      <c r="G7" s="75">
        <f>IF(AND(ISNUMBER(データ_財務!F134)),データ_財務!F134/1000000,"n.a.")</f>
        <v>1580</v>
      </c>
      <c r="H7" s="75">
        <f>IF(AND(ISNUMBER(データ_財務!F135)),データ_財務!F135/1000000,"n.a.")</f>
        <v>1999</v>
      </c>
      <c r="I7" s="75">
        <f>'3_Forecast'!I32</f>
        <v>1999</v>
      </c>
      <c r="J7" s="75">
        <f>'3_Forecast'!J32</f>
        <v>2126.2489332895366</v>
      </c>
      <c r="K7" s="75">
        <f>'3_Forecast'!K32</f>
        <v>2169.0970364582113</v>
      </c>
    </row>
    <row r="8" spans="1:11" ht="21.95" customHeight="1">
      <c r="A8" s="71"/>
      <c r="B8" s="71"/>
      <c r="C8" s="71" t="s">
        <v>733</v>
      </c>
      <c r="D8" s="75">
        <f>IF(AND(ISNUMBER(データ_財務!F156)),データ_財務!F156/1000000,"n.a.")</f>
        <v>755</v>
      </c>
      <c r="E8" s="75">
        <f>IF(AND(ISNUMBER(データ_財務!F157)),データ_財務!F157/1000000,"n.a.")</f>
        <v>925</v>
      </c>
      <c r="F8" s="75">
        <f>IF(AND(ISNUMBER(データ_財務!F158)),データ_財務!F158/1000000,"n.a.")</f>
        <v>1175</v>
      </c>
      <c r="G8" s="75">
        <f>IF(AND(ISNUMBER(データ_財務!F159)),データ_財務!F159/1000000,"n.a.")</f>
        <v>1508</v>
      </c>
      <c r="H8" s="75">
        <f>IF(AND(ISNUMBER(データ_財務!F160)),データ_財務!F160/1000000,"n.a.")</f>
        <v>1918</v>
      </c>
      <c r="I8" s="75" t="s">
        <v>224</v>
      </c>
      <c r="J8" s="75" t="s">
        <v>224</v>
      </c>
      <c r="K8" s="75" t="s">
        <v>224</v>
      </c>
    </row>
    <row r="9" spans="1:11" ht="21.95" customHeight="1">
      <c r="A9" s="71"/>
      <c r="B9" s="71"/>
      <c r="C9" s="71" t="s">
        <v>734</v>
      </c>
      <c r="D9" s="75">
        <f>IF(AND(ISNUMBER(データ_財務!F161)),データ_財務!F161/1000000,"n.a.")</f>
        <v>142</v>
      </c>
      <c r="E9" s="75">
        <f>IF(AND(ISNUMBER(データ_財務!F162)),データ_財務!F162/1000000,"n.a.")</f>
        <v>0</v>
      </c>
      <c r="F9" s="75">
        <f>IF(AND(ISNUMBER(データ_財務!F163)),データ_財務!F163/1000000,"n.a.")</f>
        <v>0</v>
      </c>
      <c r="G9" s="75" t="s">
        <v>224</v>
      </c>
      <c r="H9" s="75" t="s">
        <v>224</v>
      </c>
      <c r="I9" s="75" t="s">
        <v>224</v>
      </c>
      <c r="J9" s="75" t="s">
        <v>224</v>
      </c>
      <c r="K9" s="75" t="s">
        <v>224</v>
      </c>
    </row>
    <row r="10" spans="1:11" ht="21.95" customHeight="1">
      <c r="A10" s="71"/>
      <c r="B10" s="71"/>
      <c r="C10" s="71" t="s">
        <v>696</v>
      </c>
      <c r="D10" s="75">
        <f>IF(AND(ISNUMBER(データ_財務!F106)),データ_財務!F106/1000000,"n.a.")</f>
        <v>-4095</v>
      </c>
      <c r="E10" s="75">
        <f>IF(AND(ISNUMBER(データ_財務!F107)),データ_財務!F107/1000000,"n.a.")</f>
        <v>-3583</v>
      </c>
      <c r="F10" s="75">
        <f>IF(AND(ISNUMBER(データ_財務!F108)),データ_財務!F108/1000000,"n.a.")</f>
        <v>-4362</v>
      </c>
      <c r="G10" s="75">
        <f>IF(AND(ISNUMBER(データ_財務!F109)),データ_財務!F109/1000000,"n.a.")</f>
        <v>-3202</v>
      </c>
      <c r="H10" s="75">
        <f>IF(AND(ISNUMBER(データ_財務!F110)),データ_財務!F110/1000000,"n.a.")</f>
        <v>-1439</v>
      </c>
      <c r="I10" s="75">
        <f>'3_Forecast'!I38</f>
        <v>-2798.3957500000001</v>
      </c>
      <c r="J10" s="75">
        <f>'3_Forecast'!J38</f>
        <v>-2395.4267620000001</v>
      </c>
      <c r="K10" s="75">
        <f>'3_Forecast'!K38</f>
        <v>-2242.1194492320005</v>
      </c>
    </row>
    <row r="11" spans="1:11" ht="21.95" customHeight="1">
      <c r="A11" s="71"/>
      <c r="B11" s="71"/>
      <c r="C11" s="71" t="s">
        <v>735</v>
      </c>
      <c r="D11" s="75">
        <f>IF(AND(ISNUMBER(データ_財務!F136)),ABS(データ_財務!F136)/1000000,"n.a.")</f>
        <v>2462</v>
      </c>
      <c r="E11" s="75">
        <f>IF(AND(ISNUMBER(データ_財務!F137)),ABS(データ_財務!F137)/1000000,"n.a.")</f>
        <v>2797</v>
      </c>
      <c r="F11" s="75">
        <f>IF(AND(ISNUMBER(データ_財務!F138)),ABS(データ_財務!F138)/1000000,"n.a.")</f>
        <v>5071</v>
      </c>
      <c r="G11" s="75">
        <f>IF(AND(ISNUMBER(データ_財務!F139)),ABS(データ_財務!F139)/1000000,"n.a.")</f>
        <v>4820</v>
      </c>
      <c r="H11" s="75">
        <f>IF(AND(ISNUMBER(データ_財務!F140)),ABS(データ_財務!F140)/1000000,"n.a.")</f>
        <v>4550</v>
      </c>
      <c r="I11" s="75">
        <f>IF(AND(ISNUMBER('3_Forecast'!I31),ISNUMBER('3_Assumptions'!D19),'3_Assumptions'!D19&gt;=0,'3_Assumptions'!D19&lt;=1),'3_Forecast'!I31*'3_Assumptions'!D19,"n.a.")</f>
        <v>2745.3603790412485</v>
      </c>
      <c r="J11" s="75">
        <f>IF(AND(ISNUMBER('3_Forecast'!J31),ISNUMBER('3_Assumptions'!E19),'3_Assumptions'!E19&gt;=0,'3_Assumptions'!E19&lt;=1),'3_Forecast'!J31*'3_Assumptions'!E19,"n.a.")</f>
        <v>2350.0284844593089</v>
      </c>
      <c r="K11" s="75">
        <f>IF(AND(ISNUMBER('3_Forecast'!K31),ISNUMBER('3_Assumptions'!F19),'3_Assumptions'!F19&gt;=0,'3_Assumptions'!F19&lt;=1),'3_Forecast'!K31*'3_Assumptions'!F19,"n.a.")</f>
        <v>2199.6266614539136</v>
      </c>
    </row>
    <row r="12" spans="1:11" ht="21.95" customHeight="1">
      <c r="A12" s="71"/>
      <c r="B12" s="71"/>
      <c r="C12" s="71" t="s">
        <v>697</v>
      </c>
      <c r="D12" s="75">
        <f>IF(AND(ISNUMBER(データ_財務!F111)),データ_財務!F111/1000000,"n.a.")</f>
        <v>-3137</v>
      </c>
      <c r="E12" s="75">
        <f>IF(AND(ISNUMBER(データ_財務!F112)),データ_財務!F112/1000000,"n.a.")</f>
        <v>-6718</v>
      </c>
      <c r="F12" s="75">
        <f>IF(AND(ISNUMBER(データ_財務!F113)),データ_財務!F113/1000000,"n.a.")</f>
        <v>-2144</v>
      </c>
      <c r="G12" s="75">
        <f>IF(AND(ISNUMBER(データ_財務!F114)),データ_財務!F114/1000000,"n.a.")</f>
        <v>-2880</v>
      </c>
      <c r="H12" s="75">
        <f>IF(AND(ISNUMBER(データ_財務!F115)),データ_財務!F115/1000000,"n.a.")</f>
        <v>-5689</v>
      </c>
      <c r="I12" s="75">
        <f>'3_Forecast'!I45</f>
        <v>-4999</v>
      </c>
      <c r="J12" s="75">
        <f>'3_Forecast'!J45</f>
        <v>-4999</v>
      </c>
      <c r="K12" s="75">
        <f>'3_Forecast'!K45</f>
        <v>-4999</v>
      </c>
    </row>
    <row r="13" spans="1:11" ht="21.95" customHeight="1">
      <c r="A13" s="71"/>
      <c r="B13" s="71"/>
      <c r="C13" s="71" t="s">
        <v>736</v>
      </c>
      <c r="D13" s="75">
        <f>IF(AND(ISNUMBER(データ_財務!F164)),ABS(データ_財務!F164)/1000000,"n.a.")</f>
        <v>3886</v>
      </c>
      <c r="E13" s="75">
        <f>IF(AND(ISNUMBER(データ_財務!F165)),ABS(データ_財務!F165)/1000000,"n.a.")</f>
        <v>4297</v>
      </c>
      <c r="F13" s="75">
        <f>IF(AND(ISNUMBER(データ_財務!F166)),ABS(データ_財務!F166)/1000000,"n.a.")</f>
        <v>4557</v>
      </c>
      <c r="G13" s="75">
        <f>IF(AND(ISNUMBER(データ_財務!F167)),ABS(データ_財務!F167)/1000000,"n.a.")</f>
        <v>4795</v>
      </c>
      <c r="H13" s="75">
        <f>IF(AND(ISNUMBER(データ_財務!F168)),ABS(データ_財務!F168)/1000000,"n.a.")</f>
        <v>4999</v>
      </c>
      <c r="I13" s="75">
        <f>'3_Forecast'!I39</f>
        <v>4999</v>
      </c>
      <c r="J13" s="75">
        <f>'3_Forecast'!J39</f>
        <v>4999</v>
      </c>
      <c r="K13" s="75">
        <f>'3_Forecast'!K39</f>
        <v>4999</v>
      </c>
    </row>
    <row r="14" spans="1:11" ht="21.95" customHeight="1">
      <c r="A14" s="71"/>
      <c r="B14" s="71"/>
      <c r="C14" s="71" t="s">
        <v>737</v>
      </c>
      <c r="D14" s="75">
        <f>IF(AND(ISNUMBER(データ_財務!F116)),データ_財務!F116/1000000,"n.a.")</f>
        <v>0</v>
      </c>
      <c r="E14" s="75">
        <f>IF(AND(ISNUMBER(データ_財務!F117)),データ_財務!F117/1000000,"n.a.")</f>
        <v>0</v>
      </c>
      <c r="F14" s="75">
        <f>IF(AND(ISNUMBER(データ_財務!F118)),データ_財務!F118/1000000,"n.a.")</f>
        <v>0</v>
      </c>
      <c r="G14" s="75">
        <f>IF(AND(ISNUMBER(データ_財務!F119)),データ_財務!F119/1000000,"n.a.")</f>
        <v>0</v>
      </c>
      <c r="H14" s="75">
        <f>IF(AND(ISNUMBER(データ_財務!F120)),データ_財務!F120/1000000,"n.a.")</f>
        <v>0</v>
      </c>
      <c r="I14" s="75">
        <f>'3_Forecast'!I46</f>
        <v>0</v>
      </c>
      <c r="J14" s="75">
        <f>'3_Forecast'!J46</f>
        <v>0</v>
      </c>
      <c r="K14" s="75">
        <f>'3_Forecast'!K46</f>
        <v>0</v>
      </c>
    </row>
    <row r="15" spans="1:11" ht="21.95" customHeight="1">
      <c r="A15" s="71"/>
      <c r="B15" s="71"/>
      <c r="C15" s="71" t="s">
        <v>738</v>
      </c>
      <c r="D15" s="75">
        <f>IF(AND(ISNUMBER(データ_財務!F121)),データ_財務!F121/1000000,"n.a.")</f>
        <v>1524</v>
      </c>
      <c r="E15" s="75">
        <f>IF(AND(ISNUMBER(データ_財務!F122)),データ_財務!F122/1000000,"n.a.")</f>
        <v>-1581</v>
      </c>
      <c r="F15" s="75">
        <f>IF(AND(ISNUMBER(データ_財務!F123)),データ_財務!F123/1000000,"n.a.")</f>
        <v>-86</v>
      </c>
      <c r="G15" s="75">
        <f>IF(AND(ISNUMBER(データ_財務!F124)),データ_財務!F124/1000000,"n.a.")</f>
        <v>236</v>
      </c>
      <c r="H15" s="75">
        <f>IF(AND(ISNUMBER(データ_財務!F125)),データ_財務!F125/1000000,"n.a.")</f>
        <v>25</v>
      </c>
      <c r="I15" s="75">
        <f>'3_Forecast'!I47</f>
        <v>2305.0311336765881</v>
      </c>
      <c r="J15" s="75">
        <f>'3_Forecast'!J47</f>
        <v>3575.9923586188597</v>
      </c>
      <c r="K15" s="75">
        <f>'3_Forecast'!K47</f>
        <v>3247.5163662625509</v>
      </c>
    </row>
    <row r="16" spans="1:11" ht="21.95" customHeight="1">
      <c r="A16" s="71"/>
      <c r="B16" s="71"/>
      <c r="C16" s="71" t="s">
        <v>698</v>
      </c>
      <c r="D16" s="75">
        <f>IF(AND(ISNUMBER(データ_財務!F126)),データ_財務!F126/1000000,"n.a.")</f>
        <v>4631</v>
      </c>
      <c r="E16" s="75">
        <f>IF(AND(ISNUMBER(データ_財務!F127)),データ_財務!F127/1000000,"n.a.")</f>
        <v>3050</v>
      </c>
      <c r="F16" s="75">
        <f>IF(AND(ISNUMBER(データ_財務!F128)),データ_財務!F128/1000000,"n.a.")</f>
        <v>2964</v>
      </c>
      <c r="G16" s="75">
        <f>IF(AND(ISNUMBER(データ_財務!F129)),データ_財務!F129/1000000,"n.a.")</f>
        <v>3200</v>
      </c>
      <c r="H16" s="75">
        <f>IF(AND(ISNUMBER(データ_財務!F130)),データ_財務!F130/1000000,"n.a.")</f>
        <v>3225</v>
      </c>
      <c r="I16" s="75">
        <f>'3_Forecast'!I48</f>
        <v>5530.0311336765881</v>
      </c>
      <c r="J16" s="75">
        <f>'3_Forecast'!J48</f>
        <v>9106.0234922954478</v>
      </c>
      <c r="K16" s="75">
        <f>'3_Forecast'!K48</f>
        <v>12353.539858557999</v>
      </c>
    </row>
    <row r="17" spans="1:11" ht="21.95" customHeight="1">
      <c r="A17" s="71"/>
      <c r="B17" s="71"/>
      <c r="C17" s="71"/>
      <c r="D17" s="75"/>
      <c r="E17" s="75"/>
      <c r="F17" s="75"/>
      <c r="G17" s="75"/>
      <c r="H17" s="75"/>
      <c r="I17" s="75"/>
      <c r="J17" s="75"/>
      <c r="K17" s="75"/>
    </row>
    <row r="18" spans="1:11" ht="21.95" customHeight="1">
      <c r="A18" s="71"/>
      <c r="B18" s="71"/>
      <c r="C18" s="71"/>
      <c r="D18" s="75"/>
      <c r="E18" s="75"/>
      <c r="F18" s="75"/>
      <c r="G18" s="75"/>
      <c r="H18" s="75"/>
      <c r="I18" s="75"/>
      <c r="J18" s="75"/>
      <c r="K18" s="75"/>
    </row>
    <row r="19" spans="1:11" ht="21.95" customHeight="1">
      <c r="A19" s="71"/>
      <c r="B19" s="71"/>
      <c r="C19" s="71"/>
      <c r="D19" s="75"/>
      <c r="E19" s="75"/>
      <c r="F19" s="75"/>
      <c r="G19" s="75"/>
      <c r="H19" s="75"/>
      <c r="I19" s="75"/>
      <c r="J19" s="75"/>
      <c r="K19" s="75"/>
    </row>
    <row r="20" spans="1:11" ht="21.95" customHeight="1">
      <c r="A20" s="71"/>
      <c r="B20" s="71"/>
      <c r="C20" s="71"/>
      <c r="D20" s="75"/>
      <c r="E20" s="75"/>
      <c r="F20" s="75"/>
      <c r="G20" s="75"/>
      <c r="H20" s="75"/>
      <c r="I20" s="75"/>
      <c r="J20" s="75"/>
      <c r="K20" s="75"/>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c r="D24" s="75"/>
      <c r="E24" s="75"/>
      <c r="F24" s="75"/>
      <c r="G24" s="75"/>
      <c r="H24" s="75"/>
      <c r="I24" s="75"/>
      <c r="J24" s="75"/>
      <c r="K24" s="75"/>
    </row>
    <row r="25" spans="1:11" ht="21.95" customHeight="1">
      <c r="A25" s="71"/>
      <c r="B25" s="71"/>
      <c r="C25" s="71"/>
      <c r="D25" s="75"/>
      <c r="E25" s="75"/>
      <c r="F25" s="75"/>
      <c r="G25" s="75"/>
      <c r="H25" s="75"/>
      <c r="I25" s="75"/>
      <c r="J25" s="75"/>
      <c r="K25" s="75"/>
    </row>
    <row r="26" spans="1:11" ht="21.95" customHeight="1">
      <c r="A26" s="71"/>
      <c r="B26" s="71"/>
      <c r="C26" s="71"/>
      <c r="D26" s="75"/>
      <c r="E26" s="75"/>
      <c r="F26" s="75"/>
      <c r="G26" s="75"/>
      <c r="H26" s="75"/>
      <c r="I26" s="75"/>
      <c r="J26" s="75"/>
      <c r="K26" s="75"/>
    </row>
    <row r="27" spans="1:11" ht="21.95" customHeight="1">
      <c r="A27" s="71"/>
      <c r="B27" s="71"/>
      <c r="C27" s="71"/>
      <c r="D27" s="75"/>
      <c r="E27" s="75"/>
      <c r="F27" s="75"/>
      <c r="G27" s="75"/>
      <c r="H27" s="75"/>
      <c r="I27" s="75"/>
      <c r="J27" s="75"/>
      <c r="K27" s="75"/>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c r="D30" s="75"/>
      <c r="E30" s="75"/>
      <c r="F30" s="75"/>
      <c r="G30" s="75"/>
      <c r="H30" s="75"/>
      <c r="I30" s="75"/>
      <c r="J30" s="75"/>
      <c r="K30" s="75"/>
    </row>
    <row r="31" spans="1:11" ht="21.95" customHeight="1">
      <c r="A31" s="71"/>
      <c r="B31" s="71"/>
      <c r="C31" s="71"/>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row r="41" spans="1:11" ht="21.95" customHeight="1">
      <c r="A41" s="71"/>
      <c r="B41" s="71"/>
      <c r="C41" s="71"/>
      <c r="D41" s="75"/>
      <c r="E41" s="75"/>
      <c r="F41" s="75"/>
      <c r="G41" s="75"/>
      <c r="H41" s="75"/>
      <c r="I41" s="75"/>
      <c r="J41" s="75"/>
      <c r="K41" s="75"/>
    </row>
    <row r="42" spans="1:11" ht="21.95" customHeight="1">
      <c r="A42" s="71"/>
      <c r="B42" s="71"/>
      <c r="C42" s="71"/>
      <c r="D42" s="75"/>
      <c r="E42" s="75"/>
      <c r="F42" s="75"/>
      <c r="G42" s="75"/>
      <c r="H42" s="75"/>
      <c r="I42" s="75"/>
      <c r="J42" s="75"/>
      <c r="K42" s="75"/>
    </row>
    <row r="43" spans="1:11" ht="21.95" customHeight="1">
      <c r="A43" s="71"/>
      <c r="B43" s="71"/>
      <c r="C43" s="71"/>
      <c r="D43" s="75"/>
      <c r="E43" s="75"/>
      <c r="F43" s="75"/>
      <c r="G43" s="75"/>
      <c r="H43" s="75"/>
      <c r="I43" s="75"/>
      <c r="J43" s="75"/>
      <c r="K43" s="75"/>
    </row>
    <row r="44" spans="1:11" ht="21.95" customHeight="1">
      <c r="A44" s="71"/>
      <c r="B44" s="71"/>
      <c r="C44" s="71"/>
      <c r="D44" s="75"/>
      <c r="E44" s="75"/>
      <c r="F44" s="75"/>
      <c r="G44" s="75"/>
      <c r="H44" s="75"/>
      <c r="I44" s="75"/>
      <c r="J44" s="75"/>
      <c r="K44" s="75"/>
    </row>
    <row r="45" spans="1:11" ht="21.95" customHeight="1">
      <c r="A45" s="71"/>
      <c r="B45" s="71"/>
      <c r="C45" s="71"/>
      <c r="D45" s="75"/>
      <c r="E45" s="75"/>
      <c r="F45" s="75"/>
      <c r="G45" s="75"/>
      <c r="H45" s="75"/>
      <c r="I45" s="75"/>
      <c r="J45" s="75"/>
      <c r="K45" s="75"/>
    </row>
    <row r="46" spans="1:11" ht="21.95" customHeight="1">
      <c r="A46" s="71"/>
      <c r="B46" s="71"/>
      <c r="C46" s="71"/>
      <c r="D46" s="75"/>
      <c r="E46" s="75"/>
      <c r="F46" s="75"/>
      <c r="G46" s="75"/>
      <c r="H46" s="75"/>
      <c r="I46" s="75"/>
      <c r="J46" s="75"/>
      <c r="K46" s="75"/>
    </row>
    <row r="47" spans="1:11" ht="21.95" customHeight="1">
      <c r="A47" s="71"/>
      <c r="B47" s="71"/>
      <c r="C47" s="71"/>
      <c r="D47" s="75"/>
      <c r="E47" s="75"/>
      <c r="F47" s="75"/>
      <c r="G47" s="75"/>
      <c r="H47" s="75"/>
      <c r="I47" s="75"/>
      <c r="J47" s="75"/>
      <c r="K47" s="75"/>
    </row>
    <row r="48" spans="1:11" ht="21.95" customHeight="1">
      <c r="A48" s="71"/>
      <c r="B48" s="71"/>
      <c r="C48" s="71"/>
      <c r="D48" s="75"/>
      <c r="E48" s="75"/>
      <c r="F48" s="75"/>
      <c r="G48" s="75"/>
      <c r="H48" s="75"/>
      <c r="I48" s="75"/>
      <c r="J48" s="75"/>
      <c r="K48" s="75"/>
    </row>
    <row r="49" spans="1:11" ht="21.95" customHeight="1">
      <c r="A49" s="71"/>
      <c r="B49" s="71"/>
      <c r="C49" s="71"/>
      <c r="D49" s="75"/>
      <c r="E49" s="75"/>
      <c r="F49" s="75"/>
      <c r="G49" s="75"/>
      <c r="H49" s="75"/>
      <c r="I49" s="75"/>
      <c r="J49" s="75"/>
      <c r="K49" s="75"/>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c r="D52" s="75"/>
      <c r="E52" s="75"/>
      <c r="F52" s="75"/>
      <c r="G52" s="75"/>
      <c r="H52" s="75"/>
      <c r="I52" s="75"/>
      <c r="J52" s="75"/>
      <c r="K52" s="75"/>
    </row>
    <row r="53" spans="1:11" ht="21.95" customHeight="1">
      <c r="A53" s="71"/>
      <c r="B53" s="71"/>
      <c r="C53" s="71"/>
      <c r="D53" s="75"/>
      <c r="E53" s="75"/>
      <c r="F53" s="75"/>
      <c r="G53" s="75"/>
      <c r="H53" s="75"/>
      <c r="I53" s="75"/>
      <c r="J53" s="75"/>
      <c r="K53" s="75"/>
    </row>
    <row r="54" spans="1:11" ht="21.95" customHeight="1">
      <c r="A54" s="71"/>
      <c r="B54" s="71"/>
      <c r="C54" s="71"/>
      <c r="D54" s="75"/>
      <c r="E54" s="75"/>
      <c r="F54" s="75"/>
      <c r="G54" s="75"/>
      <c r="H54" s="75"/>
      <c r="I54" s="75"/>
      <c r="J54" s="75"/>
      <c r="K54" s="75"/>
    </row>
    <row r="55" spans="1:11" ht="21.95" customHeight="1">
      <c r="A55" s="71"/>
      <c r="B55" s="71"/>
      <c r="C55" s="71"/>
      <c r="D55" s="75"/>
      <c r="E55" s="75"/>
      <c r="F55" s="75"/>
      <c r="G55" s="75"/>
      <c r="H55" s="75"/>
      <c r="I55" s="75"/>
      <c r="J55" s="75"/>
      <c r="K55" s="75"/>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55"/>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739</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740</v>
      </c>
      <c r="D6" s="75">
        <f>IF(AND(ISNUMBER(データ_財務!F213)),データ_財務!F213/1000000,"n.a.")</f>
        <v>14050</v>
      </c>
      <c r="E6" s="75">
        <f>IF(AND(ISNUMBER(データ_財務!F202)),データ_財務!F202/1000000,"n.a.")</f>
        <v>15359</v>
      </c>
      <c r="F6" s="75">
        <f>IF(AND(ISNUMBER(データ_財務!F175)),データ_財務!F175/1000000,"n.a.")</f>
        <v>13040</v>
      </c>
      <c r="G6" s="75">
        <f>IF(AND(ISNUMBER(データ_財務!F172)),データ_財務!F172/1000000,"n.a.")</f>
        <v>12161</v>
      </c>
      <c r="H6" s="75">
        <f>IF(AND(ISNUMBER(データ_財務!F169)),データ_財務!F169/1000000,"n.a.")</f>
        <v>14006</v>
      </c>
      <c r="I6" s="75">
        <f>IF(AND(ISNUMBER(H6),ISNUMBER('3_Assumptions'!D6),ISNUMBER('3_Assumptions'!D29),'3_Assumptions'!D6&gt;=-1,1+'3_Assumptions'!D6+'3_Assumptions'!D29&gt;=0),H6*(1+'3_Assumptions'!D6+'3_Assumptions'!D29),"n.a.")</f>
        <v>18291.835999999999</v>
      </c>
      <c r="J6" s="75">
        <f>IF(AND(ISNUMBER(I6),ISNUMBER('3_Assumptions'!E6),ISNUMBER('3_Assumptions'!E29),'3_Assumptions'!E6&gt;=-1,1+'3_Assumptions'!E6+'3_Assumptions'!E29&gt;=0),I6*(1+'3_Assumptions'!E6+'3_Assumptions'!E29),"n.a.")</f>
        <v>19572.264520000001</v>
      </c>
      <c r="K6" s="75">
        <f>IF(AND(ISNUMBER(J6),ISNUMBER('3_Assumptions'!F6),ISNUMBER('3_Assumptions'!F29),'3_Assumptions'!F6&gt;=-1,1+'3_Assumptions'!F6+'3_Assumptions'!F29&gt;=0),J6*(1+'3_Assumptions'!F6+'3_Assumptions'!F29),"n.a.")</f>
        <v>20355.155100800002</v>
      </c>
    </row>
    <row r="7" spans="1:11" ht="21.95" customHeight="1">
      <c r="A7" s="71"/>
      <c r="B7" s="71"/>
      <c r="C7" s="71" t="s">
        <v>741</v>
      </c>
      <c r="D7" s="75">
        <f>IF(AND(ISNUMBER(データ_財務!F214)),データ_財務!F214/1000000,"n.a.")</f>
        <v>3049</v>
      </c>
      <c r="E7" s="75">
        <f>IF(AND(ISNUMBER(データ_財務!F203)),データ_財務!F203/1000000,"n.a.")</f>
        <v>3261</v>
      </c>
      <c r="F7" s="75">
        <f>IF(AND(ISNUMBER(データ_財務!F176)),データ_財務!F176/1000000,"n.a.")</f>
        <v>3368</v>
      </c>
      <c r="G7" s="75">
        <f>IF(AND(ISNUMBER(データ_財務!F173)),データ_財務!F173/1000000,"n.a.")</f>
        <v>2533</v>
      </c>
      <c r="H7" s="75">
        <f>IF(AND(ISNUMBER(データ_財務!F170)),データ_財務!F170/1000000,"n.a.")</f>
        <v>2697</v>
      </c>
      <c r="I7" s="75">
        <f>IF(AND(ISNUMBER(H7),ISNUMBER('3_Assumptions'!D6),ISNUMBER('3_Assumptions'!D30),'3_Assumptions'!D6&gt;=-1,1+'3_Assumptions'!D6+'3_Assumptions'!D30&gt;=0),H7*(1+'3_Assumptions'!D6+'3_Assumptions'!D30),"n.a.")</f>
        <v>3155.49</v>
      </c>
      <c r="J7" s="75">
        <f>IF(AND(ISNUMBER(I7),ISNUMBER('3_Assumptions'!E6),ISNUMBER('3_Assumptions'!E30),'3_Assumptions'!E6&gt;=-1,1+'3_Assumptions'!E6+'3_Assumptions'!E30&gt;=0),I7*(1+'3_Assumptions'!E6+'3_Assumptions'!E30),"n.a.")</f>
        <v>3376.3742999999999</v>
      </c>
      <c r="K7" s="75">
        <f>IF(AND(ISNUMBER(J7),ISNUMBER('3_Assumptions'!F6),ISNUMBER('3_Assumptions'!F30),'3_Assumptions'!F6&gt;=-1,1+'3_Assumptions'!F6+'3_Assumptions'!F30&gt;=0),J7*(1+'3_Assumptions'!F6+'3_Assumptions'!F30),"n.a.")</f>
        <v>3511.4292719999999</v>
      </c>
    </row>
    <row r="8" spans="1:11" ht="21.95" customHeight="1">
      <c r="A8" s="71"/>
      <c r="B8" s="71"/>
      <c r="C8" s="71" t="s">
        <v>742</v>
      </c>
      <c r="D8" s="75">
        <f>IF(AND(ISNUMBER(データ_財務!F215)),データ_財務!F215/1000000,"n.a.")</f>
        <v>1245</v>
      </c>
      <c r="E8" s="75">
        <f>IF(AND(ISNUMBER(データ_財務!F204)),データ_財務!F204/1000000,"n.a.")</f>
        <v>1408</v>
      </c>
      <c r="F8" s="75">
        <f>IF(AND(ISNUMBER(データ_財務!F177)),データ_財務!F177/1000000,"n.a.")</f>
        <v>1111</v>
      </c>
      <c r="G8" s="75">
        <f>IF(AND(ISNUMBER(データ_財務!F174)),データ_財務!F174/1000000,"n.a.")</f>
        <v>947</v>
      </c>
      <c r="H8" s="75">
        <f>IF(AND(ISNUMBER(データ_財務!F171)),データ_財務!F171/1000000,"n.a.")</f>
        <v>979</v>
      </c>
      <c r="I8" s="75">
        <f>IF(AND(ISNUMBER(H8),ISNUMBER('3_Assumptions'!D6),ISNUMBER('3_Assumptions'!D31),'3_Assumptions'!D6&gt;=-1,1+'3_Assumptions'!D6+'3_Assumptions'!D31&gt;=0),H8*(1+'3_Assumptions'!D6+'3_Assumptions'!D31),"n.a.")</f>
        <v>939.83999999999992</v>
      </c>
      <c r="J8" s="75">
        <f>IF(AND(ISNUMBER(I8),ISNUMBER('3_Assumptions'!E6),ISNUMBER('3_Assumptions'!E31),'3_Assumptions'!E6&gt;=-1,1+'3_Assumptions'!E6+'3_Assumptions'!E31&gt;=0),I8*(1+'3_Assumptions'!E6+'3_Assumptions'!E31),"n.a.")</f>
        <v>1005.6288</v>
      </c>
      <c r="K8" s="75">
        <f>IF(AND(ISNUMBER(J8),ISNUMBER('3_Assumptions'!F6),ISNUMBER('3_Assumptions'!F31),'3_Assumptions'!F6&gt;=-1,1+'3_Assumptions'!F6+'3_Assumptions'!F31&gt;=0),J8*(1+'3_Assumptions'!F6+'3_Assumptions'!F31),"n.a.")</f>
        <v>1045.8539519999999</v>
      </c>
    </row>
    <row r="9" spans="1:11" ht="21.95" customHeight="1">
      <c r="A9" s="71"/>
      <c r="B9" s="71"/>
      <c r="C9" s="71" t="s">
        <v>743</v>
      </c>
      <c r="D9" s="75">
        <f>IF(AND(ISNUMBER(データ_財務!F216)),データ_財務!F216/1000000,"n.a.")</f>
        <v>18344</v>
      </c>
      <c r="E9" s="75">
        <f>IF(AND(ISNUMBER(データ_財務!F205)),データ_財務!F205/1000000,"n.a.")</f>
        <v>20028</v>
      </c>
      <c r="F9" s="75">
        <f>IF(AND(ISNUMBER(データ_財務!F180)),データ_財務!F180/1000000,"n.a.")</f>
        <v>17519</v>
      </c>
      <c r="G9" s="75">
        <f>IF(AND(ISNUMBER(データ_財務!F178)),データ_財務!F178/1000000,"n.a.")</f>
        <v>15641</v>
      </c>
      <c r="H9" s="75">
        <f>IF(AND(ISNUMBER(データ_財務!F179)),データ_財務!F179/1000000,"n.a.")</f>
        <v>17682</v>
      </c>
      <c r="I9" s="75">
        <f>IF(AND(ISNUMBER('3_セグメント売上'!I6),ISNUMBER('3_セグメント売上'!I7),ISNUMBER('3_セグメント売上'!I8)),'3_セグメント売上'!I6+'3_セグメント売上'!I7+'3_セグメント売上'!I8,"n.a.")</f>
        <v>22387.166000000001</v>
      </c>
      <c r="J9" s="75">
        <f>IF(AND(ISNUMBER('3_セグメント売上'!J6),ISNUMBER('3_セグメント売上'!J7),ISNUMBER('3_セグメント売上'!J8)),'3_セグメント売上'!J6+'3_セグメント売上'!J7+'3_セグメント売上'!J8,"n.a.")</f>
        <v>23954.267619999999</v>
      </c>
      <c r="K9" s="75">
        <f>IF(AND(ISNUMBER('3_セグメント売上'!K6),ISNUMBER('3_セグメント売上'!K7),ISNUMBER('3_セグメント売上'!K8)),'3_セグメント売上'!K6+'3_セグメント売上'!K7+'3_セグメント売上'!K8,"n.a.")</f>
        <v>24912.438324800005</v>
      </c>
    </row>
    <row r="10" spans="1:11" ht="21.95" customHeight="1">
      <c r="A10" s="71"/>
      <c r="B10" s="71"/>
      <c r="C10" s="71"/>
      <c r="D10" s="75"/>
      <c r="E10" s="75"/>
      <c r="F10" s="75"/>
      <c r="G10" s="75"/>
      <c r="H10" s="75"/>
      <c r="I10" s="75"/>
      <c r="J10" s="75"/>
      <c r="K10" s="75"/>
    </row>
    <row r="11" spans="1:11" ht="21.95" customHeight="1">
      <c r="A11" s="71"/>
      <c r="B11" s="71"/>
      <c r="C11" s="77" t="s">
        <v>744</v>
      </c>
      <c r="D11" s="78">
        <f>IF(AND(ISNUMBER(D6),ISNUMBER(D7),ISNUMBER(D8)),D6+D7+D8,"n.a.")</f>
        <v>18344</v>
      </c>
      <c r="E11" s="78">
        <f>IF(AND(ISNUMBER(E6),ISNUMBER(E7),ISNUMBER(E8)),E6+E7+E8,"n.a.")</f>
        <v>20028</v>
      </c>
      <c r="F11" s="78">
        <f>IF(AND(ISNUMBER(F6),ISNUMBER(F7),ISNUMBER(F8)),F6+F7+F8,"n.a.")</f>
        <v>17519</v>
      </c>
      <c r="G11" s="78">
        <f>IF(AND(ISNUMBER(G6),ISNUMBER(G7),ISNUMBER(G8)),G6+G7+G8,"n.a.")</f>
        <v>15641</v>
      </c>
      <c r="H11" s="78">
        <f>IF(AND(ISNUMBER(H6),ISNUMBER(H7),ISNUMBER(H8)),H6+H7+H8,"n.a.")</f>
        <v>17682</v>
      </c>
      <c r="I11" s="78">
        <f>IF(AND(ISNUMBER('3_セグメント売上'!I6),ISNUMBER('3_セグメント売上'!I7),ISNUMBER('3_セグメント売上'!I8)),'3_セグメント売上'!I6+'3_セグメント売上'!I7+'3_セグメント売上'!I8,"n.a.")</f>
        <v>22387.166000000001</v>
      </c>
      <c r="J11" s="78">
        <f>IF(AND(ISNUMBER('3_セグメント売上'!J6),ISNUMBER('3_セグメント売上'!J7),ISNUMBER('3_セグメント売上'!J8)),'3_セグメント売上'!J6+'3_セグメント売上'!J7+'3_セグメント売上'!J8,"n.a.")</f>
        <v>23954.267619999999</v>
      </c>
      <c r="K11" s="78">
        <f>IF(AND(ISNUMBER('3_セグメント売上'!K6),ISNUMBER('3_セグメント売上'!K7),ISNUMBER('3_セグメント売上'!K8)),'3_セグメント売上'!K6+'3_セグメント売上'!K7+'3_セグメント売上'!K8,"n.a.")</f>
        <v>24912.438324800005</v>
      </c>
    </row>
    <row r="12" spans="1:11" ht="21.95" customHeight="1">
      <c r="A12" s="71"/>
      <c r="B12" s="71"/>
      <c r="C12" s="71"/>
      <c r="D12" s="75"/>
      <c r="E12" s="75"/>
      <c r="F12" s="75"/>
      <c r="G12" s="75"/>
      <c r="H12" s="75"/>
      <c r="I12" s="75"/>
      <c r="J12" s="75"/>
      <c r="K12" s="75"/>
    </row>
    <row r="13" spans="1:11" ht="21.95" customHeight="1">
      <c r="A13" s="71"/>
      <c r="B13" s="71"/>
      <c r="C13" s="71"/>
      <c r="D13" s="75"/>
      <c r="E13" s="75"/>
      <c r="F13" s="75"/>
      <c r="G13" s="75"/>
      <c r="H13" s="75"/>
      <c r="I13" s="75"/>
      <c r="J13" s="75"/>
      <c r="K13" s="75"/>
    </row>
    <row r="14" spans="1:11" ht="21.95" customHeight="1">
      <c r="A14" s="71"/>
      <c r="B14" s="71"/>
      <c r="C14" s="71" t="s">
        <v>745</v>
      </c>
      <c r="D14" s="75"/>
      <c r="E14" s="75"/>
      <c r="F14" s="75"/>
      <c r="G14" s="75"/>
      <c r="H14" s="75"/>
      <c r="I14" s="75"/>
      <c r="J14" s="75"/>
      <c r="K14" s="75"/>
    </row>
    <row r="15" spans="1:11" ht="21.95" customHeight="1">
      <c r="A15" s="71"/>
      <c r="B15" s="71"/>
      <c r="C15" s="71"/>
      <c r="D15" s="75"/>
      <c r="E15" s="75"/>
      <c r="F15" s="75"/>
      <c r="G15" s="75"/>
      <c r="H15" s="75"/>
      <c r="I15" s="75"/>
      <c r="J15" s="75"/>
      <c r="K15" s="75"/>
    </row>
    <row r="16" spans="1:11" ht="21.95" customHeight="1">
      <c r="A16" s="71"/>
      <c r="B16" s="71"/>
      <c r="C16" s="71"/>
      <c r="D16" s="75"/>
      <c r="E16" s="75"/>
      <c r="F16" s="75"/>
      <c r="G16" s="75"/>
      <c r="H16" s="75"/>
      <c r="I16" s="75"/>
      <c r="J16" s="75"/>
      <c r="K16" s="75"/>
    </row>
    <row r="17" spans="1:11" ht="21.95" customHeight="1">
      <c r="A17" s="71"/>
      <c r="B17" s="71"/>
      <c r="C17" s="71"/>
      <c r="D17" s="75"/>
      <c r="E17" s="75"/>
      <c r="F17" s="75"/>
      <c r="G17" s="75"/>
      <c r="H17" s="75"/>
      <c r="I17" s="75"/>
      <c r="J17" s="75"/>
      <c r="K17" s="75"/>
    </row>
    <row r="18" spans="1:11" ht="21.95" customHeight="1">
      <c r="A18" s="71"/>
      <c r="B18" s="71"/>
      <c r="C18" s="71"/>
      <c r="D18" s="75"/>
      <c r="E18" s="75"/>
      <c r="F18" s="75"/>
      <c r="G18" s="75"/>
      <c r="H18" s="75"/>
      <c r="I18" s="75"/>
      <c r="J18" s="75"/>
      <c r="K18" s="75"/>
    </row>
    <row r="19" spans="1:11" ht="21.95" customHeight="1">
      <c r="A19" s="71"/>
      <c r="B19" s="71"/>
      <c r="C19" s="71"/>
      <c r="D19" s="75"/>
      <c r="E19" s="75"/>
      <c r="F19" s="75"/>
      <c r="G19" s="75"/>
      <c r="H19" s="75"/>
      <c r="I19" s="75"/>
      <c r="J19" s="75"/>
      <c r="K19" s="75"/>
    </row>
    <row r="20" spans="1:11" ht="21.95" customHeight="1">
      <c r="A20" s="71"/>
      <c r="B20" s="71"/>
      <c r="C20" s="71"/>
      <c r="D20" s="75"/>
      <c r="E20" s="75"/>
      <c r="F20" s="75"/>
      <c r="G20" s="75"/>
      <c r="H20" s="75"/>
      <c r="I20" s="75"/>
      <c r="J20" s="75"/>
      <c r="K20" s="75"/>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c r="D24" s="75"/>
      <c r="E24" s="75"/>
      <c r="F24" s="75"/>
      <c r="G24" s="75"/>
      <c r="H24" s="75"/>
      <c r="I24" s="75"/>
      <c r="J24" s="75"/>
      <c r="K24" s="75"/>
    </row>
    <row r="25" spans="1:11" ht="21.95" customHeight="1">
      <c r="A25" s="71"/>
      <c r="B25" s="71"/>
      <c r="C25" s="71"/>
      <c r="D25" s="75"/>
      <c r="E25" s="75"/>
      <c r="F25" s="75"/>
      <c r="G25" s="75"/>
      <c r="H25" s="75"/>
      <c r="I25" s="75"/>
      <c r="J25" s="75"/>
      <c r="K25" s="75"/>
    </row>
    <row r="26" spans="1:11" ht="21.95" customHeight="1">
      <c r="A26" s="71"/>
      <c r="B26" s="71"/>
      <c r="C26" s="71"/>
      <c r="D26" s="75"/>
      <c r="E26" s="75"/>
      <c r="F26" s="75"/>
      <c r="G26" s="75"/>
      <c r="H26" s="75"/>
      <c r="I26" s="75"/>
      <c r="J26" s="75"/>
      <c r="K26" s="75"/>
    </row>
    <row r="27" spans="1:11" ht="21.95" customHeight="1">
      <c r="A27" s="71"/>
      <c r="B27" s="71"/>
      <c r="C27" s="71"/>
      <c r="D27" s="75"/>
      <c r="E27" s="75"/>
      <c r="F27" s="75"/>
      <c r="G27" s="75"/>
      <c r="H27" s="75"/>
      <c r="I27" s="75"/>
      <c r="J27" s="75"/>
      <c r="K27" s="75"/>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c r="D30" s="75"/>
      <c r="E30" s="75"/>
      <c r="F30" s="75"/>
      <c r="G30" s="75"/>
      <c r="H30" s="75"/>
      <c r="I30" s="75"/>
      <c r="J30" s="75"/>
      <c r="K30" s="75"/>
    </row>
    <row r="31" spans="1:11" ht="21.95" customHeight="1">
      <c r="A31" s="71"/>
      <c r="B31" s="71"/>
      <c r="C31" s="71"/>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row r="41" spans="1:11" ht="21.95" customHeight="1">
      <c r="A41" s="71"/>
      <c r="B41" s="71"/>
      <c r="C41" s="71"/>
      <c r="D41" s="75"/>
      <c r="E41" s="75"/>
      <c r="F41" s="75"/>
      <c r="G41" s="75"/>
      <c r="H41" s="75"/>
      <c r="I41" s="75"/>
      <c r="J41" s="75"/>
      <c r="K41" s="75"/>
    </row>
    <row r="42" spans="1:11" ht="21.95" customHeight="1">
      <c r="A42" s="71"/>
      <c r="B42" s="71"/>
      <c r="C42" s="71"/>
      <c r="D42" s="75"/>
      <c r="E42" s="75"/>
      <c r="F42" s="75"/>
      <c r="G42" s="75"/>
      <c r="H42" s="75"/>
      <c r="I42" s="75"/>
      <c r="J42" s="75"/>
      <c r="K42" s="75"/>
    </row>
    <row r="43" spans="1:11" ht="21.95" customHeight="1">
      <c r="A43" s="71"/>
      <c r="B43" s="71"/>
      <c r="C43" s="71"/>
      <c r="D43" s="75"/>
      <c r="E43" s="75"/>
      <c r="F43" s="75"/>
      <c r="G43" s="75"/>
      <c r="H43" s="75"/>
      <c r="I43" s="75"/>
      <c r="J43" s="75"/>
      <c r="K43" s="75"/>
    </row>
    <row r="44" spans="1:11" ht="21.95" customHeight="1">
      <c r="A44" s="71"/>
      <c r="B44" s="71"/>
      <c r="C44" s="71"/>
      <c r="D44" s="75"/>
      <c r="E44" s="75"/>
      <c r="F44" s="75"/>
      <c r="G44" s="75"/>
      <c r="H44" s="75"/>
      <c r="I44" s="75"/>
      <c r="J44" s="75"/>
      <c r="K44" s="75"/>
    </row>
    <row r="45" spans="1:11" ht="21.95" customHeight="1">
      <c r="A45" s="71"/>
      <c r="B45" s="71"/>
      <c r="C45" s="71"/>
      <c r="D45" s="75"/>
      <c r="E45" s="75"/>
      <c r="F45" s="75"/>
      <c r="G45" s="75"/>
      <c r="H45" s="75"/>
      <c r="I45" s="75"/>
      <c r="J45" s="75"/>
      <c r="K45" s="75"/>
    </row>
    <row r="46" spans="1:11" ht="21.95" customHeight="1">
      <c r="A46" s="71"/>
      <c r="B46" s="71"/>
      <c r="C46" s="71"/>
      <c r="D46" s="75"/>
      <c r="E46" s="75"/>
      <c r="F46" s="75"/>
      <c r="G46" s="75"/>
      <c r="H46" s="75"/>
      <c r="I46" s="75"/>
      <c r="J46" s="75"/>
      <c r="K46" s="75"/>
    </row>
    <row r="47" spans="1:11" ht="21.95" customHeight="1">
      <c r="A47" s="71"/>
      <c r="B47" s="71"/>
      <c r="C47" s="71"/>
      <c r="D47" s="75"/>
      <c r="E47" s="75"/>
      <c r="F47" s="75"/>
      <c r="G47" s="75"/>
      <c r="H47" s="75"/>
      <c r="I47" s="75"/>
      <c r="J47" s="75"/>
      <c r="K47" s="75"/>
    </row>
    <row r="48" spans="1:11" ht="21.95" customHeight="1">
      <c r="A48" s="71"/>
      <c r="B48" s="71"/>
      <c r="C48" s="71"/>
      <c r="D48" s="75"/>
      <c r="E48" s="75"/>
      <c r="F48" s="75"/>
      <c r="G48" s="75"/>
      <c r="H48" s="75"/>
      <c r="I48" s="75"/>
      <c r="J48" s="75"/>
      <c r="K48" s="75"/>
    </row>
    <row r="49" spans="1:11" ht="21.95" customHeight="1">
      <c r="A49" s="71"/>
      <c r="B49" s="71"/>
      <c r="C49" s="71"/>
      <c r="D49" s="75"/>
      <c r="E49" s="75"/>
      <c r="F49" s="75"/>
      <c r="G49" s="75"/>
      <c r="H49" s="75"/>
      <c r="I49" s="75"/>
      <c r="J49" s="75"/>
      <c r="K49" s="75"/>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c r="D52" s="75"/>
      <c r="E52" s="75"/>
      <c r="F52" s="75"/>
      <c r="G52" s="75"/>
      <c r="H52" s="75"/>
      <c r="I52" s="75"/>
      <c r="J52" s="75"/>
      <c r="K52" s="75"/>
    </row>
    <row r="53" spans="1:11" ht="21.95" customHeight="1">
      <c r="A53" s="71"/>
      <c r="B53" s="71"/>
      <c r="C53" s="71"/>
      <c r="D53" s="75"/>
      <c r="E53" s="75"/>
      <c r="F53" s="75"/>
      <c r="G53" s="75"/>
      <c r="H53" s="75"/>
      <c r="I53" s="75"/>
      <c r="J53" s="75"/>
      <c r="K53" s="75"/>
    </row>
    <row r="54" spans="1:11" ht="21.95" customHeight="1">
      <c r="A54" s="71"/>
      <c r="B54" s="71"/>
      <c r="C54" s="71"/>
      <c r="D54" s="75"/>
      <c r="E54" s="75"/>
      <c r="F54" s="75"/>
      <c r="G54" s="75"/>
      <c r="H54" s="75"/>
      <c r="I54" s="75"/>
      <c r="J54" s="75"/>
      <c r="K54" s="75"/>
    </row>
    <row r="55" spans="1:11" ht="21.95" customHeight="1">
      <c r="A55" s="71"/>
      <c r="B55" s="71"/>
      <c r="C55" s="71"/>
      <c r="D55" s="75"/>
      <c r="E55" s="75"/>
      <c r="F55" s="75"/>
      <c r="G55" s="75"/>
      <c r="H55" s="75"/>
      <c r="I55" s="75"/>
      <c r="J55" s="75"/>
      <c r="K55" s="75"/>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55"/>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746</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747</v>
      </c>
      <c r="D6" s="75">
        <f>IF(AND(ISNUMBER(データ_財務!F217)),データ_財務!F217/1000000,"n.a.")</f>
        <v>6237</v>
      </c>
      <c r="E6" s="75">
        <f>IF(AND(ISNUMBER(データ_財務!F206)),データ_財務!F206/1000000,"n.a.")</f>
        <v>6609</v>
      </c>
      <c r="F6" s="75">
        <f>IF(AND(ISNUMBER(データ_財務!F183)),データ_財務!F183/1000000,"n.a.")</f>
        <v>5814</v>
      </c>
      <c r="G6" s="75">
        <f>IF(AND(ISNUMBER(データ_財務!F182)),データ_財務!F182/1000000,"n.a.")</f>
        <v>5957</v>
      </c>
      <c r="H6" s="75">
        <f>IF(AND(ISNUMBER(データ_財務!F181)),データ_財務!F181/1000000,"n.a.")</f>
        <v>6763</v>
      </c>
      <c r="I6" s="75">
        <f>IF(AND(ISNUMBER('3_Forecast'!I8),ISNUMBER('3_Assumptions'!D33),ISNUMBER('3_Assumptions'!D34),ISNUMBER('3_Assumptions'!D35),ISNUMBER('3_Assumptions'!D36),ISNUMBER('3_Assumptions'!D37),ISNUMBER('3_Assumptions'!D38),'3_Assumptions'!D33&gt;=0,'3_Assumptions'!D34&gt;=0,'3_Assumptions'!D35&gt;=0,'3_Assumptions'!D36&gt;=0,'3_Assumptions'!D37&gt;=0,'3_Assumptions'!D38&gt;=0,('3_Assumptions'!D33+'3_Assumptions'!D34+'3_Assumptions'!D35+'3_Assumptions'!D36+'3_Assumptions'!D37+'3_Assumptions'!D38)&gt;0),'3_Forecast'!I8*'3_Assumptions'!D33/('3_Assumptions'!D33+'3_Assumptions'!D34+'3_Assumptions'!D35+'3_Assumptions'!D36+'3_Assumptions'!D37+'3_Assumptions'!D38),"n.a.")</f>
        <v>8562.6288687931246</v>
      </c>
      <c r="J6" s="75">
        <f>IF(AND(ISNUMBER('3_Forecast'!J8),ISNUMBER('3_Assumptions'!E33),ISNUMBER('3_Assumptions'!E34),ISNUMBER('3_Assumptions'!E35),ISNUMBER('3_Assumptions'!E36),ISNUMBER('3_Assumptions'!E37),ISNUMBER('3_Assumptions'!E38),'3_Assumptions'!E33&gt;=0,'3_Assumptions'!E34&gt;=0,'3_Assumptions'!E35&gt;=0,'3_Assumptions'!E36&gt;=0,'3_Assumptions'!E37&gt;=0,'3_Assumptions'!E38&gt;=0,('3_Assumptions'!E33+'3_Assumptions'!E34+'3_Assumptions'!E35+'3_Assumptions'!E36+'3_Assumptions'!E37+'3_Assumptions'!E38)&gt;0),'3_Forecast'!J8*'3_Assumptions'!E33/('3_Assumptions'!E33+'3_Assumptions'!E34+'3_Assumptions'!E35+'3_Assumptions'!E36+'3_Assumptions'!E37+'3_Assumptions'!E38),"n.a.")</f>
        <v>9162.0128896086426</v>
      </c>
      <c r="K6" s="75">
        <f>IF(AND(ISNUMBER('3_Forecast'!K8),ISNUMBER('3_Assumptions'!F33),ISNUMBER('3_Assumptions'!F34),ISNUMBER('3_Assumptions'!F35),ISNUMBER('3_Assumptions'!F36),ISNUMBER('3_Assumptions'!F37),ISNUMBER('3_Assumptions'!F38),'3_Assumptions'!F33&gt;=0,'3_Assumptions'!F34&gt;=0,'3_Assumptions'!F35&gt;=0,'3_Assumptions'!F36&gt;=0,'3_Assumptions'!F37&gt;=0,'3_Assumptions'!F38&gt;=0,('3_Assumptions'!F33+'3_Assumptions'!F34+'3_Assumptions'!F35+'3_Assumptions'!F36+'3_Assumptions'!F37+'3_Assumptions'!F38)&gt;0),'3_Forecast'!K8*'3_Assumptions'!F33/('3_Assumptions'!F33+'3_Assumptions'!F34+'3_Assumptions'!F35+'3_Assumptions'!F36+'3_Assumptions'!F37+'3_Assumptions'!F38),"n.a.")</f>
        <v>9528.4934051929904</v>
      </c>
    </row>
    <row r="7" spans="1:11" ht="21.95" customHeight="1">
      <c r="A7" s="71"/>
      <c r="B7" s="71"/>
      <c r="C7" s="71" t="s">
        <v>748</v>
      </c>
      <c r="D7" s="75">
        <f>IF(AND(ISNUMBER(データ_財務!F218)),データ_財務!F218/1000000,"n.a.")</f>
        <v>4586</v>
      </c>
      <c r="E7" s="75">
        <f>IF(AND(ISNUMBER(データ_財務!F207)),データ_財務!F207/1000000,"n.a.")</f>
        <v>4807</v>
      </c>
      <c r="F7" s="75">
        <f>IF(AND(ISNUMBER(データ_財務!F186)),データ_財務!F186/1000000,"n.a.")</f>
        <v>3293</v>
      </c>
      <c r="G7" s="75">
        <f>IF(AND(ISNUMBER(データ_財務!F185)),データ_財務!F185/1000000,"n.a.")</f>
        <v>3012</v>
      </c>
      <c r="H7" s="75">
        <f>IF(AND(ISNUMBER(データ_財務!F184)),データ_財務!F184/1000000,"n.a.")</f>
        <v>3781</v>
      </c>
      <c r="I7" s="75">
        <f>IF(AND(ISNUMBER('3_Forecast'!I8),ISNUMBER('3_Assumptions'!D33),ISNUMBER('3_Assumptions'!D34),ISNUMBER('3_Assumptions'!D35),ISNUMBER('3_Assumptions'!D36),ISNUMBER('3_Assumptions'!D37),ISNUMBER('3_Assumptions'!D38),'3_Assumptions'!D33&gt;=0,'3_Assumptions'!D34&gt;=0,'3_Assumptions'!D35&gt;=0,'3_Assumptions'!D36&gt;=0,'3_Assumptions'!D37&gt;=0,'3_Assumptions'!D38&gt;=0,('3_Assumptions'!D33+'3_Assumptions'!D34+'3_Assumptions'!D35+'3_Assumptions'!D36+'3_Assumptions'!D37+'3_Assumptions'!D38)&gt;0),'3_Forecast'!I8*'3_Assumptions'!D34/('3_Assumptions'!D33+'3_Assumptions'!D34+'3_Assumptions'!D35+'3_Assumptions'!D36+'3_Assumptions'!D37+'3_Assumptions'!D38),"n.a.")</f>
        <v>4787.1210635674688</v>
      </c>
      <c r="J7" s="75">
        <f>IF(AND(ISNUMBER('3_Forecast'!J8),ISNUMBER('3_Assumptions'!E33),ISNUMBER('3_Assumptions'!E34),ISNUMBER('3_Assumptions'!E35),ISNUMBER('3_Assumptions'!E36),ISNUMBER('3_Assumptions'!E37),ISNUMBER('3_Assumptions'!E38),'3_Assumptions'!E33&gt;=0,'3_Assumptions'!E34&gt;=0,'3_Assumptions'!E35&gt;=0,'3_Assumptions'!E36&gt;=0,'3_Assumptions'!E37&gt;=0,'3_Assumptions'!E38&gt;=0,('3_Assumptions'!E33+'3_Assumptions'!E34+'3_Assumptions'!E35+'3_Assumptions'!E36+'3_Assumptions'!E37+'3_Assumptions'!E38)&gt;0),'3_Forecast'!J8*'3_Assumptions'!E34/('3_Assumptions'!E33+'3_Assumptions'!E34+'3_Assumptions'!E35+'3_Assumptions'!E36+'3_Assumptions'!E37+'3_Assumptions'!E38),"n.a.")</f>
        <v>5122.2195380171906</v>
      </c>
      <c r="K7" s="75">
        <f>IF(AND(ISNUMBER('3_Forecast'!K8),ISNUMBER('3_Assumptions'!F33),ISNUMBER('3_Assumptions'!F34),ISNUMBER('3_Assumptions'!F35),ISNUMBER('3_Assumptions'!F36),ISNUMBER('3_Assumptions'!F37),ISNUMBER('3_Assumptions'!F38),'3_Assumptions'!F33&gt;=0,'3_Assumptions'!F34&gt;=0,'3_Assumptions'!F35&gt;=0,'3_Assumptions'!F36&gt;=0,'3_Assumptions'!F37&gt;=0,'3_Assumptions'!F38&gt;=0,('3_Assumptions'!F33+'3_Assumptions'!F34+'3_Assumptions'!F35+'3_Assumptions'!F36+'3_Assumptions'!F37+'3_Assumptions'!F38)&gt;0),'3_Forecast'!K8*'3_Assumptions'!F34/('3_Assumptions'!F33+'3_Assumptions'!F34+'3_Assumptions'!F35+'3_Assumptions'!F36+'3_Assumptions'!F37+'3_Assumptions'!F38),"n.a.")</f>
        <v>5327.1083195378797</v>
      </c>
    </row>
    <row r="8" spans="1:11" ht="21.95" customHeight="1">
      <c r="A8" s="71"/>
      <c r="B8" s="71"/>
      <c r="C8" s="71" t="s">
        <v>749</v>
      </c>
      <c r="D8" s="75">
        <f>IF(AND(ISNUMBER(データ_財務!F219)),データ_財務!F219/1000000,"n.a.")</f>
        <v>2018</v>
      </c>
      <c r="E8" s="75">
        <f>IF(AND(ISNUMBER(データ_財務!F208)),データ_財務!F208/1000000,"n.a.")</f>
        <v>2003</v>
      </c>
      <c r="F8" s="75">
        <f>IF(AND(ISNUMBER(データ_財務!F189)),データ_財務!F189/1000000,"n.a.")</f>
        <v>1721</v>
      </c>
      <c r="G8" s="75">
        <f>IF(AND(ISNUMBER(データ_財務!F188)),データ_財務!F188/1000000,"n.a.")</f>
        <v>1681</v>
      </c>
      <c r="H8" s="75">
        <f>IF(AND(ISNUMBER(データ_財務!F187)),データ_財務!F187/1000000,"n.a.")</f>
        <v>1887</v>
      </c>
      <c r="I8" s="75">
        <f>IF(AND(ISNUMBER('3_Forecast'!I8),ISNUMBER('3_Assumptions'!D33),ISNUMBER('3_Assumptions'!D34),ISNUMBER('3_Assumptions'!D35),ISNUMBER('3_Assumptions'!D36),ISNUMBER('3_Assumptions'!D37),ISNUMBER('3_Assumptions'!D38),'3_Assumptions'!D33&gt;=0,'3_Assumptions'!D34&gt;=0,'3_Assumptions'!D35&gt;=0,'3_Assumptions'!D36&gt;=0,'3_Assumptions'!D37&gt;=0,'3_Assumptions'!D38&gt;=0,('3_Assumptions'!D33+'3_Assumptions'!D34+'3_Assumptions'!D35+'3_Assumptions'!D36+'3_Assumptions'!D37+'3_Assumptions'!D38)&gt;0),'3_Forecast'!I8*'3_Assumptions'!D35/('3_Assumptions'!D33+'3_Assumptions'!D34+'3_Assumptions'!D35+'3_Assumptions'!D36+'3_Assumptions'!D37+'3_Assumptions'!D38),"n.a.")</f>
        <v>2389.129184594502</v>
      </c>
      <c r="J8" s="75">
        <f>IF(AND(ISNUMBER('3_Forecast'!J8),ISNUMBER('3_Assumptions'!E33),ISNUMBER('3_Assumptions'!E34),ISNUMBER('3_Assumptions'!E35),ISNUMBER('3_Assumptions'!E36),ISNUMBER('3_Assumptions'!E37),ISNUMBER('3_Assumptions'!E38),'3_Assumptions'!E33&gt;=0,'3_Assumptions'!E34&gt;=0,'3_Assumptions'!E35&gt;=0,'3_Assumptions'!E36&gt;=0,'3_Assumptions'!E37&gt;=0,'3_Assumptions'!E38&gt;=0,('3_Assumptions'!E33+'3_Assumptions'!E34+'3_Assumptions'!E35+'3_Assumptions'!E36+'3_Assumptions'!E37+'3_Assumptions'!E38)&gt;0),'3_Forecast'!J8*'3_Assumptions'!E35/('3_Assumptions'!E33+'3_Assumptions'!E34+'3_Assumptions'!E35+'3_Assumptions'!E36+'3_Assumptions'!E37+'3_Assumptions'!E38),"n.a.")</f>
        <v>2556.3682275161168</v>
      </c>
      <c r="K8" s="75">
        <f>IF(AND(ISNUMBER('3_Forecast'!K8),ISNUMBER('3_Assumptions'!F33),ISNUMBER('3_Assumptions'!F34),ISNUMBER('3_Assumptions'!F35),ISNUMBER('3_Assumptions'!F36),ISNUMBER('3_Assumptions'!F37),ISNUMBER('3_Assumptions'!F38),'3_Assumptions'!F33&gt;=0,'3_Assumptions'!F34&gt;=0,'3_Assumptions'!F35&gt;=0,'3_Assumptions'!F36&gt;=0,'3_Assumptions'!F37&gt;=0,'3_Assumptions'!F38&gt;=0,('3_Assumptions'!F33+'3_Assumptions'!F34+'3_Assumptions'!F35+'3_Assumptions'!F36+'3_Assumptions'!F37+'3_Assumptions'!F38)&gt;0),'3_Forecast'!K8*'3_Assumptions'!F35/('3_Assumptions'!F33+'3_Assumptions'!F34+'3_Assumptions'!F35+'3_Assumptions'!F36+'3_Assumptions'!F37+'3_Assumptions'!F38),"n.a.")</f>
        <v>2658.6229566167622</v>
      </c>
    </row>
    <row r="9" spans="1:11" ht="21.95" customHeight="1">
      <c r="A9" s="71"/>
      <c r="B9" s="71"/>
      <c r="C9" s="71" t="s">
        <v>750</v>
      </c>
      <c r="D9" s="75">
        <f>IF(AND(ISNUMBER(データ_財務!F220)),データ_財務!F220/1000000,"n.a.")</f>
        <v>3852</v>
      </c>
      <c r="E9" s="75">
        <f>IF(AND(ISNUMBER(データ_財務!F209)),データ_財務!F209/1000000,"n.a.")</f>
        <v>4807</v>
      </c>
      <c r="F9" s="75">
        <f>IF(AND(ISNUMBER(データ_財務!F192)),データ_財務!F192/1000000,"n.a.")</f>
        <v>4642</v>
      </c>
      <c r="G9" s="75">
        <f>IF(AND(ISNUMBER(データ_財務!F191)),データ_財務!F191/1000000,"n.a.")</f>
        <v>3519</v>
      </c>
      <c r="H9" s="75">
        <f>IF(AND(ISNUMBER(データ_財務!F190)),データ_財務!F190/1000000,"n.a.")</f>
        <v>3747</v>
      </c>
      <c r="I9" s="75">
        <f>IF(AND(ISNUMBER('3_Forecast'!I8),ISNUMBER('3_Assumptions'!D33),ISNUMBER('3_Assumptions'!D34),ISNUMBER('3_Assumptions'!D35),ISNUMBER('3_Assumptions'!D36),ISNUMBER('3_Assumptions'!D37),ISNUMBER('3_Assumptions'!D38),'3_Assumptions'!D33&gt;=0,'3_Assumptions'!D34&gt;=0,'3_Assumptions'!D35&gt;=0,'3_Assumptions'!D36&gt;=0,'3_Assumptions'!D37&gt;=0,'3_Assumptions'!D38&gt;=0,('3_Assumptions'!D33+'3_Assumptions'!D34+'3_Assumptions'!D35+'3_Assumptions'!D36+'3_Assumptions'!D37+'3_Assumptions'!D38)&gt;0),'3_Forecast'!I8*'3_Assumptions'!D36/('3_Assumptions'!D33+'3_Assumptions'!D34+'3_Assumptions'!D35+'3_Assumptions'!D36+'3_Assumptions'!D37+'3_Assumptions'!D38),"n.a.")</f>
        <v>4744.0736908720746</v>
      </c>
      <c r="J9" s="75">
        <f>IF(AND(ISNUMBER('3_Forecast'!J8),ISNUMBER('3_Assumptions'!E33),ISNUMBER('3_Assumptions'!E34),ISNUMBER('3_Assumptions'!E35),ISNUMBER('3_Assumptions'!E36),ISNUMBER('3_Assumptions'!E37),ISNUMBER('3_Assumptions'!E38),'3_Assumptions'!E33&gt;=0,'3_Assumptions'!E34&gt;=0,'3_Assumptions'!E35&gt;=0,'3_Assumptions'!E36&gt;=0,'3_Assumptions'!E37&gt;=0,'3_Assumptions'!E38&gt;=0,('3_Assumptions'!E33+'3_Assumptions'!E34+'3_Assumptions'!E35+'3_Assumptions'!E36+'3_Assumptions'!E37+'3_Assumptions'!E38)&gt;0),'3_Forecast'!J8*'3_Assumptions'!E36/('3_Assumptions'!E33+'3_Assumptions'!E34+'3_Assumptions'!E35+'3_Assumptions'!E36+'3_Assumptions'!E37+'3_Assumptions'!E38),"n.a.")</f>
        <v>5076.1588492331193</v>
      </c>
      <c r="K9" s="75">
        <f>IF(AND(ISNUMBER('3_Forecast'!K8),ISNUMBER('3_Assumptions'!F33),ISNUMBER('3_Assumptions'!F34),ISNUMBER('3_Assumptions'!F35),ISNUMBER('3_Assumptions'!F36),ISNUMBER('3_Assumptions'!F37),ISNUMBER('3_Assumptions'!F38),'3_Assumptions'!F33&gt;=0,'3_Assumptions'!F34&gt;=0,'3_Assumptions'!F35&gt;=0,'3_Assumptions'!F36&gt;=0,'3_Assumptions'!F37&gt;=0,'3_Assumptions'!F38&gt;=0,('3_Assumptions'!F33+'3_Assumptions'!F34+'3_Assumptions'!F35+'3_Assumptions'!F36+'3_Assumptions'!F37+'3_Assumptions'!F38)&gt;0),'3_Forecast'!K8*'3_Assumptions'!F36/('3_Assumptions'!F33+'3_Assumptions'!F34+'3_Assumptions'!F35+'3_Assumptions'!F36+'3_Assumptions'!F37+'3_Assumptions'!F38),"n.a.")</f>
        <v>5279.2052032024449</v>
      </c>
    </row>
    <row r="10" spans="1:11" ht="21.95" customHeight="1">
      <c r="A10" s="71"/>
      <c r="B10" s="71"/>
      <c r="C10" s="71" t="s">
        <v>751</v>
      </c>
      <c r="D10" s="75">
        <f>IF(AND(ISNUMBER(データ_財務!F221)),データ_財務!F221/1000000,"n.a.")</f>
        <v>1468</v>
      </c>
      <c r="E10" s="75">
        <f>IF(AND(ISNUMBER(データ_財務!F210)),データ_財務!F210/1000000,"n.a.")</f>
        <v>1602</v>
      </c>
      <c r="F10" s="75">
        <f>IF(AND(ISNUMBER(データ_財務!F195)),データ_財務!F195/1000000,"n.a.")</f>
        <v>1782</v>
      </c>
      <c r="G10" s="75">
        <f>IF(AND(ISNUMBER(データ_財務!F194)),データ_財務!F194/1000000,"n.a.")</f>
        <v>1212</v>
      </c>
      <c r="H10" s="75">
        <f>IF(AND(ISNUMBER(データ_財務!F193)),データ_財務!F193/1000000,"n.a.")</f>
        <v>1173</v>
      </c>
      <c r="I10" s="75">
        <f>IF(AND(ISNUMBER('3_Forecast'!I8),ISNUMBER('3_Assumptions'!D33),ISNUMBER('3_Assumptions'!D34),ISNUMBER('3_Assumptions'!D35),ISNUMBER('3_Assumptions'!D36),ISNUMBER('3_Assumptions'!D37),ISNUMBER('3_Assumptions'!D38),'3_Assumptions'!D33&gt;=0,'3_Assumptions'!D34&gt;=0,'3_Assumptions'!D35&gt;=0,'3_Assumptions'!D36&gt;=0,'3_Assumptions'!D37&gt;=0,'3_Assumptions'!D38&gt;=0,('3_Assumptions'!D33+'3_Assumptions'!D34+'3_Assumptions'!D35+'3_Assumptions'!D36+'3_Assumptions'!D37+'3_Assumptions'!D38)&gt;0),'3_Forecast'!I8*'3_Assumptions'!D37/('3_Assumptions'!D33+'3_Assumptions'!D34+'3_Assumptions'!D35+'3_Assumptions'!D36+'3_Assumptions'!D37+'3_Assumptions'!D38),"n.a.")</f>
        <v>1485.1343579911777</v>
      </c>
      <c r="J10" s="75">
        <f>IF(AND(ISNUMBER('3_Forecast'!J8),ISNUMBER('3_Assumptions'!E33),ISNUMBER('3_Assumptions'!E34),ISNUMBER('3_Assumptions'!E35),ISNUMBER('3_Assumptions'!E36),ISNUMBER('3_Assumptions'!E37),ISNUMBER('3_Assumptions'!E38),'3_Assumptions'!E33&gt;=0,'3_Assumptions'!E34&gt;=0,'3_Assumptions'!E35&gt;=0,'3_Assumptions'!E36&gt;=0,'3_Assumptions'!E37&gt;=0,'3_Assumptions'!E38&gt;=0,('3_Assumptions'!E33+'3_Assumptions'!E34+'3_Assumptions'!E35+'3_Assumptions'!E36+'3_Assumptions'!E37+'3_Assumptions'!E38)&gt;0),'3_Forecast'!J8*'3_Assumptions'!E37/('3_Assumptions'!E33+'3_Assumptions'!E34+'3_Assumptions'!E35+'3_Assumptions'!E36+'3_Assumptions'!E37+'3_Assumptions'!E38),"n.a.")</f>
        <v>1589.09376305056</v>
      </c>
      <c r="K10" s="75">
        <f>IF(AND(ISNUMBER('3_Forecast'!K8),ISNUMBER('3_Assumptions'!F33),ISNUMBER('3_Assumptions'!F34),ISNUMBER('3_Assumptions'!F35),ISNUMBER('3_Assumptions'!F36),ISNUMBER('3_Assumptions'!F37),ISNUMBER('3_Assumptions'!F38),'3_Assumptions'!F33&gt;=0,'3_Assumptions'!F34&gt;=0,'3_Assumptions'!F35&gt;=0,'3_Assumptions'!F36&gt;=0,'3_Assumptions'!F37&gt;=0,'3_Assumptions'!F38&gt;=0,('3_Assumptions'!F33+'3_Assumptions'!F34+'3_Assumptions'!F35+'3_Assumptions'!F36+'3_Assumptions'!F37+'3_Assumptions'!F38)&gt;0),'3_Forecast'!K8*'3_Assumptions'!F37/('3_Assumptions'!F33+'3_Assumptions'!F34+'3_Assumptions'!F35+'3_Assumptions'!F36+'3_Assumptions'!F37+'3_Assumptions'!F38),"n.a.")</f>
        <v>1652.6575135725827</v>
      </c>
    </row>
    <row r="11" spans="1:11" ht="21.95" customHeight="1">
      <c r="A11" s="71"/>
      <c r="B11" s="71"/>
      <c r="C11" s="71" t="s">
        <v>752</v>
      </c>
      <c r="D11" s="75">
        <f>IF(AND(ISNUMBER(データ_財務!F222)),データ_財務!F222/1000000,"n.a.")</f>
        <v>183</v>
      </c>
      <c r="E11" s="75">
        <f>IF(AND(ISNUMBER(データ_財務!F211)),データ_財務!F211/1000000,"n.a.")</f>
        <v>200</v>
      </c>
      <c r="F11" s="75">
        <f>IF(AND(ISNUMBER(データ_財務!F198)),データ_財務!F198/1000000,"n.a.")</f>
        <v>267</v>
      </c>
      <c r="G11" s="75">
        <f>IF(AND(ISNUMBER(データ_財務!F197)),データ_財務!F197/1000000,"n.a.")</f>
        <v>260</v>
      </c>
      <c r="H11" s="75">
        <f>IF(AND(ISNUMBER(データ_財務!F196)),データ_財務!F196/1000000,"n.a.")</f>
        <v>331</v>
      </c>
      <c r="I11" s="75">
        <f>IF(AND(ISNUMBER('3_Forecast'!I8),ISNUMBER('3_Assumptions'!D33),ISNUMBER('3_Assumptions'!D34),ISNUMBER('3_Assumptions'!D35),ISNUMBER('3_Assumptions'!D36),ISNUMBER('3_Assumptions'!D37),ISNUMBER('3_Assumptions'!D38),'3_Assumptions'!D33&gt;=0,'3_Assumptions'!D34&gt;=0,'3_Assumptions'!D35&gt;=0,'3_Assumptions'!D36&gt;=0,'3_Assumptions'!D37&gt;=0,'3_Assumptions'!D38&gt;=0,('3_Assumptions'!D33+'3_Assumptions'!D34+'3_Assumptions'!D35+'3_Assumptions'!D36+'3_Assumptions'!D37+'3_Assumptions'!D38)&gt;0),'3_Forecast'!I8*'3_Assumptions'!D38/('3_Assumptions'!D33+'3_Assumptions'!D34+'3_Assumptions'!D35+'3_Assumptions'!D36+'3_Assumptions'!D37+'3_Assumptions'!D38),"n.a.")</f>
        <v>419.07883418165369</v>
      </c>
      <c r="J11" s="75">
        <f>IF(AND(ISNUMBER('3_Forecast'!J8),ISNUMBER('3_Assumptions'!E33),ISNUMBER('3_Assumptions'!E34),ISNUMBER('3_Assumptions'!E35),ISNUMBER('3_Assumptions'!E36),ISNUMBER('3_Assumptions'!E37),ISNUMBER('3_Assumptions'!E38),'3_Assumptions'!E33&gt;=0,'3_Assumptions'!E34&gt;=0,'3_Assumptions'!E35&gt;=0,'3_Assumptions'!E36&gt;=0,'3_Assumptions'!E37&gt;=0,'3_Assumptions'!E38&gt;=0,('3_Assumptions'!E33+'3_Assumptions'!E34+'3_Assumptions'!E35+'3_Assumptions'!E36+'3_Assumptions'!E37+'3_Assumptions'!E38)&gt;0),'3_Forecast'!J8*'3_Assumptions'!E38/('3_Assumptions'!E33+'3_Assumptions'!E34+'3_Assumptions'!E35+'3_Assumptions'!E36+'3_Assumptions'!E37+'3_Assumptions'!E38),"n.a.")</f>
        <v>448.41435257436939</v>
      </c>
      <c r="K11" s="75">
        <f>IF(AND(ISNUMBER('3_Forecast'!K8),ISNUMBER('3_Assumptions'!F33),ISNUMBER('3_Assumptions'!F34),ISNUMBER('3_Assumptions'!F35),ISNUMBER('3_Assumptions'!F36),ISNUMBER('3_Assumptions'!F37),ISNUMBER('3_Assumptions'!F38),'3_Assumptions'!F33&gt;=0,'3_Assumptions'!F34&gt;=0,'3_Assumptions'!F35&gt;=0,'3_Assumptions'!F36&gt;=0,'3_Assumptions'!F37&gt;=0,'3_Assumptions'!F38&gt;=0,('3_Assumptions'!F33+'3_Assumptions'!F34+'3_Assumptions'!F35+'3_Assumptions'!F36+'3_Assumptions'!F37+'3_Assumptions'!F38)&gt;0),'3_Forecast'!K8*'3_Assumptions'!F38/('3_Assumptions'!F33+'3_Assumptions'!F34+'3_Assumptions'!F35+'3_Assumptions'!F36+'3_Assumptions'!F37+'3_Assumptions'!F38),"n.a.")</f>
        <v>466.35092667734432</v>
      </c>
    </row>
    <row r="12" spans="1:11" ht="21.95" customHeight="1">
      <c r="A12" s="71"/>
      <c r="B12" s="71"/>
      <c r="C12" s="71" t="s">
        <v>743</v>
      </c>
      <c r="D12" s="75">
        <f>IF(AND(ISNUMBER(データ_財務!F223)),データ_財務!F223/1000000,"n.a.")</f>
        <v>18344</v>
      </c>
      <c r="E12" s="75">
        <f>IF(AND(ISNUMBER(データ_財務!F212)),データ_財務!F212/1000000,"n.a.")</f>
        <v>20028</v>
      </c>
      <c r="F12" s="75">
        <f>IF(AND(ISNUMBER(データ_財務!F201)),データ_財務!F201/1000000,"n.a.")</f>
        <v>17519</v>
      </c>
      <c r="G12" s="75">
        <f>IF(AND(ISNUMBER(データ_財務!F200)),データ_財務!F200/1000000,"n.a.")</f>
        <v>15641</v>
      </c>
      <c r="H12" s="75">
        <f>IF(AND(ISNUMBER(データ_財務!F199)),データ_財務!F199/1000000,"n.a.")</f>
        <v>17682</v>
      </c>
      <c r="I12" s="75">
        <f>'3_Forecast'!I8</f>
        <v>22387.166000000001</v>
      </c>
      <c r="J12" s="75">
        <f>'3_Forecast'!J8</f>
        <v>23954.267619999999</v>
      </c>
      <c r="K12" s="75">
        <f>'3_Forecast'!K8</f>
        <v>24912.438324800005</v>
      </c>
    </row>
    <row r="13" spans="1:11" ht="21.95" customHeight="1">
      <c r="A13" s="71"/>
      <c r="B13" s="71"/>
      <c r="C13" s="71"/>
      <c r="D13" s="75"/>
      <c r="E13" s="75"/>
      <c r="F13" s="75"/>
      <c r="G13" s="75"/>
      <c r="H13" s="75"/>
      <c r="I13" s="75"/>
      <c r="J13" s="75"/>
      <c r="K13" s="75"/>
    </row>
    <row r="14" spans="1:11" ht="21.95" customHeight="1">
      <c r="A14" s="71"/>
      <c r="B14" s="71"/>
      <c r="C14" s="77" t="s">
        <v>744</v>
      </c>
      <c r="D14" s="78">
        <f t="shared" ref="D14:K14" si="0">IF(AND(ISNUMBER(D6),ISNUMBER(D7),ISNUMBER(D8),ISNUMBER(D9),ISNUMBER(D10),ISNUMBER(D11)),D6+D7+D8+D9+D10+D11,"n.a.")</f>
        <v>18344</v>
      </c>
      <c r="E14" s="78">
        <f t="shared" si="0"/>
        <v>20028</v>
      </c>
      <c r="F14" s="78">
        <f t="shared" si="0"/>
        <v>17519</v>
      </c>
      <c r="G14" s="78">
        <f t="shared" si="0"/>
        <v>15641</v>
      </c>
      <c r="H14" s="78">
        <f t="shared" si="0"/>
        <v>17682</v>
      </c>
      <c r="I14" s="78">
        <f t="shared" si="0"/>
        <v>22387.166000000001</v>
      </c>
      <c r="J14" s="78">
        <f t="shared" si="0"/>
        <v>23954.267620000002</v>
      </c>
      <c r="K14" s="78">
        <f t="shared" si="0"/>
        <v>24912.438324800001</v>
      </c>
    </row>
    <row r="15" spans="1:11" ht="21.95" customHeight="1">
      <c r="A15" s="71"/>
      <c r="B15" s="71"/>
      <c r="C15" s="71"/>
      <c r="D15" s="75"/>
      <c r="E15" s="75"/>
      <c r="F15" s="75"/>
      <c r="G15" s="75"/>
      <c r="H15" s="75"/>
      <c r="I15" s="75"/>
      <c r="J15" s="75"/>
      <c r="K15" s="75"/>
    </row>
    <row r="16" spans="1:11" ht="21.95" customHeight="1">
      <c r="A16" s="71"/>
      <c r="B16" s="71"/>
      <c r="C16" s="71"/>
      <c r="D16" s="75"/>
      <c r="E16" s="75"/>
      <c r="F16" s="75"/>
      <c r="G16" s="75"/>
      <c r="H16" s="75"/>
      <c r="I16" s="75"/>
      <c r="J16" s="75"/>
      <c r="K16" s="75"/>
    </row>
    <row r="17" spans="1:11" ht="21.95" customHeight="1">
      <c r="A17" s="71"/>
      <c r="B17" s="71"/>
      <c r="C17" s="71" t="s">
        <v>753</v>
      </c>
      <c r="D17" s="75"/>
      <c r="E17" s="75"/>
      <c r="F17" s="75"/>
      <c r="G17" s="75"/>
      <c r="H17" s="75"/>
      <c r="I17" s="75"/>
      <c r="J17" s="75"/>
      <c r="K17" s="75"/>
    </row>
    <row r="18" spans="1:11" ht="21.95" customHeight="1">
      <c r="A18" s="71"/>
      <c r="B18" s="71"/>
      <c r="C18" s="71"/>
      <c r="D18" s="75"/>
      <c r="E18" s="75"/>
      <c r="F18" s="75"/>
      <c r="G18" s="75"/>
      <c r="H18" s="75"/>
      <c r="I18" s="75"/>
      <c r="J18" s="75"/>
      <c r="K18" s="75"/>
    </row>
    <row r="19" spans="1:11" ht="21.95" customHeight="1">
      <c r="A19" s="71"/>
      <c r="B19" s="71"/>
      <c r="C19" s="71"/>
      <c r="D19" s="75"/>
      <c r="E19" s="75"/>
      <c r="F19" s="75"/>
      <c r="G19" s="75"/>
      <c r="H19" s="75"/>
      <c r="I19" s="75"/>
      <c r="J19" s="75"/>
      <c r="K19" s="75"/>
    </row>
    <row r="20" spans="1:11" ht="21.95" customHeight="1">
      <c r="A20" s="71"/>
      <c r="B20" s="71"/>
      <c r="C20" s="71"/>
      <c r="D20" s="75"/>
      <c r="E20" s="75"/>
      <c r="F20" s="75"/>
      <c r="G20" s="75"/>
      <c r="H20" s="75"/>
      <c r="I20" s="75"/>
      <c r="J20" s="75"/>
      <c r="K20" s="75"/>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c r="D24" s="75"/>
      <c r="E24" s="75"/>
      <c r="F24" s="75"/>
      <c r="G24" s="75"/>
      <c r="H24" s="75"/>
      <c r="I24" s="75"/>
      <c r="J24" s="75"/>
      <c r="K24" s="75"/>
    </row>
    <row r="25" spans="1:11" ht="21.95" customHeight="1">
      <c r="A25" s="71"/>
      <c r="B25" s="71"/>
      <c r="C25" s="71"/>
      <c r="D25" s="75"/>
      <c r="E25" s="75"/>
      <c r="F25" s="75"/>
      <c r="G25" s="75"/>
      <c r="H25" s="75"/>
      <c r="I25" s="75"/>
      <c r="J25" s="75"/>
      <c r="K25" s="75"/>
    </row>
    <row r="26" spans="1:11" ht="21.95" customHeight="1">
      <c r="A26" s="71"/>
      <c r="B26" s="71"/>
      <c r="C26" s="71"/>
      <c r="D26" s="75"/>
      <c r="E26" s="75"/>
      <c r="F26" s="75"/>
      <c r="G26" s="75"/>
      <c r="H26" s="75"/>
      <c r="I26" s="75"/>
      <c r="J26" s="75"/>
      <c r="K26" s="75"/>
    </row>
    <row r="27" spans="1:11" ht="21.95" customHeight="1">
      <c r="A27" s="71"/>
      <c r="B27" s="71"/>
      <c r="C27" s="71"/>
      <c r="D27" s="75"/>
      <c r="E27" s="75"/>
      <c r="F27" s="75"/>
      <c r="G27" s="75"/>
      <c r="H27" s="75"/>
      <c r="I27" s="75"/>
      <c r="J27" s="75"/>
      <c r="K27" s="75"/>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c r="D30" s="75"/>
      <c r="E30" s="75"/>
      <c r="F30" s="75"/>
      <c r="G30" s="75"/>
      <c r="H30" s="75"/>
      <c r="I30" s="75"/>
      <c r="J30" s="75"/>
      <c r="K30" s="75"/>
    </row>
    <row r="31" spans="1:11" ht="21.95" customHeight="1">
      <c r="A31" s="71"/>
      <c r="B31" s="71"/>
      <c r="C31" s="71"/>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row r="41" spans="1:11" ht="21.95" customHeight="1">
      <c r="A41" s="71"/>
      <c r="B41" s="71"/>
      <c r="C41" s="71"/>
      <c r="D41" s="75"/>
      <c r="E41" s="75"/>
      <c r="F41" s="75"/>
      <c r="G41" s="75"/>
      <c r="H41" s="75"/>
      <c r="I41" s="75"/>
      <c r="J41" s="75"/>
      <c r="K41" s="75"/>
    </row>
    <row r="42" spans="1:11" ht="21.95" customHeight="1">
      <c r="A42" s="71"/>
      <c r="B42" s="71"/>
      <c r="C42" s="71"/>
      <c r="D42" s="75"/>
      <c r="E42" s="75"/>
      <c r="F42" s="75"/>
      <c r="G42" s="75"/>
      <c r="H42" s="75"/>
      <c r="I42" s="75"/>
      <c r="J42" s="75"/>
      <c r="K42" s="75"/>
    </row>
    <row r="43" spans="1:11" ht="21.95" customHeight="1">
      <c r="A43" s="71"/>
      <c r="B43" s="71"/>
      <c r="C43" s="71"/>
      <c r="D43" s="75"/>
      <c r="E43" s="75"/>
      <c r="F43" s="75"/>
      <c r="G43" s="75"/>
      <c r="H43" s="75"/>
      <c r="I43" s="75"/>
      <c r="J43" s="75"/>
      <c r="K43" s="75"/>
    </row>
    <row r="44" spans="1:11" ht="21.95" customHeight="1">
      <c r="A44" s="71"/>
      <c r="B44" s="71"/>
      <c r="C44" s="71"/>
      <c r="D44" s="75"/>
      <c r="E44" s="75"/>
      <c r="F44" s="75"/>
      <c r="G44" s="75"/>
      <c r="H44" s="75"/>
      <c r="I44" s="75"/>
      <c r="J44" s="75"/>
      <c r="K44" s="75"/>
    </row>
    <row r="45" spans="1:11" ht="21.95" customHeight="1">
      <c r="A45" s="71"/>
      <c r="B45" s="71"/>
      <c r="C45" s="71"/>
      <c r="D45" s="75"/>
      <c r="E45" s="75"/>
      <c r="F45" s="75"/>
      <c r="G45" s="75"/>
      <c r="H45" s="75"/>
      <c r="I45" s="75"/>
      <c r="J45" s="75"/>
      <c r="K45" s="75"/>
    </row>
    <row r="46" spans="1:11" ht="21.95" customHeight="1">
      <c r="A46" s="71"/>
      <c r="B46" s="71"/>
      <c r="C46" s="71"/>
      <c r="D46" s="75"/>
      <c r="E46" s="75"/>
      <c r="F46" s="75"/>
      <c r="G46" s="75"/>
      <c r="H46" s="75"/>
      <c r="I46" s="75"/>
      <c r="J46" s="75"/>
      <c r="K46" s="75"/>
    </row>
    <row r="47" spans="1:11" ht="21.95" customHeight="1">
      <c r="A47" s="71"/>
      <c r="B47" s="71"/>
      <c r="C47" s="71"/>
      <c r="D47" s="75"/>
      <c r="E47" s="75"/>
      <c r="F47" s="75"/>
      <c r="G47" s="75"/>
      <c r="H47" s="75"/>
      <c r="I47" s="75"/>
      <c r="J47" s="75"/>
      <c r="K47" s="75"/>
    </row>
    <row r="48" spans="1:11" ht="21.95" customHeight="1">
      <c r="A48" s="71"/>
      <c r="B48" s="71"/>
      <c r="C48" s="71"/>
      <c r="D48" s="75"/>
      <c r="E48" s="75"/>
      <c r="F48" s="75"/>
      <c r="G48" s="75"/>
      <c r="H48" s="75"/>
      <c r="I48" s="75"/>
      <c r="J48" s="75"/>
      <c r="K48" s="75"/>
    </row>
    <row r="49" spans="1:11" ht="21.95" customHeight="1">
      <c r="A49" s="71"/>
      <c r="B49" s="71"/>
      <c r="C49" s="71"/>
      <c r="D49" s="75"/>
      <c r="E49" s="75"/>
      <c r="F49" s="75"/>
      <c r="G49" s="75"/>
      <c r="H49" s="75"/>
      <c r="I49" s="75"/>
      <c r="J49" s="75"/>
      <c r="K49" s="75"/>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c r="D52" s="75"/>
      <c r="E52" s="75"/>
      <c r="F52" s="75"/>
      <c r="G52" s="75"/>
      <c r="H52" s="75"/>
      <c r="I52" s="75"/>
      <c r="J52" s="75"/>
      <c r="K52" s="75"/>
    </row>
    <row r="53" spans="1:11" ht="21.95" customHeight="1">
      <c r="A53" s="71"/>
      <c r="B53" s="71"/>
      <c r="C53" s="71"/>
      <c r="D53" s="75"/>
      <c r="E53" s="75"/>
      <c r="F53" s="75"/>
      <c r="G53" s="75"/>
      <c r="H53" s="75"/>
      <c r="I53" s="75"/>
      <c r="J53" s="75"/>
      <c r="K53" s="75"/>
    </row>
    <row r="54" spans="1:11" ht="21.95" customHeight="1">
      <c r="A54" s="71"/>
      <c r="B54" s="71"/>
      <c r="C54" s="71"/>
      <c r="D54" s="75"/>
      <c r="E54" s="75"/>
      <c r="F54" s="75"/>
      <c r="G54" s="75"/>
      <c r="H54" s="75"/>
      <c r="I54" s="75"/>
      <c r="J54" s="75"/>
      <c r="K54" s="75"/>
    </row>
    <row r="55" spans="1:11" ht="21.95" customHeight="1">
      <c r="A55" s="71"/>
      <c r="B55" s="71"/>
      <c r="C55" s="71"/>
      <c r="D55" s="75"/>
      <c r="E55" s="75"/>
      <c r="F55" s="75"/>
      <c r="G55" s="75"/>
      <c r="H55" s="75"/>
      <c r="I55" s="75"/>
      <c r="J55" s="75"/>
      <c r="K55" s="75"/>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75"/>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754</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755</v>
      </c>
      <c r="D6" s="75"/>
      <c r="E6" s="75"/>
      <c r="F6" s="75"/>
      <c r="G6" s="75"/>
      <c r="H6" s="75"/>
      <c r="I6" s="79">
        <v>365</v>
      </c>
      <c r="J6" s="79">
        <v>365</v>
      </c>
      <c r="K6" s="79">
        <v>366</v>
      </c>
    </row>
    <row r="7" spans="1:11" ht="21.95" customHeight="1">
      <c r="A7" s="71"/>
      <c r="B7" s="71"/>
      <c r="C7" s="71"/>
      <c r="D7" s="75"/>
      <c r="E7" s="75"/>
      <c r="F7" s="75"/>
      <c r="G7" s="75"/>
      <c r="H7" s="75"/>
      <c r="I7" s="75"/>
      <c r="J7" s="75"/>
      <c r="K7" s="75"/>
    </row>
    <row r="8" spans="1:11" ht="21.95" customHeight="1">
      <c r="A8" s="71"/>
      <c r="B8" s="71"/>
      <c r="C8" s="71" t="s">
        <v>690</v>
      </c>
      <c r="D8" s="75"/>
      <c r="E8" s="75"/>
      <c r="F8" s="75"/>
      <c r="G8" s="75"/>
      <c r="H8" s="80">
        <f>'3_PL'!H6</f>
        <v>17682</v>
      </c>
      <c r="I8" s="80">
        <f>IF(AND(ISNUMBER('3_セグメント売上'!I6),ISNUMBER('3_セグメント売上'!I7),ISNUMBER('3_セグメント売上'!I8)),'3_セグメント売上'!I6+'3_セグメント売上'!I7+'3_セグメント売上'!I8,"n.a.")</f>
        <v>22387.166000000001</v>
      </c>
      <c r="J8" s="80">
        <f>IF(AND(ISNUMBER('3_セグメント売上'!J6),ISNUMBER('3_セグメント売上'!J7),ISNUMBER('3_セグメント売上'!J8)),'3_セグメント売上'!J6+'3_セグメント売上'!J7+'3_セグメント売上'!J8,"n.a.")</f>
        <v>23954.267619999999</v>
      </c>
      <c r="K8" s="80">
        <f>IF(AND(ISNUMBER('3_セグメント売上'!K6),ISNUMBER('3_セグメント売上'!K7),ISNUMBER('3_セグメント売上'!K8)),'3_セグメント売上'!K6+'3_セグメント売上'!K7+'3_セグメント売上'!K8,"n.a.")</f>
        <v>24912.438324800005</v>
      </c>
    </row>
    <row r="9" spans="1:11" ht="21.95" customHeight="1">
      <c r="A9" s="71"/>
      <c r="B9" s="71"/>
      <c r="C9" s="71" t="s">
        <v>712</v>
      </c>
      <c r="D9" s="75"/>
      <c r="E9" s="75"/>
      <c r="F9" s="75"/>
      <c r="G9" s="75"/>
      <c r="H9" s="80">
        <f>'3_PL'!H7</f>
        <v>7599</v>
      </c>
      <c r="I9" s="75">
        <f>IF(AND(ISNUMBER(I8),ISNUMBER(I10)),I8-I10,"n.a.")</f>
        <v>8507.1230800000012</v>
      </c>
      <c r="J9" s="75">
        <f>IF(AND(ISNUMBER(J8),ISNUMBER(J10)),J8-J10,"n.a.")</f>
        <v>8863.0790194000001</v>
      </c>
      <c r="K9" s="75">
        <f>IF(AND(ISNUMBER(K8),ISNUMBER(K10)),K8-K10,"n.a.")</f>
        <v>9840.4131382960022</v>
      </c>
    </row>
    <row r="10" spans="1:11" ht="21.95" customHeight="1">
      <c r="A10" s="71"/>
      <c r="B10" s="71"/>
      <c r="C10" s="71" t="s">
        <v>713</v>
      </c>
      <c r="D10" s="75"/>
      <c r="E10" s="75"/>
      <c r="F10" s="75"/>
      <c r="G10" s="75"/>
      <c r="H10" s="80">
        <f>'3_PL'!H8</f>
        <v>10083</v>
      </c>
      <c r="I10" s="80">
        <f>IF(AND(ISNUMBER(I8),ISNUMBER('3_Assumptions'!D7),'3_Assumptions'!D7&gt;=0,'3_Assumptions'!D7&lt;=1),I8*'3_Assumptions'!D7,"n.a.")</f>
        <v>13880.04292</v>
      </c>
      <c r="J10" s="80">
        <f>IF(AND(ISNUMBER(J8),ISNUMBER('3_Assumptions'!E7),'3_Assumptions'!E7&gt;=0,'3_Assumptions'!E7&lt;=1),J8*'3_Assumptions'!E7,"n.a.")</f>
        <v>15091.188600599999</v>
      </c>
      <c r="K10" s="80">
        <f>IF(AND(ISNUMBER(K8),ISNUMBER('3_Assumptions'!F7),'3_Assumptions'!F7&gt;=0,'3_Assumptions'!F7&lt;=1),K8*'3_Assumptions'!F7,"n.a.")</f>
        <v>15072.025186504003</v>
      </c>
    </row>
    <row r="11" spans="1:11" ht="21.95" customHeight="1">
      <c r="A11" s="71"/>
      <c r="B11" s="71"/>
      <c r="C11" s="71" t="s">
        <v>714</v>
      </c>
      <c r="D11" s="75"/>
      <c r="E11" s="75"/>
      <c r="F11" s="75"/>
      <c r="G11" s="75"/>
      <c r="H11" s="80">
        <f>'3_PL'!H9</f>
        <v>1860</v>
      </c>
      <c r="I11" s="80">
        <f>IF(AND(ISNUMBER(I8),ISNUMBER('3_Assumptions'!D8),'3_Assumptions'!D8&gt;=0),I8*'3_Assumptions'!D8,"n.a.")</f>
        <v>1880.5219440000003</v>
      </c>
      <c r="J11" s="80">
        <f>IF(AND(ISNUMBER(J8),ISNUMBER('3_Assumptions'!E8),'3_Assumptions'!E8&gt;=0),J8*'3_Assumptions'!E8,"n.a.")</f>
        <v>1964.2499448399999</v>
      </c>
      <c r="K11" s="80">
        <f>IF(AND(ISNUMBER(K8),ISNUMBER('3_Assumptions'!F8),'3_Assumptions'!F8&gt;=0),K8*'3_Assumptions'!F8,"n.a.")</f>
        <v>2142.4696959328003</v>
      </c>
    </row>
    <row r="12" spans="1:11" ht="21.95" customHeight="1">
      <c r="A12" s="71"/>
      <c r="B12" s="71"/>
      <c r="C12" s="71" t="s">
        <v>756</v>
      </c>
      <c r="D12" s="75"/>
      <c r="E12" s="75"/>
      <c r="F12" s="75"/>
      <c r="G12" s="75"/>
      <c r="H12" s="75"/>
      <c r="I12" s="80">
        <f>IF(AND(ISNUMBER(I8),ISNUMBER('3_Assumptions'!D9),'3_Assumptions'!D9&gt;=0),I8*'3_Assumptions'!D9,"n.a.")</f>
        <v>2149.1679360000003</v>
      </c>
      <c r="J12" s="80">
        <f>IF(AND(ISNUMBER(J8),ISNUMBER('3_Assumptions'!E9),'3_Assumptions'!E9&gt;=0),J8*'3_Assumptions'!E9,"n.a.")</f>
        <v>2203.7926210399996</v>
      </c>
      <c r="K12" s="80">
        <f>IF(AND(ISNUMBER(K8),ISNUMBER('3_Assumptions'!F9),'3_Assumptions'!F9&gt;=0),K8*'3_Assumptions'!F9,"n.a.")</f>
        <v>2391.5940791808007</v>
      </c>
    </row>
    <row r="13" spans="1:11" ht="21.95" customHeight="1">
      <c r="A13" s="71"/>
      <c r="B13" s="71"/>
      <c r="C13" s="71" t="s">
        <v>757</v>
      </c>
      <c r="D13" s="75"/>
      <c r="E13" s="75"/>
      <c r="F13" s="75"/>
      <c r="G13" s="75"/>
      <c r="H13" s="75"/>
      <c r="I13" s="80">
        <f>IF(AND(ISNUMBER(I8),ISNUMBER('3_Assumptions'!D10)),I8*'3_Assumptions'!D10,"n.a.")</f>
        <v>0</v>
      </c>
      <c r="J13" s="80">
        <f>IF(AND(ISNUMBER(J8),ISNUMBER('3_Assumptions'!E10)),J8*'3_Assumptions'!E10,"n.a.")</f>
        <v>0</v>
      </c>
      <c r="K13" s="80">
        <f>IF(AND(ISNUMBER(K8),ISNUMBER('3_Assumptions'!F10)),K8*'3_Assumptions'!F10,"n.a.")</f>
        <v>0</v>
      </c>
    </row>
    <row r="14" spans="1:11" ht="21.95" customHeight="1">
      <c r="A14" s="71"/>
      <c r="B14" s="71"/>
      <c r="C14" s="71" t="s">
        <v>691</v>
      </c>
      <c r="D14" s="75"/>
      <c r="E14" s="75"/>
      <c r="F14" s="75"/>
      <c r="G14" s="75"/>
      <c r="H14" s="80">
        <f>'3_PL'!H12</f>
        <v>6023</v>
      </c>
      <c r="I14" s="75">
        <f>IF(AND(ISNUMBER(I10),ISNUMBER(I11),ISNUMBER(I12),ISNUMBER(I13)),I10-I11-I12-I13,"n.a.")</f>
        <v>9850.35304</v>
      </c>
      <c r="J14" s="75">
        <f>IF(AND(ISNUMBER(J10),ISNUMBER(J11),ISNUMBER(J12),ISNUMBER(J13)),J10-J11-J12-J13,"n.a.")</f>
        <v>10923.146034719999</v>
      </c>
      <c r="K14" s="75">
        <f>IF(AND(ISNUMBER(K10),ISNUMBER(K11),ISNUMBER(K12),ISNUMBER(K13)),K10-K11-K12-K13,"n.a.")</f>
        <v>10537.961411390401</v>
      </c>
    </row>
    <row r="15" spans="1:11" ht="21.95" customHeight="1">
      <c r="A15" s="71"/>
      <c r="B15" s="71"/>
      <c r="C15" s="71" t="s">
        <v>758</v>
      </c>
      <c r="D15" s="75"/>
      <c r="E15" s="75"/>
      <c r="F15" s="75"/>
      <c r="G15" s="75"/>
      <c r="H15" s="75"/>
      <c r="I15" s="80">
        <f>IF(AND(ISNUMBER('3_Assumptions'!D11)),'3_Assumptions'!D11,"n.a.")</f>
        <v>-313</v>
      </c>
      <c r="J15" s="80">
        <f>IF(AND(ISNUMBER('3_Assumptions'!E11)),'3_Assumptions'!E11,"n.a.")</f>
        <v>-313</v>
      </c>
      <c r="K15" s="80">
        <f>IF(AND(ISNUMBER('3_Assumptions'!F11)),'3_Assumptions'!F11,"n.a.")</f>
        <v>-313</v>
      </c>
    </row>
    <row r="16" spans="1:11" ht="21.95" customHeight="1">
      <c r="A16" s="71"/>
      <c r="B16" s="71"/>
      <c r="C16" s="71" t="s">
        <v>759</v>
      </c>
      <c r="D16" s="75"/>
      <c r="E16" s="75"/>
      <c r="F16" s="75"/>
      <c r="G16" s="75"/>
      <c r="H16" s="75"/>
      <c r="I16" s="80">
        <f>IF(AND(ISNUMBER(H49),ISNUMBER('3_Assumptions'!D24),'3_Assumptions'!D24&gt;=0,'3_Assumptions'!D24&lt;=1),H49*'3_Assumptions'!D24,"n.a.")</f>
        <v>0</v>
      </c>
      <c r="J16" s="80">
        <f>IF(AND(ISNUMBER(I49),ISNUMBER('3_Assumptions'!E24),'3_Assumptions'!E24&gt;=0,'3_Assumptions'!E24&lt;=1),I49*'3_Assumptions'!E24,"n.a.")</f>
        <v>0</v>
      </c>
      <c r="K16" s="80">
        <f>IF(AND(ISNUMBER(J49),ISNUMBER('3_Assumptions'!F24),'3_Assumptions'!F24&gt;=0,'3_Assumptions'!F24&lt;=1),J49*'3_Assumptions'!F24,"n.a.")</f>
        <v>0</v>
      </c>
    </row>
    <row r="17" spans="1:11" ht="21.95" customHeight="1">
      <c r="A17" s="71"/>
      <c r="B17" s="71"/>
      <c r="C17" s="71" t="s">
        <v>717</v>
      </c>
      <c r="D17" s="75"/>
      <c r="E17" s="75"/>
      <c r="F17" s="75"/>
      <c r="G17" s="75"/>
      <c r="H17" s="80">
        <f>'3_PL'!H13</f>
        <v>5710</v>
      </c>
      <c r="I17" s="75">
        <f>IF(AND(ISNUMBER(I14),ISNUMBER(I15),ISNUMBER(I16)),I14+I15-I16,"n.a.")</f>
        <v>9537.35304</v>
      </c>
      <c r="J17" s="75">
        <f>IF(AND(ISNUMBER(J14),ISNUMBER(J15),ISNUMBER(J16)),J14+J15-J16,"n.a.")</f>
        <v>10610.146034719999</v>
      </c>
      <c r="K17" s="75">
        <f>IF(AND(ISNUMBER(K14),ISNUMBER(K15),ISNUMBER(K16)),K14+K15-K16,"n.a.")</f>
        <v>10224.961411390401</v>
      </c>
    </row>
    <row r="18" spans="1:11" ht="21.95" customHeight="1">
      <c r="A18" s="71"/>
      <c r="B18" s="71"/>
      <c r="C18" s="71" t="s">
        <v>718</v>
      </c>
      <c r="D18" s="75"/>
      <c r="E18" s="75"/>
      <c r="F18" s="75"/>
      <c r="G18" s="75"/>
      <c r="H18" s="80">
        <f>'3_PL'!H14</f>
        <v>709</v>
      </c>
      <c r="I18" s="80">
        <f>IF(AND(ISNUMBER(I17),ISNUMBER('3_Assumptions'!D12),'3_Assumptions'!D12&gt;=0,'3_Assumptions'!D12&lt;=1),MAX(0,I17)*'3_Assumptions'!D12,"n.a.")</f>
        <v>1144.4823647999999</v>
      </c>
      <c r="J18" s="80">
        <f>IF(AND(ISNUMBER(J17),ISNUMBER('3_Assumptions'!E12),'3_Assumptions'!E12&gt;=0,'3_Assumptions'!E12&lt;=1),MAX(0,J17)*'3_Assumptions'!E12,"n.a.")</f>
        <v>1432.3697146872</v>
      </c>
      <c r="K18" s="80">
        <f>IF(AND(ISNUMBER(K17),ISNUMBER('3_Assumptions'!F12),'3_Assumptions'!F12&gt;=0,'3_Assumptions'!F12&lt;=1),MAX(0,K17)*'3_Assumptions'!F12,"n.a.")</f>
        <v>1380.3697905377041</v>
      </c>
    </row>
    <row r="19" spans="1:11" ht="21.95" customHeight="1">
      <c r="A19" s="71"/>
      <c r="B19" s="71"/>
      <c r="C19" s="71" t="s">
        <v>719</v>
      </c>
      <c r="D19" s="75"/>
      <c r="E19" s="75"/>
      <c r="F19" s="75"/>
      <c r="G19" s="75"/>
      <c r="H19" s="80">
        <f>'3_PL'!H15</f>
        <v>5001</v>
      </c>
      <c r="I19" s="75">
        <f>IF(AND(ISNUMBER(I17),ISNUMBER(I18)),I17-I18,"n.a.")</f>
        <v>8392.8706751999998</v>
      </c>
      <c r="J19" s="75">
        <f>IF(AND(ISNUMBER(J17),ISNUMBER(J18)),J17-J18,"n.a.")</f>
        <v>9177.776320032799</v>
      </c>
      <c r="K19" s="75">
        <f>IF(AND(ISNUMBER(K17),ISNUMBER(K18)),K17-K18,"n.a.")</f>
        <v>8844.591620852696</v>
      </c>
    </row>
    <row r="20" spans="1:11" ht="21.95" customHeight="1">
      <c r="A20" s="71"/>
      <c r="B20" s="71"/>
      <c r="C20" s="71" t="s">
        <v>720</v>
      </c>
      <c r="D20" s="75"/>
      <c r="E20" s="75"/>
      <c r="F20" s="75"/>
      <c r="G20" s="75"/>
      <c r="H20" s="75"/>
      <c r="I20" s="80">
        <f>IF(AND(ISNUMBER(I19),ISNUMBER('3_Assumptions'!D13),'3_Assumptions'!D13&gt;=0,'3_Assumptions'!D13&lt;=1),I19*'3_Assumptions'!D13,"n.a.")</f>
        <v>0</v>
      </c>
      <c r="J20" s="80">
        <f>IF(AND(ISNUMBER(J19),ISNUMBER('3_Assumptions'!E13),'3_Assumptions'!E13&gt;=0,'3_Assumptions'!E13&lt;=1),J19*'3_Assumptions'!E13,"n.a.")</f>
        <v>0</v>
      </c>
      <c r="K20" s="80">
        <f>IF(AND(ISNUMBER(K19),ISNUMBER('3_Assumptions'!F13),'3_Assumptions'!F13&gt;=0,'3_Assumptions'!F13&lt;=1),K19*'3_Assumptions'!F13,"n.a.")</f>
        <v>0</v>
      </c>
    </row>
    <row r="21" spans="1:11" ht="21.95" customHeight="1">
      <c r="A21" s="71"/>
      <c r="B21" s="71"/>
      <c r="C21" s="71" t="s">
        <v>692</v>
      </c>
      <c r="D21" s="75"/>
      <c r="E21" s="75"/>
      <c r="F21" s="75"/>
      <c r="G21" s="75"/>
      <c r="H21" s="80">
        <f>'3_PL'!H17</f>
        <v>5001</v>
      </c>
      <c r="I21" s="75">
        <f>IF(AND(ISNUMBER(I19),ISNUMBER(I20)),I19-I20,"n.a.")</f>
        <v>8392.8706751999998</v>
      </c>
      <c r="J21" s="75">
        <f>IF(AND(ISNUMBER(J19),ISNUMBER(J20)),J19-J20,"n.a.")</f>
        <v>9177.776320032799</v>
      </c>
      <c r="K21" s="75">
        <f>IF(AND(ISNUMBER(K19),ISNUMBER(K20)),K19-K20,"n.a.")</f>
        <v>8844.591620852696</v>
      </c>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t="s">
        <v>723</v>
      </c>
      <c r="D24" s="75"/>
      <c r="E24" s="75"/>
      <c r="F24" s="75"/>
      <c r="G24" s="75"/>
      <c r="H24" s="80">
        <f>'3_BS'!H7</f>
        <v>1963</v>
      </c>
      <c r="I24" s="80">
        <f>IF(AND(ISNUMBER(I8),ISNUMBER(I6),ISNUMBER('3_Assumptions'!D14),'3_Assumptions'!D14&gt;=0),I8/I6*'3_Assumptions'!D14,"n.a.")</f>
        <v>2485.352723560683</v>
      </c>
      <c r="J24" s="80">
        <f>IF(AND(ISNUMBER(J8),ISNUMBER(J6),ISNUMBER('3_Assumptions'!E14),'3_Assumptions'!E14&gt;=0),J8/J6*'3_Assumptions'!E14,"n.a.")</f>
        <v>2659.3274142099303</v>
      </c>
      <c r="K24" s="80">
        <f>IF(AND(ISNUMBER(K8),ISNUMBER(K6),ISNUMBER('3_Assumptions'!F14),'3_Assumptions'!F14&gt;=0),K8/K6*'3_Assumptions'!F14,"n.a.")</f>
        <v>2758.1439520057106</v>
      </c>
    </row>
    <row r="25" spans="1:11" ht="21.95" customHeight="1">
      <c r="A25" s="71"/>
      <c r="B25" s="71"/>
      <c r="C25" s="71" t="s">
        <v>724</v>
      </c>
      <c r="D25" s="75"/>
      <c r="E25" s="75"/>
      <c r="F25" s="75"/>
      <c r="G25" s="75"/>
      <c r="H25" s="80">
        <f>'3_BS'!H8</f>
        <v>4804</v>
      </c>
      <c r="I25" s="80">
        <f>IF(AND(ISNUMBER(I9),ISNUMBER(I6),ISNUMBER('3_Assumptions'!D15),'3_Assumptions'!D15&gt;=0),I9/I6*'3_Assumptions'!D15,"n.a.")</f>
        <v>4661.4373041095896</v>
      </c>
      <c r="J25" s="80">
        <f>IF(AND(ISNUMBER(J9),ISNUMBER(J6),ISNUMBER('3_Assumptions'!E15),'3_Assumptions'!E15&gt;=0),J9/J6*'3_Assumptions'!E15,"n.a.")</f>
        <v>4856.4816544657533</v>
      </c>
      <c r="K25" s="80">
        <f>IF(AND(ISNUMBER(K9),ISNUMBER(K6),ISNUMBER('3_Assumptions'!F15),'3_Assumptions'!F15&gt;=0),K9/K6*'3_Assumptions'!F15,"n.a.")</f>
        <v>5377.2749389595638</v>
      </c>
    </row>
    <row r="26" spans="1:11" ht="21.95" customHeight="1">
      <c r="A26" s="71"/>
      <c r="B26" s="71"/>
      <c r="C26" s="71" t="s">
        <v>728</v>
      </c>
      <c r="D26" s="75"/>
      <c r="E26" s="75"/>
      <c r="F26" s="75"/>
      <c r="G26" s="75"/>
      <c r="H26" s="80">
        <f>'3_BS'!H13</f>
        <v>756</v>
      </c>
      <c r="I26" s="80">
        <f>IF(AND(ISNUMBER(I9),ISNUMBER(I6),ISNUMBER('3_Assumptions'!D16),'3_Assumptions'!D16&gt;=0),I9/I6*'3_Assumptions'!D16,"n.a.")</f>
        <v>846.34623614686154</v>
      </c>
      <c r="J26" s="80">
        <f>IF(AND(ISNUMBER(J9),ISNUMBER(J6),ISNUMBER('3_Assumptions'!E16),'3_Assumptions'!E16&gt;=0),J9/J6*'3_Assumptions'!E16,"n.a.")</f>
        <v>881.75914444879595</v>
      </c>
      <c r="K26" s="80">
        <f>IF(AND(ISNUMBER(K9),ISNUMBER(K6),ISNUMBER('3_Assumptions'!F16),'3_Assumptions'!F16&gt;=0),K9/K6*'3_Assumptions'!F16,"n.a.")</f>
        <v>976.31612492203067</v>
      </c>
    </row>
    <row r="27" spans="1:11" ht="21.95" customHeight="1">
      <c r="A27" s="71"/>
      <c r="B27" s="71"/>
      <c r="C27" s="71" t="s">
        <v>760</v>
      </c>
      <c r="D27" s="75"/>
      <c r="E27" s="75"/>
      <c r="F27" s="75"/>
      <c r="G27" s="75"/>
      <c r="H27" s="75"/>
      <c r="I27" s="75">
        <f>IF(AND(ISNUMBER(I24),ISNUMBER(H24),ISNUMBER(I25),ISNUMBER(H25),ISNUMBER(I26),ISNUMBER(H26)),I24-H24+I25-H25-I26+H26,"n.a.")</f>
        <v>289.44379152341151</v>
      </c>
      <c r="J27" s="75">
        <f>IF(AND(ISNUMBER(J24),ISNUMBER(I24),ISNUMBER(J25),ISNUMBER(I25),ISNUMBER(J26),ISNUMBER(I26)),J24-I24+J25-I25-J26+I26,"n.a.")</f>
        <v>333.60613270347665</v>
      </c>
      <c r="K27" s="75">
        <f>IF(AND(ISNUMBER(K24),ISNUMBER(J24),ISNUMBER(K25),ISNUMBER(J25),ISNUMBER(K26),ISNUMBER(J26)),K24-J24+K25-J25-K26+J26,"n.a.")</f>
        <v>525.05284181635602</v>
      </c>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t="s">
        <v>761</v>
      </c>
      <c r="D30" s="75"/>
      <c r="E30" s="75"/>
      <c r="F30" s="75"/>
      <c r="G30" s="75"/>
      <c r="H30" s="75"/>
      <c r="I30" s="75">
        <f>IF(AND(ISNUMBER(H33),ISNUMBER(H34)),H33+H34,"n.a.")</f>
        <v>12558</v>
      </c>
      <c r="J30" s="75">
        <f>IF(AND(ISNUMBER(I33),ISNUMBER(I34)),I33+I34,"n.a.")</f>
        <v>13357.39575</v>
      </c>
      <c r="K30" s="75">
        <f>IF(AND(ISNUMBER(J33),ISNUMBER(J34)),J33+J34,"n.a.")</f>
        <v>13626.573578710464</v>
      </c>
    </row>
    <row r="31" spans="1:11" ht="21.95" customHeight="1">
      <c r="A31" s="71"/>
      <c r="B31" s="71"/>
      <c r="C31" s="71" t="s">
        <v>762</v>
      </c>
      <c r="D31" s="75"/>
      <c r="E31" s="75"/>
      <c r="F31" s="75"/>
      <c r="G31" s="75"/>
      <c r="H31" s="75"/>
      <c r="I31" s="80">
        <f>IF(AND(ISNUMBER(I8),ISNUMBER('3_Assumptions'!D17),'3_Assumptions'!D17&gt;=0),I8*'3_Assumptions'!D17,"n.a.")</f>
        <v>2798.3957500000001</v>
      </c>
      <c r="J31" s="80">
        <f>IF(AND(ISNUMBER(J8),ISNUMBER('3_Assumptions'!E17),'3_Assumptions'!E17&gt;=0),J8*'3_Assumptions'!E17,"n.a.")</f>
        <v>2395.4267620000001</v>
      </c>
      <c r="K31" s="80">
        <f>IF(AND(ISNUMBER(K8),ISNUMBER('3_Assumptions'!F17),'3_Assumptions'!F17&gt;=0),K8*'3_Assumptions'!F17,"n.a.")</f>
        <v>2242.1194492320005</v>
      </c>
    </row>
    <row r="32" spans="1:11" ht="21.95" customHeight="1">
      <c r="A32" s="71"/>
      <c r="B32" s="71"/>
      <c r="C32" s="71" t="s">
        <v>732</v>
      </c>
      <c r="D32" s="75"/>
      <c r="E32" s="75"/>
      <c r="F32" s="75"/>
      <c r="G32" s="75"/>
      <c r="H32" s="80">
        <f>'3_CF'!H7</f>
        <v>1999</v>
      </c>
      <c r="I32" s="80">
        <f>IF(AND(ISNUMBER(I30),ISNUMBER('3_Assumptions'!D18),'3_Assumptions'!D18&gt;=0,'3_Assumptions'!D18&lt;=1),MIN(I30,I30*'3_Assumptions'!D18),"n.a.")</f>
        <v>1999</v>
      </c>
      <c r="J32" s="80">
        <f>IF(AND(ISNUMBER(J30),ISNUMBER('3_Assumptions'!E18),'3_Assumptions'!E18&gt;=0,'3_Assumptions'!E18&lt;=1),MIN(J30,J30*'3_Assumptions'!E18),"n.a.")</f>
        <v>2126.2489332895366</v>
      </c>
      <c r="K32" s="80">
        <f>IF(AND(ISNUMBER(K30),ISNUMBER('3_Assumptions'!F18),'3_Assumptions'!F18&gt;=0,'3_Assumptions'!F18&lt;=1),MIN(K30,K30*'3_Assumptions'!F18),"n.a.")</f>
        <v>2169.0970364582113</v>
      </c>
    </row>
    <row r="33" spans="1:11" ht="21.95" customHeight="1">
      <c r="A33" s="71"/>
      <c r="B33" s="71"/>
      <c r="C33" s="71" t="s">
        <v>763</v>
      </c>
      <c r="D33" s="75"/>
      <c r="E33" s="75"/>
      <c r="F33" s="75"/>
      <c r="G33" s="75"/>
      <c r="H33" s="80">
        <f>'3_BS'!H10</f>
        <v>12320</v>
      </c>
      <c r="I33" s="80">
        <f>IF(AND(ISNUMBER(H33),ISNUMBER(I31),ISNUMBER(I32),ISNUMBER('3_Assumptions'!D19),ISNUMBER(I30),'3_Assumptions'!D19&gt;=0,'3_Assumptions'!D19&lt;=1),H33+I31*'3_Assumptions'!D19-IF(I30=0,0,I32*H33/I30),"n.a.")</f>
        <v>13104.245551839465</v>
      </c>
      <c r="J33" s="80">
        <f>IF(AND(ISNUMBER(I33),ISNUMBER(J31),ISNUMBER(J32),ISNUMBER('3_Assumptions'!E19),ISNUMBER(J30),'3_Assumptions'!E19&gt;=0,'3_Assumptions'!E19&lt;=1),I33+J31*'3_Assumptions'!E19-IF(J30=0,0,J32*I33/J30),"n.a.")</f>
        <v>13368.321905535349</v>
      </c>
      <c r="K33" s="80">
        <f>IF(AND(ISNUMBER(J33),ISNUMBER(K31),ISNUMBER(K32),ISNUMBER('3_Assumptions'!F19),ISNUMBER(K30),'3_Assumptions'!F19&gt;=0,'3_Assumptions'!F19&lt;=1),J33+K31*'3_Assumptions'!F19-IF(K30=0,0,K32*J33/K30),"n.a.")</f>
        <v>13439.960392983437</v>
      </c>
    </row>
    <row r="34" spans="1:11" ht="21.95" customHeight="1">
      <c r="A34" s="71"/>
      <c r="B34" s="71"/>
      <c r="C34" s="71" t="s">
        <v>764</v>
      </c>
      <c r="D34" s="75"/>
      <c r="E34" s="75"/>
      <c r="F34" s="75"/>
      <c r="G34" s="75"/>
      <c r="H34" s="80">
        <f>'3_BS'!H11</f>
        <v>238</v>
      </c>
      <c r="I34" s="80">
        <f>IF(AND(ISNUMBER(H34),ISNUMBER(I31),ISNUMBER(I32),ISNUMBER('3_Assumptions'!D19),ISNUMBER(I30),'3_Assumptions'!D19&gt;=0,'3_Assumptions'!D19&lt;=1),H34+I31*(1-'3_Assumptions'!D19)-IF(I30=0,0,I32*H34/I30),"n.a.")</f>
        <v>253.15019816053518</v>
      </c>
      <c r="J34" s="80">
        <f>IF(AND(ISNUMBER(I34),ISNUMBER(J31),ISNUMBER(J32),ISNUMBER('3_Assumptions'!E19),ISNUMBER(J30),'3_Assumptions'!E19&gt;=0,'3_Assumptions'!E19&lt;=1),I34+J31*(1-'3_Assumptions'!E19)-IF(J30=0,0,J32*I34/J30),"n.a.")</f>
        <v>258.25167317511477</v>
      </c>
      <c r="K34" s="80">
        <f>IF(AND(ISNUMBER(J34),ISNUMBER(K31),ISNUMBER(K32),ISNUMBER('3_Assumptions'!F19),ISNUMBER(K30),'3_Assumptions'!F19&gt;=0,'3_Assumptions'!F19&lt;=1),J34+K31*(1-'3_Assumptions'!F19)-IF(K30=0,0,K32*J34/K30),"n.a.")</f>
        <v>259.63559850081651</v>
      </c>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t="s">
        <v>765</v>
      </c>
      <c r="D37" s="75"/>
      <c r="E37" s="75"/>
      <c r="F37" s="75"/>
      <c r="G37" s="75"/>
      <c r="H37" s="80">
        <f>'3_CF'!H6</f>
        <v>7153</v>
      </c>
      <c r="I37" s="75">
        <f>IF(AND(ISNUMBER(I19),ISNUMBER(I32),ISNUMBER(I27)),I19+I32-I27,"n.a.")</f>
        <v>10102.426883676588</v>
      </c>
      <c r="J37" s="75">
        <f>IF(AND(ISNUMBER(J19),ISNUMBER(J32),ISNUMBER(J27)),J19+J32-J27,"n.a.")</f>
        <v>10970.419120618859</v>
      </c>
      <c r="K37" s="75">
        <f>IF(AND(ISNUMBER(K19),ISNUMBER(K32),ISNUMBER(K27)),K19+K32-K27,"n.a.")</f>
        <v>10488.635815494552</v>
      </c>
    </row>
    <row r="38" spans="1:11" ht="21.95" customHeight="1">
      <c r="A38" s="71"/>
      <c r="B38" s="71"/>
      <c r="C38" s="71" t="s">
        <v>766</v>
      </c>
      <c r="D38" s="75"/>
      <c r="E38" s="75"/>
      <c r="F38" s="75"/>
      <c r="G38" s="75"/>
      <c r="H38" s="80">
        <f>'3_CF'!H10</f>
        <v>-1439</v>
      </c>
      <c r="I38" s="75">
        <f>IF(AND(ISNUMBER(I31)),-I31,"n.a.")</f>
        <v>-2798.3957500000001</v>
      </c>
      <c r="J38" s="75">
        <f>IF(AND(ISNUMBER(J31)),-J31,"n.a.")</f>
        <v>-2395.4267620000001</v>
      </c>
      <c r="K38" s="75">
        <f>IF(AND(ISNUMBER(K31)),-K31,"n.a.")</f>
        <v>-2242.1194492320005</v>
      </c>
    </row>
    <row r="39" spans="1:11" ht="21.95" customHeight="1">
      <c r="A39" s="71"/>
      <c r="B39" s="71"/>
      <c r="C39" s="71" t="s">
        <v>767</v>
      </c>
      <c r="D39" s="75"/>
      <c r="E39" s="75"/>
      <c r="F39" s="75"/>
      <c r="G39" s="75"/>
      <c r="H39" s="75"/>
      <c r="I39" s="80">
        <f>IF(AND(ISNUMBER('3_Assumptions'!D20),'3_Assumptions'!D20&gt;=0),'3_Assumptions'!D20,"n.a.")</f>
        <v>4999</v>
      </c>
      <c r="J39" s="80">
        <f>IF(AND(ISNUMBER('3_Assumptions'!E20),'3_Assumptions'!E20&gt;=0),'3_Assumptions'!E20,"n.a.")</f>
        <v>4999</v>
      </c>
      <c r="K39" s="80">
        <f>IF(AND(ISNUMBER('3_Assumptions'!F20),'3_Assumptions'!F20&gt;=0),'3_Assumptions'!F20,"n.a.")</f>
        <v>4999</v>
      </c>
    </row>
    <row r="40" spans="1:11" ht="21.95" customHeight="1">
      <c r="A40" s="71"/>
      <c r="B40" s="71"/>
      <c r="C40" s="71" t="s">
        <v>768</v>
      </c>
      <c r="D40" s="75"/>
      <c r="E40" s="75"/>
      <c r="F40" s="75"/>
      <c r="G40" s="75"/>
      <c r="H40" s="75"/>
      <c r="I40" s="80">
        <f>IF(AND(ISNUMBER('3_Assumptions'!D21),'3_Assumptions'!D21&gt;=0),'3_Assumptions'!D21,"n.a.")</f>
        <v>0</v>
      </c>
      <c r="J40" s="80">
        <f>IF(AND(ISNUMBER('3_Assumptions'!E21),'3_Assumptions'!E21&gt;=0),'3_Assumptions'!E21,"n.a.")</f>
        <v>0</v>
      </c>
      <c r="K40" s="80">
        <f>IF(AND(ISNUMBER('3_Assumptions'!F21),'3_Assumptions'!F21&gt;=0),'3_Assumptions'!F21,"n.a.")</f>
        <v>0</v>
      </c>
    </row>
    <row r="41" spans="1:11" ht="21.95" customHeight="1">
      <c r="A41" s="71"/>
      <c r="B41" s="71"/>
      <c r="C41" s="71" t="s">
        <v>769</v>
      </c>
      <c r="D41" s="75"/>
      <c r="E41" s="75"/>
      <c r="F41" s="75"/>
      <c r="G41" s="75"/>
      <c r="H41" s="75"/>
      <c r="I41" s="80">
        <f>IF(AND(ISNUMBER('3_Assumptions'!D22),'3_Assumptions'!D22&gt;=0),'3_Assumptions'!D22,"n.a.")</f>
        <v>0</v>
      </c>
      <c r="J41" s="80">
        <f>IF(AND(ISNUMBER('3_Assumptions'!E22),'3_Assumptions'!E22&gt;=0),'3_Assumptions'!E22,"n.a.")</f>
        <v>0</v>
      </c>
      <c r="K41" s="80">
        <f>IF(AND(ISNUMBER('3_Assumptions'!F22),'3_Assumptions'!F22&gt;=0),'3_Assumptions'!F22,"n.a.")</f>
        <v>0</v>
      </c>
    </row>
    <row r="42" spans="1:11" ht="21.95" customHeight="1">
      <c r="A42" s="71"/>
      <c r="B42" s="71"/>
      <c r="C42" s="71" t="s">
        <v>770</v>
      </c>
      <c r="D42" s="75"/>
      <c r="E42" s="75"/>
      <c r="F42" s="75"/>
      <c r="G42" s="75"/>
      <c r="H42" s="75"/>
      <c r="I42" s="80">
        <f>IF(AND(ISNUMBER('3_Assumptions'!D23),'3_Assumptions'!D23&gt;=0),'3_Assumptions'!D23,"n.a.")</f>
        <v>0</v>
      </c>
      <c r="J42" s="80">
        <f>IF(AND(ISNUMBER('3_Assumptions'!E23),'3_Assumptions'!E23&gt;=0),'3_Assumptions'!E23,"n.a.")</f>
        <v>0</v>
      </c>
      <c r="K42" s="80">
        <f>IF(AND(ISNUMBER('3_Assumptions'!F23),'3_Assumptions'!F23&gt;=0),'3_Assumptions'!F23,"n.a.")</f>
        <v>0</v>
      </c>
    </row>
    <row r="43" spans="1:11" ht="21.95" customHeight="1">
      <c r="A43" s="71"/>
      <c r="B43" s="71"/>
      <c r="C43" s="71" t="s">
        <v>771</v>
      </c>
      <c r="D43" s="75"/>
      <c r="E43" s="75"/>
      <c r="F43" s="75"/>
      <c r="G43" s="75"/>
      <c r="H43" s="75"/>
      <c r="I43" s="75">
        <f>IF(AND(ISNUMBER(H48),ISNUMBER(I37),ISNUMBER(I38),ISNUMBER(I39),ISNUMBER(I40),ISNUMBER(I41),ISNUMBER(I42)),H48+I37+I38-I39-I40+I41+I42,"n.a.")</f>
        <v>5530.0311336765881</v>
      </c>
      <c r="J43" s="75">
        <f>IF(AND(ISNUMBER(I48),ISNUMBER(J37),ISNUMBER(J38),ISNUMBER(J39),ISNUMBER(J40),ISNUMBER(J41),ISNUMBER(J42)),I48+J37+J38-J39-J40+J41+J42,"n.a.")</f>
        <v>9106.0234922954478</v>
      </c>
      <c r="K43" s="75">
        <f>IF(AND(ISNUMBER(J48),ISNUMBER(K37),ISNUMBER(K38),ISNUMBER(K39),ISNUMBER(K40),ISNUMBER(K41),ISNUMBER(K42)),J48+K37+K38-K39-K40+K41+K42,"n.a.")</f>
        <v>12353.539858558001</v>
      </c>
    </row>
    <row r="44" spans="1:11" ht="21.95" customHeight="1">
      <c r="A44" s="71"/>
      <c r="B44" s="71"/>
      <c r="C44" s="71" t="s">
        <v>772</v>
      </c>
      <c r="D44" s="75"/>
      <c r="E44" s="75"/>
      <c r="F44" s="75"/>
      <c r="G44" s="75"/>
      <c r="H44" s="75"/>
      <c r="I44" s="80">
        <f>IF(AND(ISNUMBER('3_Assumptions'!D26),ISNUMBER('3_Assumptions'!D25),ISNUMBER(I43),OR('3_Assumptions'!D26=0,'3_Assumptions'!D26=1),'3_Assumptions'!D25&gt;=0),IF('3_Assumptions'!D26=1,MAX(0,'3_Assumptions'!D25-I43),0),"n.a.")</f>
        <v>0</v>
      </c>
      <c r="J44" s="80">
        <f>IF(AND(ISNUMBER('3_Assumptions'!E26),ISNUMBER('3_Assumptions'!E25),ISNUMBER(J43),OR('3_Assumptions'!E26=0,'3_Assumptions'!E26=1),'3_Assumptions'!E25&gt;=0),IF('3_Assumptions'!E26=1,MAX(0,'3_Assumptions'!E25-J43),0),"n.a.")</f>
        <v>0</v>
      </c>
      <c r="K44" s="80">
        <f>IF(AND(ISNUMBER('3_Assumptions'!F26),ISNUMBER('3_Assumptions'!F25),ISNUMBER(K43),OR('3_Assumptions'!F26=0,'3_Assumptions'!F26=1),'3_Assumptions'!F25&gt;=0),IF('3_Assumptions'!F26=1,MAX(0,'3_Assumptions'!F25-K43),0),"n.a.")</f>
        <v>0</v>
      </c>
    </row>
    <row r="45" spans="1:11" ht="21.95" customHeight="1">
      <c r="A45" s="71"/>
      <c r="B45" s="71"/>
      <c r="C45" s="71" t="s">
        <v>773</v>
      </c>
      <c r="D45" s="75"/>
      <c r="E45" s="75"/>
      <c r="F45" s="75"/>
      <c r="G45" s="75"/>
      <c r="H45" s="80">
        <f>'3_CF'!H12</f>
        <v>-5689</v>
      </c>
      <c r="I45" s="75">
        <f>IF(AND(ISNUMBER(I39),ISNUMBER(I40),ISNUMBER(I41),ISNUMBER(I44),ISNUMBER(I42)),-I39-I40+I41+I44+I42,"n.a.")</f>
        <v>-4999</v>
      </c>
      <c r="J45" s="75">
        <f>IF(AND(ISNUMBER(J39),ISNUMBER(J40),ISNUMBER(J41),ISNUMBER(J44),ISNUMBER(J42)),-J39-J40+J41+J44+J42,"n.a.")</f>
        <v>-4999</v>
      </c>
      <c r="K45" s="75">
        <f>IF(AND(ISNUMBER(K39),ISNUMBER(K40),ISNUMBER(K41),ISNUMBER(K44),ISNUMBER(K42)),-K39-K40+K41+K44+K42,"n.a.")</f>
        <v>-4999</v>
      </c>
    </row>
    <row r="46" spans="1:11" ht="21.95" customHeight="1">
      <c r="A46" s="71"/>
      <c r="B46" s="71"/>
      <c r="C46" s="71" t="s">
        <v>774</v>
      </c>
      <c r="D46" s="75"/>
      <c r="E46" s="75"/>
      <c r="F46" s="75"/>
      <c r="G46" s="75"/>
      <c r="H46" s="80">
        <f>'3_CF'!H14</f>
        <v>0</v>
      </c>
      <c r="I46" s="79">
        <v>0</v>
      </c>
      <c r="J46" s="79">
        <v>0</v>
      </c>
      <c r="K46" s="79">
        <v>0</v>
      </c>
    </row>
    <row r="47" spans="1:11" ht="21.95" customHeight="1">
      <c r="A47" s="71"/>
      <c r="B47" s="71"/>
      <c r="C47" s="71" t="s">
        <v>775</v>
      </c>
      <c r="D47" s="75"/>
      <c r="E47" s="75"/>
      <c r="F47" s="75"/>
      <c r="G47" s="75"/>
      <c r="H47" s="80">
        <f>'3_CF'!H15</f>
        <v>25</v>
      </c>
      <c r="I47" s="75">
        <f>IF(AND(ISNUMBER(I37),ISNUMBER(I38),ISNUMBER(I45)),I37+I38+I45,"n.a.")</f>
        <v>2305.0311336765881</v>
      </c>
      <c r="J47" s="75">
        <f>IF(AND(ISNUMBER(J37),ISNUMBER(J38),ISNUMBER(J45)),J37+J38+J45,"n.a.")</f>
        <v>3575.9923586188597</v>
      </c>
      <c r="K47" s="75">
        <f>IF(AND(ISNUMBER(K37),ISNUMBER(K38),ISNUMBER(K45)),K37+K38+K45,"n.a.")</f>
        <v>3247.5163662625509</v>
      </c>
    </row>
    <row r="48" spans="1:11" ht="21.95" customHeight="1">
      <c r="A48" s="71"/>
      <c r="B48" s="71"/>
      <c r="C48" s="71" t="s">
        <v>776</v>
      </c>
      <c r="D48" s="75"/>
      <c r="E48" s="75"/>
      <c r="F48" s="75"/>
      <c r="G48" s="75"/>
      <c r="H48" s="80">
        <f>'3_CF'!H16</f>
        <v>3225</v>
      </c>
      <c r="I48" s="75">
        <f>IF(AND(ISNUMBER(H48),ISNUMBER(I47)),H48+I47,"n.a.")</f>
        <v>5530.0311336765881</v>
      </c>
      <c r="J48" s="75">
        <f>IF(AND(ISNUMBER(I48),ISNUMBER(J47)),I48+J47,"n.a.")</f>
        <v>9106.0234922954478</v>
      </c>
      <c r="K48" s="75">
        <f>IF(AND(ISNUMBER(J48),ISNUMBER(K47)),J48+K47,"n.a.")</f>
        <v>12353.539858557999</v>
      </c>
    </row>
    <row r="49" spans="1:11" ht="21.95" customHeight="1">
      <c r="A49" s="71"/>
      <c r="B49" s="71"/>
      <c r="C49" s="71" t="s">
        <v>777</v>
      </c>
      <c r="D49" s="75"/>
      <c r="E49" s="75"/>
      <c r="F49" s="75"/>
      <c r="G49" s="75"/>
      <c r="H49" s="79">
        <v>0</v>
      </c>
      <c r="I49" s="75">
        <f>IF(AND(ISNUMBER(H49),ISNUMBER(I41),ISNUMBER(I44)),H49+I41+I44,"n.a.")</f>
        <v>0</v>
      </c>
      <c r="J49" s="75">
        <f>IF(AND(ISNUMBER(I49),ISNUMBER(J41),ISNUMBER(J44)),I49+J41+J44,"n.a.")</f>
        <v>0</v>
      </c>
      <c r="K49" s="75">
        <f>IF(AND(ISNUMBER(J49),ISNUMBER(K41),ISNUMBER(K44)),J49+K41+K44,"n.a.")</f>
        <v>0</v>
      </c>
    </row>
    <row r="50" spans="1:11" ht="21.95" customHeight="1">
      <c r="A50" s="71"/>
      <c r="B50" s="71"/>
      <c r="C50" s="71"/>
      <c r="D50" s="75"/>
      <c r="E50" s="75"/>
      <c r="F50" s="75"/>
      <c r="G50" s="75"/>
      <c r="H50" s="75"/>
      <c r="I50" s="75"/>
      <c r="J50" s="75"/>
      <c r="K50" s="75"/>
    </row>
    <row r="51" spans="1:11" ht="21.95" customHeight="1">
      <c r="A51" s="71"/>
      <c r="B51" s="71"/>
      <c r="C51" s="71"/>
      <c r="D51" s="75"/>
      <c r="E51" s="75"/>
      <c r="F51" s="75"/>
      <c r="G51" s="75"/>
      <c r="H51" s="75"/>
      <c r="I51" s="75"/>
      <c r="J51" s="75"/>
      <c r="K51" s="75"/>
    </row>
    <row r="52" spans="1:11" ht="21.95" customHeight="1">
      <c r="A52" s="71"/>
      <c r="B52" s="71"/>
      <c r="C52" s="71" t="s">
        <v>778</v>
      </c>
      <c r="D52" s="75"/>
      <c r="E52" s="75"/>
      <c r="F52" s="75"/>
      <c r="G52" s="75"/>
      <c r="H52" s="80">
        <f>'3_BS'!H6</f>
        <v>3225</v>
      </c>
      <c r="I52" s="80">
        <f>IF(AND(ISNUMBER(I48),ISNUMBER('3_BS'!H6),ISNUMBER('3_CF'!H16)),I48+'3_BS'!H6-'3_CF'!H16,"n.a.")</f>
        <v>5530.0311336765881</v>
      </c>
      <c r="J52" s="80">
        <f>IF(AND(ISNUMBER(J48),ISNUMBER('3_BS'!H6),ISNUMBER('3_CF'!H16)),J48+'3_BS'!H6-'3_CF'!H16,"n.a.")</f>
        <v>9106.0234922954478</v>
      </c>
      <c r="K52" s="80">
        <f>IF(AND(ISNUMBER(K48),ISNUMBER('3_BS'!H6),ISNUMBER('3_CF'!H16)),K48+'3_BS'!H6-'3_CF'!H16,"n.a.")</f>
        <v>12353.539858557999</v>
      </c>
    </row>
    <row r="53" spans="1:11" ht="21.95" customHeight="1">
      <c r="A53" s="71"/>
      <c r="B53" s="71"/>
      <c r="C53" s="71" t="s">
        <v>779</v>
      </c>
      <c r="D53" s="75"/>
      <c r="E53" s="75"/>
      <c r="F53" s="75"/>
      <c r="G53" s="75"/>
      <c r="H53" s="75"/>
      <c r="I53" s="80">
        <f>IF(AND(ISNUMBER('3_BS'!H9),ISNUMBER('3_BS'!H6),ISNUMBER('3_BS'!H7),ISNUMBER('3_BS'!H8)),'3_BS'!H9-'3_BS'!H6-'3_BS'!H7-'3_BS'!H8,"n.a.")</f>
        <v>3758</v>
      </c>
      <c r="J53" s="80">
        <f>IF(AND(ISNUMBER('3_BS'!H9),ISNUMBER('3_BS'!H6),ISNUMBER('3_BS'!H7),ISNUMBER('3_BS'!H8)),'3_BS'!H9-'3_BS'!H6-'3_BS'!H7-'3_BS'!H8,"n.a.")</f>
        <v>3758</v>
      </c>
      <c r="K53" s="80">
        <f>IF(AND(ISNUMBER('3_BS'!H9),ISNUMBER('3_BS'!H6),ISNUMBER('3_BS'!H7),ISNUMBER('3_BS'!H8)),'3_BS'!H9-'3_BS'!H6-'3_BS'!H7-'3_BS'!H8,"n.a.")</f>
        <v>3758</v>
      </c>
    </row>
    <row r="54" spans="1:11" ht="21.95" customHeight="1">
      <c r="A54" s="71"/>
      <c r="B54" s="71"/>
      <c r="C54" s="71" t="s">
        <v>725</v>
      </c>
      <c r="D54" s="75"/>
      <c r="E54" s="75"/>
      <c r="F54" s="75"/>
      <c r="G54" s="75"/>
      <c r="H54" s="80">
        <f>'3_BS'!H9</f>
        <v>13750</v>
      </c>
      <c r="I54" s="75">
        <f>IF(AND(ISNUMBER(I52),ISNUMBER(I24),ISNUMBER(I25),ISNUMBER(I53)),I52+I24+I25+I53,"n.a.")</f>
        <v>16434.821161346859</v>
      </c>
      <c r="J54" s="75">
        <f>IF(AND(ISNUMBER(J52),ISNUMBER(J24),ISNUMBER(J25),ISNUMBER(J53)),J52+J24+J25+J53,"n.a.")</f>
        <v>20379.832560971132</v>
      </c>
      <c r="K54" s="75">
        <f>IF(AND(ISNUMBER(K52),ISNUMBER(K24),ISNUMBER(K25),ISNUMBER(K53)),K52+K24+K25+K53,"n.a.")</f>
        <v>24246.958749523274</v>
      </c>
    </row>
    <row r="55" spans="1:11" ht="21.95" customHeight="1">
      <c r="A55" s="71"/>
      <c r="B55" s="71"/>
      <c r="C55" s="71" t="s">
        <v>780</v>
      </c>
      <c r="D55" s="75"/>
      <c r="E55" s="75"/>
      <c r="F55" s="75"/>
      <c r="G55" s="75"/>
      <c r="H55" s="75"/>
      <c r="I55" s="80">
        <f>IF(AND(ISNUMBER('3_BS'!H12),ISNUMBER('3_BS'!H9),ISNUMBER('3_BS'!H10),ISNUMBER('3_BS'!H11)),'3_BS'!H12-'3_BS'!H9-'3_BS'!H10-'3_BS'!H11,"n.a.")</f>
        <v>8277</v>
      </c>
      <c r="J55" s="80">
        <f>IF(AND(ISNUMBER('3_BS'!H12),ISNUMBER('3_BS'!H9),ISNUMBER('3_BS'!H10),ISNUMBER('3_BS'!H11)),'3_BS'!H12-'3_BS'!H9-'3_BS'!H10-'3_BS'!H11,"n.a.")</f>
        <v>8277</v>
      </c>
      <c r="K55" s="80">
        <f>IF(AND(ISNUMBER('3_BS'!H12),ISNUMBER('3_BS'!H9),ISNUMBER('3_BS'!H10),ISNUMBER('3_BS'!H11)),'3_BS'!H12-'3_BS'!H9-'3_BS'!H10-'3_BS'!H11,"n.a.")</f>
        <v>8277</v>
      </c>
    </row>
    <row r="56" spans="1:11" ht="21.95" customHeight="1">
      <c r="A56" s="71"/>
      <c r="B56" s="71"/>
      <c r="C56" s="71" t="s">
        <v>693</v>
      </c>
      <c r="D56" s="75"/>
      <c r="E56" s="75"/>
      <c r="F56" s="75"/>
      <c r="G56" s="75"/>
      <c r="H56" s="80">
        <f>'3_BS'!H12</f>
        <v>34585</v>
      </c>
      <c r="I56" s="75">
        <f>IF(AND(ISNUMBER(I54),ISNUMBER(I33),ISNUMBER(I34),ISNUMBER(I55)),I54+I33+I34+I55,"n.a.")</f>
        <v>38069.216911346855</v>
      </c>
      <c r="J56" s="75">
        <f>IF(AND(ISNUMBER(J54),ISNUMBER(J33),ISNUMBER(J34),ISNUMBER(J55)),J54+J33+J34+J55,"n.a.")</f>
        <v>42283.406139681596</v>
      </c>
      <c r="K56" s="75">
        <f>IF(AND(ISNUMBER(K54),ISNUMBER(K33),ISNUMBER(K34),ISNUMBER(K55)),K54+K33+K34+K55,"n.a.")</f>
        <v>46223.554741007531</v>
      </c>
    </row>
    <row r="57" spans="1:11" ht="21.95" customHeight="1">
      <c r="A57" s="71"/>
      <c r="B57" s="71"/>
      <c r="C57" s="71" t="s">
        <v>781</v>
      </c>
      <c r="D57" s="75"/>
      <c r="E57" s="75"/>
      <c r="F57" s="75"/>
      <c r="G57" s="75"/>
      <c r="H57" s="75"/>
      <c r="I57" s="80">
        <f>IF(AND(ISNUMBER('3_BS'!H14),ISNUMBER('3_BS'!H13)),'3_BS'!H14-'3_BS'!H13,"n.a.")</f>
        <v>2403</v>
      </c>
      <c r="J57" s="80">
        <f>IF(AND(ISNUMBER('3_BS'!H14),ISNUMBER('3_BS'!H13)),'3_BS'!H14-'3_BS'!H13,"n.a.")</f>
        <v>2403</v>
      </c>
      <c r="K57" s="80">
        <f>IF(AND(ISNUMBER('3_BS'!H14),ISNUMBER('3_BS'!H13)),'3_BS'!H14-'3_BS'!H13,"n.a.")</f>
        <v>2403</v>
      </c>
    </row>
    <row r="58" spans="1:11" ht="21.95" customHeight="1">
      <c r="A58" s="71"/>
      <c r="B58" s="71"/>
      <c r="C58" s="71" t="s">
        <v>729</v>
      </c>
      <c r="D58" s="75"/>
      <c r="E58" s="75"/>
      <c r="F58" s="75"/>
      <c r="G58" s="75"/>
      <c r="H58" s="80">
        <f>'3_BS'!H14</f>
        <v>3159</v>
      </c>
      <c r="I58" s="75">
        <f>IF(AND(ISNUMBER(I26),ISNUMBER(I57)),I26+I57,"n.a.")</f>
        <v>3249.3462361468614</v>
      </c>
      <c r="J58" s="75">
        <f>IF(AND(ISNUMBER(J26),ISNUMBER(J57)),J26+J57,"n.a.")</f>
        <v>3284.7591444487962</v>
      </c>
      <c r="K58" s="75">
        <f>IF(AND(ISNUMBER(K26),ISNUMBER(K57)),K26+K57,"n.a.")</f>
        <v>3379.3161249220307</v>
      </c>
    </row>
    <row r="59" spans="1:11" ht="21.95" customHeight="1">
      <c r="A59" s="71"/>
      <c r="B59" s="71"/>
      <c r="C59" s="71" t="s">
        <v>730</v>
      </c>
      <c r="D59" s="75"/>
      <c r="E59" s="75"/>
      <c r="F59" s="75"/>
      <c r="G59" s="75"/>
      <c r="H59" s="80">
        <f>'3_BS'!H15</f>
        <v>18312</v>
      </c>
      <c r="I59" s="75">
        <f>IF(AND(ISNUMBER(H59),ISNUMBER(I26),ISNUMBER(H26),ISNUMBER(I41),ISNUMBER(I44)),H59+I26-H26+I41+I44,"n.a.")</f>
        <v>18402.346236146863</v>
      </c>
      <c r="J59" s="75">
        <f>IF(AND(ISNUMBER(I59),ISNUMBER(J26),ISNUMBER(I26),ISNUMBER(J41),ISNUMBER(J44)),I59+J26-I26+J41+J44,"n.a.")</f>
        <v>18437.759144448795</v>
      </c>
      <c r="K59" s="75">
        <f>IF(AND(ISNUMBER(J59),ISNUMBER(K26),ISNUMBER(J26),ISNUMBER(K41),ISNUMBER(K44)),J59+K26-J26+K41+K44,"n.a.")</f>
        <v>18532.316124922032</v>
      </c>
    </row>
    <row r="60" spans="1:11" ht="21.95" customHeight="1">
      <c r="A60" s="71"/>
      <c r="B60" s="71"/>
      <c r="C60" s="71" t="s">
        <v>782</v>
      </c>
      <c r="D60" s="75"/>
      <c r="E60" s="75"/>
      <c r="F60" s="75"/>
      <c r="G60" s="75"/>
      <c r="H60" s="80">
        <f>'3_BS'!H16</f>
        <v>16273</v>
      </c>
      <c r="I60" s="75">
        <f>IF(AND(ISNUMBER(H60),ISNUMBER(I19),ISNUMBER(I39),ISNUMBER(I40),ISNUMBER(I42)),H60+I19-I39-I40+I42,"n.a.")</f>
        <v>19666.8706752</v>
      </c>
      <c r="J60" s="75">
        <f>IF(AND(ISNUMBER(I60),ISNUMBER(J19),ISNUMBER(J39),ISNUMBER(J40),ISNUMBER(J42)),I60+J19-J39-J40+J42,"n.a.")</f>
        <v>23845.646995232797</v>
      </c>
      <c r="K60" s="75">
        <f>IF(AND(ISNUMBER(J60),ISNUMBER(K19),ISNUMBER(K39),ISNUMBER(K40),ISNUMBER(K42)),J60+K19-K39-K40+K42,"n.a.")</f>
        <v>27691.238616085495</v>
      </c>
    </row>
    <row r="61" spans="1:11" ht="21.95" customHeight="1">
      <c r="A61" s="71"/>
      <c r="B61" s="71"/>
      <c r="C61" s="71"/>
      <c r="D61" s="75"/>
      <c r="E61" s="75"/>
      <c r="F61" s="75"/>
      <c r="G61" s="75"/>
      <c r="H61" s="75"/>
      <c r="I61" s="75"/>
      <c r="J61" s="75"/>
      <c r="K61" s="75"/>
    </row>
    <row r="62" spans="1:11" ht="21.95" customHeight="1">
      <c r="A62" s="71"/>
      <c r="B62" s="71"/>
      <c r="C62" s="71" t="s">
        <v>783</v>
      </c>
      <c r="D62" s="75"/>
      <c r="E62" s="75"/>
      <c r="F62" s="75"/>
      <c r="G62" s="75"/>
      <c r="H62" s="75"/>
      <c r="I62" s="75">
        <f>IF(AND(ISNUMBER(I56),ISNUMBER(I59),ISNUMBER(I60)),I56-I59-I60,"n.a.")</f>
        <v>-7.2759576141834259E-12</v>
      </c>
      <c r="J62" s="75">
        <f>IF(AND(ISNUMBER(J56),ISNUMBER(J59),ISNUMBER(J60)),J56-J59-J60,"n.a.")</f>
        <v>3.637978807091713E-12</v>
      </c>
      <c r="K62" s="75">
        <f>IF(AND(ISNUMBER(K56),ISNUMBER(K59),ISNUMBER(K60)),K56-K59-K60,"n.a.")</f>
        <v>3.637978807091713E-12</v>
      </c>
    </row>
    <row r="63" spans="1:11" ht="21.95" customHeight="1">
      <c r="A63" s="71"/>
      <c r="B63" s="71"/>
      <c r="C63" s="71" t="s">
        <v>784</v>
      </c>
      <c r="D63" s="75"/>
      <c r="E63" s="75"/>
      <c r="F63" s="75"/>
      <c r="G63" s="75"/>
      <c r="H63" s="75"/>
      <c r="I63" s="80">
        <f>IF(AND(ISNUMBER(I48),ISNUMBER('3_Assumptions'!D25),'3_Assumptions'!D25&gt;=0),I48-'3_Assumptions'!D25,"n.a.")</f>
        <v>5530.0311336765881</v>
      </c>
      <c r="J63" s="80">
        <f>IF(AND(ISNUMBER(J48),ISNUMBER('3_Assumptions'!E25),'3_Assumptions'!E25&gt;=0),J48-'3_Assumptions'!E25,"n.a.")</f>
        <v>9106.0234922954478</v>
      </c>
      <c r="K63" s="80">
        <f>IF(AND(ISNUMBER(K48),ISNUMBER('3_Assumptions'!F25),'3_Assumptions'!F25&gt;=0),K48-'3_Assumptions'!F25,"n.a.")</f>
        <v>12353.539858557999</v>
      </c>
    </row>
    <row r="64" spans="1:11" ht="21.95" customHeight="1">
      <c r="A64" s="71"/>
      <c r="B64" s="71"/>
      <c r="C64" s="71" t="s">
        <v>785</v>
      </c>
      <c r="D64" s="75"/>
      <c r="E64" s="75"/>
      <c r="F64" s="75"/>
      <c r="G64" s="75"/>
      <c r="H64" s="75"/>
      <c r="I64" s="75">
        <f>IF(AND(ISNUMBER(H48),ISNUMBER(I37),ISNUMBER(I38),ISNUMBER(I45),ISNUMBER(I46),ISNUMBER(I48)),H48+I37+I38+I45+I46-I48,"n.a.")</f>
        <v>0</v>
      </c>
      <c r="J64" s="75">
        <f>IF(AND(ISNUMBER(I48),ISNUMBER(J37),ISNUMBER(J38),ISNUMBER(J45),ISNUMBER(J46),ISNUMBER(J48)),I48+J37+J38+J45+J46-J48,"n.a.")</f>
        <v>0</v>
      </c>
      <c r="K64" s="75">
        <f>IF(AND(ISNUMBER(J48),ISNUMBER(K37),ISNUMBER(K38),ISNUMBER(K45),ISNUMBER(K46),ISNUMBER(K48)),J48+K37+K38+K45+K46-K48,"n.a.")</f>
        <v>1.8189894035458565E-12</v>
      </c>
    </row>
    <row r="65" spans="1:11" ht="21.95" customHeight="1">
      <c r="A65" s="71"/>
      <c r="B65" s="71"/>
      <c r="C65" s="71"/>
      <c r="D65" s="75"/>
      <c r="E65" s="75"/>
      <c r="F65" s="75"/>
      <c r="G65" s="75"/>
      <c r="H65" s="75"/>
      <c r="I65" s="75"/>
      <c r="J65" s="75"/>
      <c r="K65" s="75"/>
    </row>
    <row r="66" spans="1:11" ht="21.95" customHeight="1">
      <c r="A66" s="71"/>
      <c r="B66" s="71"/>
      <c r="C66" s="71"/>
      <c r="D66" s="75"/>
      <c r="E66" s="75"/>
      <c r="F66" s="75"/>
      <c r="G66" s="75"/>
      <c r="H66" s="75"/>
      <c r="I66" s="75"/>
      <c r="J66" s="75"/>
      <c r="K66" s="75"/>
    </row>
    <row r="67" spans="1:11" ht="21.95" customHeight="1">
      <c r="A67" s="71"/>
      <c r="B67" s="71"/>
      <c r="C67" s="71"/>
      <c r="D67" s="75"/>
      <c r="E67" s="75"/>
      <c r="F67" s="75"/>
      <c r="G67" s="75"/>
      <c r="H67" s="75"/>
      <c r="I67" s="75"/>
      <c r="J67" s="75"/>
      <c r="K67" s="75"/>
    </row>
    <row r="68" spans="1:11" ht="21.95" customHeight="1">
      <c r="A68" s="71"/>
      <c r="B68" s="71"/>
      <c r="C68" s="71"/>
      <c r="D68" s="75"/>
      <c r="E68" s="75"/>
      <c r="F68" s="75"/>
      <c r="G68" s="75"/>
      <c r="H68" s="75"/>
      <c r="I68" s="75"/>
      <c r="J68" s="75"/>
      <c r="K68" s="75"/>
    </row>
    <row r="69" spans="1:11" ht="21.95" customHeight="1">
      <c r="A69" s="71"/>
      <c r="B69" s="71"/>
      <c r="C69" s="71"/>
      <c r="D69" s="75"/>
      <c r="E69" s="75"/>
      <c r="F69" s="75"/>
      <c r="G69" s="75"/>
      <c r="H69" s="75"/>
      <c r="I69" s="75"/>
      <c r="J69" s="75"/>
      <c r="K69" s="75"/>
    </row>
    <row r="70" spans="1:11" ht="21.95" customHeight="1">
      <c r="A70" s="71"/>
      <c r="B70" s="71"/>
      <c r="C70" s="71"/>
      <c r="D70" s="75"/>
      <c r="E70" s="75"/>
      <c r="F70" s="75"/>
      <c r="G70" s="75"/>
      <c r="H70" s="75"/>
      <c r="I70" s="75"/>
      <c r="J70" s="75"/>
      <c r="K70" s="75"/>
    </row>
    <row r="71" spans="1:11" ht="21.95" customHeight="1">
      <c r="A71" s="71"/>
      <c r="B71" s="71"/>
      <c r="C71" s="71"/>
      <c r="D71" s="75"/>
      <c r="E71" s="75"/>
      <c r="F71" s="75"/>
      <c r="G71" s="75"/>
      <c r="H71" s="75"/>
      <c r="I71" s="75"/>
      <c r="J71" s="75"/>
      <c r="K71" s="75"/>
    </row>
    <row r="72" spans="1:11" ht="21.95" customHeight="1">
      <c r="A72" s="71"/>
      <c r="B72" s="71"/>
      <c r="C72" s="71"/>
      <c r="D72" s="75"/>
      <c r="E72" s="75"/>
      <c r="F72" s="75"/>
      <c r="G72" s="75"/>
      <c r="H72" s="75"/>
      <c r="I72" s="75"/>
      <c r="J72" s="75"/>
      <c r="K72" s="75"/>
    </row>
    <row r="73" spans="1:11" ht="21.95" customHeight="1">
      <c r="A73" s="71"/>
      <c r="B73" s="71"/>
      <c r="C73" s="71"/>
      <c r="D73" s="75"/>
      <c r="E73" s="75"/>
      <c r="F73" s="75"/>
      <c r="G73" s="75"/>
      <c r="H73" s="75"/>
      <c r="I73" s="75"/>
      <c r="J73" s="75"/>
      <c r="K73" s="75"/>
    </row>
    <row r="74" spans="1:11" ht="21.95" customHeight="1">
      <c r="A74" s="71"/>
      <c r="B74" s="71"/>
      <c r="C74" s="71"/>
      <c r="D74" s="75"/>
      <c r="E74" s="75"/>
      <c r="F74" s="75"/>
      <c r="G74" s="75"/>
      <c r="H74" s="75"/>
      <c r="I74" s="75"/>
      <c r="J74" s="75"/>
      <c r="K74" s="75"/>
    </row>
    <row r="75" spans="1:11" ht="21.95" customHeight="1">
      <c r="A75" s="71"/>
      <c r="B75" s="71"/>
      <c r="C75" s="71"/>
      <c r="D75" s="75"/>
      <c r="E75" s="75"/>
      <c r="F75" s="75"/>
      <c r="G75" s="75"/>
      <c r="H75" s="75"/>
      <c r="I75" s="75"/>
      <c r="J75" s="75"/>
      <c r="K75" s="75"/>
    </row>
  </sheetData>
  <phoneticPr fontId="12"/>
  <conditionalFormatting sqref="I62:K62">
    <cfRule type="expression" dxfId="22" priority="1">
      <formula>AND(ISNUMBER(I62),ABS(I62)&gt;5)</formula>
    </cfRule>
  </conditionalFormatting>
  <conditionalFormatting sqref="I63:K63">
    <cfRule type="expression" dxfId="21" priority="3">
      <formula>AND(ISNUMBER(I63),I63&lt;0)</formula>
    </cfRule>
  </conditionalFormatting>
  <conditionalFormatting sqref="I64:K64">
    <cfRule type="expression" dxfId="20" priority="2">
      <formula>AND(ISNUMBER(I64),ABS(I64)&gt;5)</formula>
    </cfRule>
  </conditionalFormatting>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90"/>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7" width="21" customWidth="1"/>
    <col min="8" max="8" width="90" customWidth="1"/>
    <col min="9" max="11" width="21" customWidth="1"/>
    <col min="13" max="13" width="34" customWidth="1"/>
    <col min="14" max="25" width="11" customWidth="1"/>
  </cols>
  <sheetData>
    <row r="1" spans="1:25" ht="21.95" customHeight="1">
      <c r="A1" s="71"/>
      <c r="B1" s="71"/>
      <c r="C1" s="71"/>
      <c r="D1" s="71"/>
      <c r="E1" s="71"/>
      <c r="F1" s="71"/>
      <c r="G1" s="71"/>
      <c r="H1" s="71"/>
      <c r="I1" s="71"/>
      <c r="J1" s="71"/>
      <c r="K1" s="71"/>
    </row>
    <row r="2" spans="1:25" ht="21.95" customHeight="1">
      <c r="A2" s="71"/>
      <c r="B2" s="71"/>
      <c r="C2" s="72" t="s">
        <v>786</v>
      </c>
      <c r="D2" s="71"/>
      <c r="E2" s="71"/>
      <c r="F2" s="71"/>
      <c r="G2" s="71"/>
      <c r="H2" s="71"/>
      <c r="I2" s="71"/>
      <c r="J2" s="71"/>
      <c r="K2" s="71"/>
    </row>
    <row r="3" spans="1:25" ht="21.95" customHeight="1">
      <c r="A3" s="71"/>
      <c r="B3" s="71"/>
      <c r="C3" s="73"/>
      <c r="D3" s="73"/>
      <c r="E3" s="73"/>
      <c r="F3" s="73"/>
      <c r="G3" s="73"/>
      <c r="H3" s="73"/>
      <c r="I3" s="73"/>
      <c r="J3" s="73"/>
      <c r="K3" s="73"/>
    </row>
    <row r="4" spans="1:25" ht="21.95" customHeight="1">
      <c r="A4" s="71"/>
      <c r="B4" s="71"/>
      <c r="C4" s="71" t="s">
        <v>787</v>
      </c>
      <c r="D4" s="71"/>
      <c r="E4" s="71"/>
      <c r="F4" s="71"/>
      <c r="G4" s="71"/>
      <c r="H4" s="71"/>
      <c r="I4" s="71"/>
      <c r="J4" s="71"/>
      <c r="K4" s="71"/>
      <c r="M4" s="81" t="s">
        <v>788</v>
      </c>
    </row>
    <row r="5" spans="1:25" ht="24.95" customHeight="1">
      <c r="A5" s="71"/>
      <c r="B5" s="71"/>
      <c r="C5" s="82" t="s">
        <v>789</v>
      </c>
      <c r="D5" s="82" t="s">
        <v>687</v>
      </c>
      <c r="E5" s="82" t="s">
        <v>688</v>
      </c>
      <c r="F5" s="82" t="s">
        <v>689</v>
      </c>
      <c r="M5" s="83" t="s">
        <v>790</v>
      </c>
      <c r="N5" s="83" t="s">
        <v>791</v>
      </c>
      <c r="O5" s="83" t="s">
        <v>792</v>
      </c>
      <c r="P5" s="83" t="s">
        <v>793</v>
      </c>
      <c r="Q5" s="83" t="s">
        <v>794</v>
      </c>
      <c r="R5" s="83" t="s">
        <v>795</v>
      </c>
      <c r="S5" s="83" t="s">
        <v>796</v>
      </c>
      <c r="T5" s="83" t="s">
        <v>797</v>
      </c>
      <c r="U5" s="83" t="s">
        <v>798</v>
      </c>
      <c r="V5" s="83" t="s">
        <v>799</v>
      </c>
      <c r="W5" s="83" t="s">
        <v>800</v>
      </c>
      <c r="X5" s="83" t="s">
        <v>801</v>
      </c>
      <c r="Y5" s="83" t="s">
        <v>802</v>
      </c>
    </row>
    <row r="6" spans="1:25" ht="21.95" customHeight="1">
      <c r="A6" s="71"/>
      <c r="B6" s="71"/>
      <c r="C6" s="71" t="s">
        <v>537</v>
      </c>
      <c r="D6" s="84">
        <f>CHOOSE('2_投資判断'!$C$4,$N$6,$Q$6,$T$6)</f>
        <v>0.26600000000000001</v>
      </c>
      <c r="E6" s="84">
        <f>CHOOSE('2_投資判断'!$C$4,$O$6,$R$6,$U$6)</f>
        <v>7.0000000000000007E-2</v>
      </c>
      <c r="F6" s="84">
        <f>CHOOSE('2_投資判断'!$C$4,$P$6,$S$6,$V$6)</f>
        <v>0.04</v>
      </c>
      <c r="G6" s="85"/>
      <c r="H6" s="85" t="s">
        <v>803</v>
      </c>
      <c r="I6" s="85"/>
      <c r="J6" s="85"/>
      <c r="K6" s="85"/>
      <c r="M6" s="86" t="s">
        <v>804</v>
      </c>
      <c r="N6" s="87">
        <v>0.26600000000000001</v>
      </c>
      <c r="O6" s="87">
        <v>7.0000000000000007E-2</v>
      </c>
      <c r="P6" s="87">
        <v>0.04</v>
      </c>
      <c r="Q6" s="87">
        <v>0.26600000000000001</v>
      </c>
      <c r="R6" s="87">
        <v>0.16</v>
      </c>
      <c r="S6" s="87">
        <v>0.08</v>
      </c>
      <c r="T6" s="87">
        <v>0.26600000000000001</v>
      </c>
      <c r="U6" s="87">
        <v>-0.11</v>
      </c>
      <c r="V6" s="87">
        <v>0</v>
      </c>
      <c r="W6" s="88">
        <v>0.1304903778530784</v>
      </c>
      <c r="X6" s="88">
        <v>0.1304903778530784</v>
      </c>
      <c r="Y6" s="88">
        <v>0.1304903778530784</v>
      </c>
    </row>
    <row r="7" spans="1:25" ht="21.95" customHeight="1">
      <c r="A7" s="71"/>
      <c r="B7" s="71"/>
      <c r="C7" s="71" t="s">
        <v>805</v>
      </c>
      <c r="D7" s="84">
        <f>CHOOSE('2_投資判断'!$C$4,$N$10,$Q$10,$T$10)</f>
        <v>0.62</v>
      </c>
      <c r="E7" s="84">
        <f>CHOOSE('2_投資判断'!$C$4,$O$10,$R$10,$U$10)</f>
        <v>0.63</v>
      </c>
      <c r="F7" s="84">
        <f>CHOOSE('2_投資判断'!$C$4,$P$10,$S$10,$V$10)</f>
        <v>0.60499999999999998</v>
      </c>
      <c r="G7" s="85"/>
      <c r="H7" s="85" t="s">
        <v>806</v>
      </c>
      <c r="I7" s="85"/>
      <c r="J7" s="85"/>
      <c r="K7" s="85"/>
      <c r="M7" s="86" t="s">
        <v>807</v>
      </c>
      <c r="N7" s="87">
        <v>0.04</v>
      </c>
      <c r="O7" s="87">
        <v>0</v>
      </c>
      <c r="P7" s="87">
        <v>0</v>
      </c>
      <c r="Q7" s="87">
        <v>0.04</v>
      </c>
      <c r="R7" s="87">
        <v>0</v>
      </c>
      <c r="S7" s="87">
        <v>0</v>
      </c>
      <c r="T7" s="87">
        <v>0.04</v>
      </c>
      <c r="U7" s="87">
        <v>0</v>
      </c>
      <c r="V7" s="87">
        <v>0</v>
      </c>
      <c r="W7" s="88">
        <v>0</v>
      </c>
      <c r="X7" s="88">
        <v>0</v>
      </c>
      <c r="Y7" s="88">
        <v>0</v>
      </c>
    </row>
    <row r="8" spans="1:25" ht="21.95" customHeight="1">
      <c r="A8" s="71"/>
      <c r="B8" s="71"/>
      <c r="C8" s="71" t="s">
        <v>808</v>
      </c>
      <c r="D8" s="84">
        <f>CHOOSE('2_投資判断'!$C$4,$N$11,$Q$11,$T$11)</f>
        <v>8.4000000000000005E-2</v>
      </c>
      <c r="E8" s="84">
        <f>CHOOSE('2_投資判断'!$C$4,$O$11,$R$11,$U$11)</f>
        <v>8.2000000000000003E-2</v>
      </c>
      <c r="F8" s="84">
        <f>CHOOSE('2_投資判断'!$C$4,$P$11,$S$11,$V$11)</f>
        <v>8.5999999999999993E-2</v>
      </c>
      <c r="G8" s="85"/>
      <c r="H8" s="85" t="s">
        <v>809</v>
      </c>
      <c r="I8" s="85"/>
      <c r="J8" s="85"/>
      <c r="K8" s="85"/>
      <c r="M8" s="86" t="s">
        <v>810</v>
      </c>
      <c r="N8" s="87">
        <v>-9.6000000000000002E-2</v>
      </c>
      <c r="O8" s="87">
        <v>0</v>
      </c>
      <c r="P8" s="87">
        <v>0</v>
      </c>
      <c r="Q8" s="87">
        <v>-9.6000000000000002E-2</v>
      </c>
      <c r="R8" s="87">
        <v>0</v>
      </c>
      <c r="S8" s="87">
        <v>0</v>
      </c>
      <c r="T8" s="87">
        <v>-9.6000000000000002E-2</v>
      </c>
      <c r="U8" s="87">
        <v>0</v>
      </c>
      <c r="V8" s="87">
        <v>0</v>
      </c>
      <c r="W8" s="88">
        <v>0</v>
      </c>
      <c r="X8" s="88">
        <v>0</v>
      </c>
      <c r="Y8" s="88">
        <v>0</v>
      </c>
    </row>
    <row r="9" spans="1:25" ht="21.95" customHeight="1">
      <c r="A9" s="71"/>
      <c r="B9" s="71"/>
      <c r="C9" s="71" t="s">
        <v>811</v>
      </c>
      <c r="D9" s="84">
        <f>CHOOSE('2_投資判断'!$C$4,$N$12,$Q$12,$T$12)</f>
        <v>9.6000000000000002E-2</v>
      </c>
      <c r="E9" s="84">
        <f>CHOOSE('2_投資判断'!$C$4,$O$12,$R$12,$U$12)</f>
        <v>9.1999999999999998E-2</v>
      </c>
      <c r="F9" s="84">
        <f>CHOOSE('2_投資判断'!$C$4,$P$12,$S$12,$V$12)</f>
        <v>9.6000000000000002E-2</v>
      </c>
      <c r="G9" s="85"/>
      <c r="H9" s="85" t="s">
        <v>812</v>
      </c>
      <c r="I9" s="85"/>
      <c r="J9" s="85"/>
      <c r="K9" s="85"/>
      <c r="M9" s="86" t="s">
        <v>813</v>
      </c>
      <c r="N9" s="87">
        <v>-0.30599999999999999</v>
      </c>
      <c r="O9" s="87">
        <v>0</v>
      </c>
      <c r="P9" s="87">
        <v>0</v>
      </c>
      <c r="Q9" s="87">
        <v>-0.30599999999999999</v>
      </c>
      <c r="R9" s="87">
        <v>0</v>
      </c>
      <c r="S9" s="87">
        <v>0</v>
      </c>
      <c r="T9" s="87">
        <v>-0.30599999999999999</v>
      </c>
      <c r="U9" s="87">
        <v>0</v>
      </c>
      <c r="V9" s="87">
        <v>0</v>
      </c>
      <c r="W9" s="88">
        <v>0</v>
      </c>
      <c r="X9" s="88">
        <v>0</v>
      </c>
      <c r="Y9" s="88">
        <v>0</v>
      </c>
    </row>
    <row r="10" spans="1:25" ht="21.95" customHeight="1">
      <c r="A10" s="71"/>
      <c r="B10" s="71"/>
      <c r="C10" s="71" t="s">
        <v>814</v>
      </c>
      <c r="D10" s="89">
        <v>0</v>
      </c>
      <c r="E10" s="89">
        <v>0</v>
      </c>
      <c r="F10" s="89">
        <v>0</v>
      </c>
      <c r="G10" s="85"/>
      <c r="H10" s="85" t="s">
        <v>815</v>
      </c>
      <c r="I10" s="85"/>
      <c r="J10" s="85"/>
      <c r="K10" s="85"/>
      <c r="M10" s="86" t="s">
        <v>816</v>
      </c>
      <c r="N10" s="87">
        <v>0.62</v>
      </c>
      <c r="O10" s="87">
        <v>0.63</v>
      </c>
      <c r="P10" s="87">
        <v>0.60499999999999998</v>
      </c>
      <c r="Q10" s="87">
        <v>0.62</v>
      </c>
      <c r="R10" s="87">
        <v>0.65</v>
      </c>
      <c r="S10" s="87">
        <v>0.63500000000000001</v>
      </c>
      <c r="T10" s="87">
        <v>0.62</v>
      </c>
      <c r="U10" s="87">
        <v>0.57999999999999996</v>
      </c>
      <c r="V10" s="87">
        <v>0.57999999999999996</v>
      </c>
      <c r="W10" s="88">
        <v>0.57024092297251439</v>
      </c>
      <c r="X10" s="88">
        <v>0.57024092297251439</v>
      </c>
      <c r="Y10" s="88">
        <v>0.57024092297251439</v>
      </c>
    </row>
    <row r="11" spans="1:25" ht="21.95" customHeight="1">
      <c r="A11" s="71"/>
      <c r="B11" s="71"/>
      <c r="C11" s="71" t="s">
        <v>758</v>
      </c>
      <c r="D11" s="90">
        <v>-313</v>
      </c>
      <c r="E11" s="90">
        <v>-313</v>
      </c>
      <c r="F11" s="90">
        <v>-313</v>
      </c>
      <c r="G11" s="85"/>
      <c r="H11" s="85" t="s">
        <v>817</v>
      </c>
      <c r="I11" s="85"/>
      <c r="J11" s="85"/>
      <c r="K11" s="85"/>
      <c r="M11" s="86" t="s">
        <v>818</v>
      </c>
      <c r="N11" s="87">
        <v>8.4000000000000005E-2</v>
      </c>
      <c r="O11" s="87">
        <v>8.2000000000000003E-2</v>
      </c>
      <c r="P11" s="87">
        <v>8.5999999999999993E-2</v>
      </c>
      <c r="Q11" s="87">
        <v>8.4000000000000005E-2</v>
      </c>
      <c r="R11" s="87">
        <v>7.9000000000000001E-2</v>
      </c>
      <c r="S11" s="87">
        <v>7.8E-2</v>
      </c>
      <c r="T11" s="87">
        <v>8.4000000000000005E-2</v>
      </c>
      <c r="U11" s="87">
        <v>9.4E-2</v>
      </c>
      <c r="V11" s="87">
        <v>9.8000000000000004E-2</v>
      </c>
      <c r="W11" s="88">
        <v>0.1051917203936206</v>
      </c>
      <c r="X11" s="88">
        <v>0.1051917203936206</v>
      </c>
      <c r="Y11" s="88">
        <v>0.1051917203936206</v>
      </c>
    </row>
    <row r="12" spans="1:25" ht="21.95" customHeight="1">
      <c r="A12" s="71"/>
      <c r="B12" s="71"/>
      <c r="C12" s="71" t="s">
        <v>819</v>
      </c>
      <c r="D12" s="84">
        <f>CHOOSE('2_投資判断'!$C$4,$N$13,$Q$13,$T$13)</f>
        <v>0.12</v>
      </c>
      <c r="E12" s="84">
        <f>CHOOSE('2_投資判断'!$C$4,$O$13,$R$13,$U$13)</f>
        <v>0.13500000000000001</v>
      </c>
      <c r="F12" s="84">
        <f>CHOOSE('2_投資判断'!$C$4,$P$13,$S$13,$V$13)</f>
        <v>0.13500000000000001</v>
      </c>
      <c r="G12" s="85"/>
      <c r="H12" s="85" t="s">
        <v>820</v>
      </c>
      <c r="I12" s="85"/>
      <c r="J12" s="85"/>
      <c r="K12" s="85"/>
      <c r="M12" s="86" t="s">
        <v>821</v>
      </c>
      <c r="N12" s="87">
        <v>9.6000000000000002E-2</v>
      </c>
      <c r="O12" s="87">
        <v>9.1999999999999998E-2</v>
      </c>
      <c r="P12" s="87">
        <v>9.6000000000000002E-2</v>
      </c>
      <c r="Q12" s="87">
        <v>9.6000000000000002E-2</v>
      </c>
      <c r="R12" s="87">
        <v>8.7999999999999995E-2</v>
      </c>
      <c r="S12" s="87">
        <v>8.5999999999999993E-2</v>
      </c>
      <c r="T12" s="87">
        <v>9.6000000000000002E-2</v>
      </c>
      <c r="U12" s="87">
        <v>0.105</v>
      </c>
      <c r="V12" s="87">
        <v>0.11</v>
      </c>
      <c r="W12" s="88">
        <v>0.1178034159031784</v>
      </c>
      <c r="X12" s="88">
        <v>0.1178034159031784</v>
      </c>
      <c r="Y12" s="88">
        <v>0.1178034159031784</v>
      </c>
    </row>
    <row r="13" spans="1:25" ht="21.95" customHeight="1">
      <c r="A13" s="71"/>
      <c r="B13" s="71"/>
      <c r="C13" s="71" t="s">
        <v>822</v>
      </c>
      <c r="D13" s="89">
        <v>0</v>
      </c>
      <c r="E13" s="89">
        <v>0</v>
      </c>
      <c r="F13" s="89">
        <v>0</v>
      </c>
      <c r="G13" s="85"/>
      <c r="H13" s="85" t="s">
        <v>823</v>
      </c>
      <c r="I13" s="85"/>
      <c r="J13" s="85"/>
      <c r="K13" s="85"/>
      <c r="M13" s="86" t="s">
        <v>824</v>
      </c>
      <c r="N13" s="87">
        <v>0.12</v>
      </c>
      <c r="O13" s="87">
        <v>0.13500000000000001</v>
      </c>
      <c r="P13" s="87">
        <v>0.13500000000000001</v>
      </c>
      <c r="Q13" s="87">
        <v>0.12</v>
      </c>
      <c r="R13" s="87">
        <v>0.13500000000000001</v>
      </c>
      <c r="S13" s="87">
        <v>0.13500000000000001</v>
      </c>
      <c r="T13" s="87">
        <v>0.12</v>
      </c>
      <c r="U13" s="87">
        <v>0.13500000000000001</v>
      </c>
      <c r="V13" s="87">
        <v>0.13500000000000001</v>
      </c>
      <c r="W13" s="88">
        <v>0.12240496090590459</v>
      </c>
      <c r="X13" s="88">
        <v>0.12240496090590459</v>
      </c>
      <c r="Y13" s="88">
        <v>0.12240496090590459</v>
      </c>
    </row>
    <row r="14" spans="1:25" ht="21.95" customHeight="1">
      <c r="A14" s="71"/>
      <c r="B14" s="71"/>
      <c r="C14" s="71" t="s">
        <v>825</v>
      </c>
      <c r="D14" s="90">
        <v>40.521151453455488</v>
      </c>
      <c r="E14" s="90">
        <v>40.521151453455488</v>
      </c>
      <c r="F14" s="90">
        <v>40.521151453455488</v>
      </c>
      <c r="G14" s="85"/>
      <c r="H14" s="85" t="s">
        <v>826</v>
      </c>
      <c r="I14" s="85"/>
      <c r="J14" s="85"/>
      <c r="K14" s="85"/>
      <c r="M14" s="86" t="s">
        <v>827</v>
      </c>
      <c r="N14" s="91">
        <v>200</v>
      </c>
      <c r="O14" s="91">
        <v>200</v>
      </c>
      <c r="P14" s="91">
        <v>200</v>
      </c>
      <c r="Q14" s="91">
        <v>200</v>
      </c>
      <c r="R14" s="91">
        <v>190</v>
      </c>
      <c r="S14" s="91">
        <v>190</v>
      </c>
      <c r="T14" s="91">
        <v>200</v>
      </c>
      <c r="U14" s="91">
        <v>230</v>
      </c>
      <c r="V14" s="91">
        <v>240</v>
      </c>
      <c r="W14" s="92">
        <v>230.74878273457031</v>
      </c>
      <c r="X14" s="92">
        <v>230.74878273457031</v>
      </c>
      <c r="Y14" s="92">
        <v>230.74878273457031</v>
      </c>
    </row>
    <row r="15" spans="1:25" ht="21.95" customHeight="1">
      <c r="A15" s="71"/>
      <c r="B15" s="71"/>
      <c r="C15" s="71" t="s">
        <v>828</v>
      </c>
      <c r="D15" s="93">
        <f>CHOOSE('2_投資判断'!$C$4,$N$14,$Q$14,$T$14)</f>
        <v>200</v>
      </c>
      <c r="E15" s="93">
        <f>CHOOSE('2_投資判断'!$C$4,$O$14,$R$14,$U$14)</f>
        <v>200</v>
      </c>
      <c r="F15" s="93">
        <f>CHOOSE('2_投資判断'!$C$4,$P$14,$S$14,$V$14)</f>
        <v>200</v>
      </c>
      <c r="G15" s="85"/>
      <c r="H15" s="85" t="s">
        <v>829</v>
      </c>
      <c r="I15" s="85"/>
      <c r="J15" s="85"/>
      <c r="K15" s="85"/>
      <c r="M15" s="86" t="s">
        <v>830</v>
      </c>
      <c r="N15" s="87">
        <v>0.125</v>
      </c>
      <c r="O15" s="87">
        <v>0.1</v>
      </c>
      <c r="P15" s="87">
        <v>0.09</v>
      </c>
      <c r="Q15" s="87">
        <v>0.125</v>
      </c>
      <c r="R15" s="87">
        <v>0.1</v>
      </c>
      <c r="S15" s="87">
        <v>0.09</v>
      </c>
      <c r="T15" s="87">
        <v>0.125</v>
      </c>
      <c r="U15" s="87">
        <v>0.11</v>
      </c>
      <c r="V15" s="87">
        <v>0.1</v>
      </c>
      <c r="W15" s="88">
        <v>0.25732383214568488</v>
      </c>
      <c r="X15" s="88">
        <v>0.25732383214568488</v>
      </c>
      <c r="Y15" s="88">
        <v>0.25732383214568488</v>
      </c>
    </row>
    <row r="16" spans="1:25" ht="21.95" customHeight="1">
      <c r="A16" s="71"/>
      <c r="B16" s="71"/>
      <c r="C16" s="71" t="s">
        <v>831</v>
      </c>
      <c r="D16" s="90">
        <v>36.312672720094753</v>
      </c>
      <c r="E16" s="90">
        <v>36.312672720094753</v>
      </c>
      <c r="F16" s="90">
        <v>36.312672720094753</v>
      </c>
      <c r="G16" s="85"/>
      <c r="H16" s="85" t="s">
        <v>832</v>
      </c>
      <c r="I16" s="85"/>
      <c r="J16" s="85"/>
      <c r="K16" s="85"/>
    </row>
    <row r="17" spans="1:13" ht="21.95" customHeight="1">
      <c r="A17" s="71"/>
      <c r="B17" s="71"/>
      <c r="C17" s="71" t="s">
        <v>514</v>
      </c>
      <c r="D17" s="84">
        <f>CHOOSE('2_投資判断'!$C$4,$N$15,$Q$15,$T$15)</f>
        <v>0.125</v>
      </c>
      <c r="E17" s="84">
        <f>CHOOSE('2_投資判断'!$C$4,$O$15,$R$15,$U$15)</f>
        <v>0.1</v>
      </c>
      <c r="F17" s="84">
        <f>CHOOSE('2_投資判断'!$C$4,$P$15,$S$15,$V$15)</f>
        <v>0.09</v>
      </c>
      <c r="G17" s="85"/>
      <c r="H17" s="85" t="s">
        <v>833</v>
      </c>
      <c r="I17" s="85"/>
      <c r="J17" s="85"/>
      <c r="K17" s="85"/>
      <c r="M17" s="86" t="s">
        <v>834</v>
      </c>
    </row>
    <row r="18" spans="1:13" ht="21.95" customHeight="1">
      <c r="A18" s="71"/>
      <c r="B18" s="71"/>
      <c r="C18" s="71" t="s">
        <v>835</v>
      </c>
      <c r="D18" s="89">
        <v>0.15918139831183309</v>
      </c>
      <c r="E18" s="89">
        <v>0.15918139831183309</v>
      </c>
      <c r="F18" s="89">
        <v>0.15918139831183309</v>
      </c>
      <c r="G18" s="85"/>
      <c r="H18" s="85" t="s">
        <v>836</v>
      </c>
      <c r="I18" s="85"/>
      <c r="J18" s="85"/>
      <c r="K18" s="85"/>
    </row>
    <row r="19" spans="1:13" ht="21.95" customHeight="1">
      <c r="A19" s="71"/>
      <c r="B19" s="71"/>
      <c r="C19" s="71" t="s">
        <v>837</v>
      </c>
      <c r="D19" s="89">
        <v>0.98104793756967668</v>
      </c>
      <c r="E19" s="89">
        <v>0.98104793756967668</v>
      </c>
      <c r="F19" s="89">
        <v>0.98104793756967668</v>
      </c>
      <c r="G19" s="85"/>
      <c r="H19" s="85" t="s">
        <v>838</v>
      </c>
      <c r="I19" s="85"/>
      <c r="J19" s="85"/>
      <c r="K19" s="85"/>
    </row>
    <row r="20" spans="1:13" ht="21.95" customHeight="1">
      <c r="A20" s="71"/>
      <c r="B20" s="71"/>
      <c r="C20" s="71" t="s">
        <v>839</v>
      </c>
      <c r="D20" s="90">
        <v>4999</v>
      </c>
      <c r="E20" s="90">
        <v>4999</v>
      </c>
      <c r="F20" s="90">
        <v>4999</v>
      </c>
      <c r="G20" s="85"/>
      <c r="H20" s="85" t="s">
        <v>840</v>
      </c>
      <c r="I20" s="85"/>
      <c r="J20" s="85"/>
      <c r="K20" s="85"/>
    </row>
    <row r="21" spans="1:13" ht="21.95" customHeight="1">
      <c r="A21" s="71"/>
      <c r="B21" s="71"/>
      <c r="C21" s="71" t="s">
        <v>841</v>
      </c>
      <c r="D21" s="90">
        <v>0</v>
      </c>
      <c r="E21" s="90">
        <v>0</v>
      </c>
      <c r="F21" s="90">
        <v>0</v>
      </c>
      <c r="G21" s="85"/>
      <c r="H21" s="85" t="s">
        <v>842</v>
      </c>
      <c r="I21" s="85"/>
      <c r="J21" s="85"/>
      <c r="K21" s="85"/>
    </row>
    <row r="22" spans="1:13" ht="21.95" customHeight="1">
      <c r="A22" s="71"/>
      <c r="B22" s="71"/>
      <c r="C22" s="71" t="s">
        <v>843</v>
      </c>
      <c r="D22" s="90">
        <v>0</v>
      </c>
      <c r="E22" s="90">
        <v>0</v>
      </c>
      <c r="F22" s="90">
        <v>0</v>
      </c>
      <c r="G22" s="85"/>
      <c r="H22" s="85" t="s">
        <v>844</v>
      </c>
      <c r="I22" s="85"/>
      <c r="J22" s="85"/>
      <c r="K22" s="85"/>
    </row>
    <row r="23" spans="1:13" ht="21.95" customHeight="1">
      <c r="A23" s="71"/>
      <c r="B23" s="71"/>
      <c r="C23" s="71" t="s">
        <v>845</v>
      </c>
      <c r="D23" s="90">
        <v>0</v>
      </c>
      <c r="E23" s="90">
        <v>0</v>
      </c>
      <c r="F23" s="90">
        <v>0</v>
      </c>
      <c r="G23" s="85"/>
      <c r="H23" s="85" t="s">
        <v>846</v>
      </c>
      <c r="I23" s="85"/>
      <c r="J23" s="85"/>
      <c r="K23" s="85"/>
    </row>
    <row r="24" spans="1:13" ht="21.95" customHeight="1">
      <c r="A24" s="71"/>
      <c r="B24" s="71"/>
      <c r="C24" s="71" t="s">
        <v>847</v>
      </c>
      <c r="D24" s="89">
        <v>0.05</v>
      </c>
      <c r="E24" s="89">
        <v>0.05</v>
      </c>
      <c r="F24" s="89">
        <v>0.05</v>
      </c>
      <c r="G24" s="85"/>
      <c r="H24" s="85" t="s">
        <v>848</v>
      </c>
      <c r="I24" s="85"/>
      <c r="J24" s="85"/>
      <c r="K24" s="85"/>
    </row>
    <row r="25" spans="1:13" ht="21.95" customHeight="1">
      <c r="A25" s="71"/>
      <c r="B25" s="71"/>
      <c r="C25" s="71" t="s">
        <v>849</v>
      </c>
      <c r="D25" s="90">
        <v>0</v>
      </c>
      <c r="E25" s="90">
        <v>0</v>
      </c>
      <c r="F25" s="90">
        <v>0</v>
      </c>
      <c r="G25" s="85"/>
      <c r="H25" s="85" t="s">
        <v>846</v>
      </c>
      <c r="I25" s="85"/>
      <c r="J25" s="85"/>
      <c r="K25" s="85"/>
    </row>
    <row r="26" spans="1:13" ht="21.95" customHeight="1">
      <c r="A26" s="71"/>
      <c r="B26" s="71"/>
      <c r="C26" s="71" t="s">
        <v>850</v>
      </c>
      <c r="D26" s="90">
        <v>1</v>
      </c>
      <c r="E26" s="90">
        <v>1</v>
      </c>
      <c r="F26" s="90">
        <v>1</v>
      </c>
      <c r="G26" s="85"/>
      <c r="H26" s="85" t="s">
        <v>851</v>
      </c>
      <c r="I26" s="85"/>
      <c r="J26" s="85"/>
      <c r="K26" s="85"/>
    </row>
    <row r="27" spans="1:13" ht="21.95" customHeight="1">
      <c r="A27" s="71"/>
      <c r="B27" s="71"/>
      <c r="C27" s="71"/>
      <c r="D27" s="90"/>
      <c r="E27" s="90"/>
      <c r="F27" s="90"/>
      <c r="G27" s="85"/>
      <c r="H27" s="85"/>
      <c r="I27" s="85"/>
      <c r="J27" s="85"/>
      <c r="K27" s="85"/>
    </row>
    <row r="28" spans="1:13" ht="21.95" customHeight="1">
      <c r="A28" s="71"/>
      <c r="B28" s="71"/>
      <c r="C28" s="71"/>
      <c r="D28" s="90"/>
      <c r="E28" s="90"/>
      <c r="F28" s="90"/>
      <c r="G28" s="85"/>
      <c r="H28" s="85"/>
      <c r="I28" s="85"/>
      <c r="J28" s="85"/>
      <c r="K28" s="85"/>
    </row>
    <row r="29" spans="1:13" ht="21.95" customHeight="1">
      <c r="A29" s="71"/>
      <c r="B29" s="71"/>
      <c r="C29" s="71" t="s">
        <v>852</v>
      </c>
      <c r="D29" s="84">
        <f>CHOOSE('2_投資判断'!$C$4,$N$7,$Q$7,$T$7)</f>
        <v>0.04</v>
      </c>
      <c r="E29" s="84">
        <f>CHOOSE('2_投資判断'!$C$4,$O$7,$R$7,$U$7)</f>
        <v>0</v>
      </c>
      <c r="F29" s="84">
        <f>CHOOSE('2_投資判断'!$C$4,$P$7,$S$7,$V$7)</f>
        <v>0</v>
      </c>
      <c r="G29" s="85"/>
      <c r="H29" s="85"/>
      <c r="I29" s="85"/>
      <c r="J29" s="85"/>
      <c r="K29" s="85"/>
    </row>
    <row r="30" spans="1:13" ht="21.95" customHeight="1">
      <c r="A30" s="71"/>
      <c r="B30" s="71"/>
      <c r="C30" s="71" t="s">
        <v>853</v>
      </c>
      <c r="D30" s="84">
        <f>CHOOSE('2_投資判断'!$C$4,$N$8,$Q$8,$T$8)</f>
        <v>-9.6000000000000002E-2</v>
      </c>
      <c r="E30" s="84">
        <f>CHOOSE('2_投資判断'!$C$4,$O$8,$R$8,$U$8)</f>
        <v>0</v>
      </c>
      <c r="F30" s="84">
        <f>CHOOSE('2_投資判断'!$C$4,$P$8,$S$8,$V$8)</f>
        <v>0</v>
      </c>
      <c r="G30" s="85"/>
      <c r="H30" s="85"/>
      <c r="I30" s="85"/>
      <c r="J30" s="85"/>
      <c r="K30" s="85"/>
    </row>
    <row r="31" spans="1:13" ht="21.95" customHeight="1">
      <c r="A31" s="71"/>
      <c r="B31" s="71"/>
      <c r="C31" s="71" t="s">
        <v>854</v>
      </c>
      <c r="D31" s="84">
        <f>CHOOSE('2_投資判断'!$C$4,$N$9,$Q$9,$T$9)</f>
        <v>-0.30599999999999999</v>
      </c>
      <c r="E31" s="84">
        <f>CHOOSE('2_投資判断'!$C$4,$O$9,$R$9,$U$9)</f>
        <v>0</v>
      </c>
      <c r="F31" s="84">
        <f>CHOOSE('2_投資判断'!$C$4,$P$9,$S$9,$V$9)</f>
        <v>0</v>
      </c>
      <c r="G31" s="85"/>
      <c r="H31" s="85"/>
      <c r="I31" s="85"/>
      <c r="J31" s="85"/>
      <c r="K31" s="85"/>
    </row>
    <row r="32" spans="1:13" ht="21.95" customHeight="1">
      <c r="A32" s="71"/>
      <c r="B32" s="71"/>
      <c r="C32" s="71"/>
      <c r="D32" s="90"/>
      <c r="E32" s="90"/>
      <c r="F32" s="90"/>
      <c r="G32" s="85"/>
      <c r="H32" s="85"/>
      <c r="I32" s="85"/>
      <c r="J32" s="85"/>
      <c r="K32" s="85"/>
    </row>
    <row r="33" spans="1:11" ht="21.95" customHeight="1">
      <c r="A33" s="71"/>
      <c r="B33" s="71"/>
      <c r="C33" s="71" t="s">
        <v>855</v>
      </c>
      <c r="D33" s="89">
        <v>0.38247935753874002</v>
      </c>
      <c r="E33" s="89">
        <v>0.38247935753874002</v>
      </c>
      <c r="F33" s="89">
        <v>0.38247935753874002</v>
      </c>
      <c r="G33" s="85"/>
      <c r="H33" s="85"/>
      <c r="I33" s="85"/>
      <c r="J33" s="85"/>
      <c r="K33" s="85"/>
    </row>
    <row r="34" spans="1:11" ht="21.95" customHeight="1">
      <c r="A34" s="71"/>
      <c r="B34" s="71"/>
      <c r="C34" s="71" t="s">
        <v>856</v>
      </c>
      <c r="D34" s="89">
        <v>0.21383327677864489</v>
      </c>
      <c r="E34" s="89">
        <v>0.21383327677864489</v>
      </c>
      <c r="F34" s="89">
        <v>0.21383327677864489</v>
      </c>
      <c r="G34" s="85"/>
      <c r="H34" s="85"/>
      <c r="I34" s="85"/>
      <c r="J34" s="85"/>
      <c r="K34" s="85"/>
    </row>
    <row r="35" spans="1:11" ht="21.95" customHeight="1">
      <c r="A35" s="71"/>
      <c r="B35" s="71"/>
      <c r="C35" s="71" t="s">
        <v>857</v>
      </c>
      <c r="D35" s="89">
        <v>0.1067186969799796</v>
      </c>
      <c r="E35" s="89">
        <v>0.1067186969799796</v>
      </c>
      <c r="F35" s="89">
        <v>0.1067186969799796</v>
      </c>
      <c r="G35" s="85"/>
      <c r="H35" s="85"/>
      <c r="I35" s="85"/>
      <c r="J35" s="85"/>
      <c r="K35" s="85"/>
    </row>
    <row r="36" spans="1:11" ht="21.95" customHeight="1">
      <c r="A36" s="71"/>
      <c r="B36" s="71"/>
      <c r="C36" s="71" t="s">
        <v>858</v>
      </c>
      <c r="D36" s="89">
        <v>0.21191041737360031</v>
      </c>
      <c r="E36" s="89">
        <v>0.21191041737360031</v>
      </c>
      <c r="F36" s="89">
        <v>0.21191041737360031</v>
      </c>
      <c r="G36" s="85"/>
      <c r="H36" s="85"/>
      <c r="I36" s="85"/>
      <c r="J36" s="85"/>
      <c r="K36" s="85"/>
    </row>
    <row r="37" spans="1:11" ht="21.95" customHeight="1">
      <c r="A37" s="71"/>
      <c r="B37" s="71"/>
      <c r="C37" s="71" t="s">
        <v>859</v>
      </c>
      <c r="D37" s="89">
        <v>6.6338649474041403E-2</v>
      </c>
      <c r="E37" s="89">
        <v>6.6338649474041403E-2</v>
      </c>
      <c r="F37" s="89">
        <v>6.6338649474041403E-2</v>
      </c>
      <c r="G37" s="85"/>
      <c r="H37" s="85"/>
      <c r="I37" s="85"/>
      <c r="J37" s="85"/>
      <c r="K37" s="85"/>
    </row>
    <row r="38" spans="1:11" ht="21.95" customHeight="1">
      <c r="A38" s="71"/>
      <c r="B38" s="71"/>
      <c r="C38" s="71" t="s">
        <v>860</v>
      </c>
      <c r="D38" s="89">
        <v>1.871960185499378E-2</v>
      </c>
      <c r="E38" s="89">
        <v>1.871960185499378E-2</v>
      </c>
      <c r="F38" s="89">
        <v>1.871960185499378E-2</v>
      </c>
      <c r="G38" s="85"/>
      <c r="H38" s="85"/>
      <c r="I38" s="85"/>
      <c r="J38" s="85"/>
      <c r="K38" s="85"/>
    </row>
    <row r="39" spans="1:11" ht="21.95" customHeight="1">
      <c r="A39" s="71"/>
      <c r="B39" s="71"/>
      <c r="C39" s="71"/>
      <c r="D39" s="90"/>
      <c r="E39" s="90"/>
      <c r="F39" s="90"/>
      <c r="G39" s="85"/>
      <c r="H39" s="85"/>
      <c r="I39" s="85"/>
      <c r="J39" s="85"/>
      <c r="K39" s="85"/>
    </row>
    <row r="40" spans="1:11" ht="21.95" customHeight="1">
      <c r="A40" s="71"/>
      <c r="B40" s="71"/>
      <c r="C40" s="71"/>
      <c r="D40" s="85"/>
      <c r="E40" s="85"/>
      <c r="F40" s="85"/>
      <c r="G40" s="85"/>
      <c r="H40" s="85"/>
      <c r="I40" s="85"/>
      <c r="J40" s="85"/>
      <c r="K40" s="85"/>
    </row>
    <row r="41" spans="1:11" ht="21.95" customHeight="1">
      <c r="A41" s="71"/>
      <c r="B41" s="71"/>
      <c r="C41" s="71"/>
      <c r="D41" s="85"/>
      <c r="E41" s="85"/>
      <c r="F41" s="85"/>
      <c r="G41" s="85"/>
      <c r="H41" s="85"/>
      <c r="I41" s="85"/>
      <c r="J41" s="85"/>
      <c r="K41" s="85"/>
    </row>
    <row r="42" spans="1:11" ht="21.95" customHeight="1">
      <c r="A42" s="71"/>
      <c r="B42" s="71"/>
      <c r="C42" s="71" t="s">
        <v>861</v>
      </c>
      <c r="D42" s="85"/>
      <c r="E42" s="85"/>
      <c r="F42" s="85"/>
      <c r="G42" s="85"/>
      <c r="H42" s="85"/>
      <c r="I42" s="85"/>
      <c r="J42" s="85"/>
      <c r="K42" s="85"/>
    </row>
    <row r="43" spans="1:11" ht="21.95" customHeight="1">
      <c r="A43" s="71"/>
      <c r="B43" s="71"/>
      <c r="C43" s="71" t="s">
        <v>862</v>
      </c>
      <c r="D43" s="85"/>
      <c r="E43" s="85"/>
      <c r="F43" s="85"/>
      <c r="G43" s="85"/>
      <c r="H43" s="85"/>
      <c r="I43" s="85"/>
      <c r="J43" s="85"/>
      <c r="K43" s="85"/>
    </row>
    <row r="44" spans="1:11" ht="21.95" customHeight="1">
      <c r="A44" s="71"/>
      <c r="B44" s="71"/>
      <c r="C44" s="71" t="s">
        <v>863</v>
      </c>
      <c r="D44" s="85"/>
      <c r="E44" s="85"/>
      <c r="F44" s="85"/>
      <c r="G44" s="85"/>
      <c r="H44" s="85"/>
      <c r="I44" s="85"/>
      <c r="J44" s="85"/>
      <c r="K44" s="85"/>
    </row>
    <row r="45" spans="1:11" ht="21.95" customHeight="1">
      <c r="A45" s="71"/>
      <c r="B45" s="71"/>
      <c r="C45" s="71" t="s">
        <v>864</v>
      </c>
      <c r="D45" s="85"/>
      <c r="E45" s="85"/>
      <c r="F45" s="85"/>
      <c r="G45" s="85"/>
      <c r="H45" s="85"/>
      <c r="I45" s="85"/>
      <c r="J45" s="85"/>
      <c r="K45" s="85"/>
    </row>
    <row r="46" spans="1:11" ht="21.95" customHeight="1">
      <c r="A46" s="71"/>
      <c r="B46" s="71"/>
      <c r="C46" s="71" t="s">
        <v>865</v>
      </c>
      <c r="D46" s="85"/>
      <c r="E46" s="85"/>
      <c r="F46" s="85"/>
      <c r="G46" s="85"/>
      <c r="H46" s="85"/>
      <c r="I46" s="85"/>
      <c r="J46" s="85"/>
      <c r="K46" s="85"/>
    </row>
    <row r="47" spans="1:11" ht="21.95" customHeight="1">
      <c r="A47" s="71"/>
      <c r="B47" s="71"/>
      <c r="C47" s="71" t="s">
        <v>866</v>
      </c>
      <c r="D47" s="85"/>
      <c r="E47" s="85"/>
      <c r="F47" s="85"/>
      <c r="G47" s="85"/>
      <c r="H47" s="85"/>
      <c r="I47" s="85"/>
      <c r="J47" s="85"/>
      <c r="K47" s="85"/>
    </row>
    <row r="48" spans="1:11" ht="21.95" customHeight="1">
      <c r="A48" s="71"/>
      <c r="B48" s="71"/>
      <c r="C48" s="71" t="s">
        <v>867</v>
      </c>
      <c r="D48" s="85"/>
      <c r="E48" s="85"/>
      <c r="F48" s="85"/>
      <c r="G48" s="85"/>
      <c r="H48" s="85"/>
      <c r="I48" s="85"/>
      <c r="J48" s="85"/>
      <c r="K48" s="85"/>
    </row>
    <row r="49" spans="1:11" ht="21.95" customHeight="1">
      <c r="A49" s="71"/>
      <c r="B49" s="71"/>
      <c r="C49" s="71" t="s">
        <v>868</v>
      </c>
      <c r="D49" s="85"/>
      <c r="E49" s="85"/>
      <c r="F49" s="85"/>
      <c r="G49" s="85"/>
      <c r="H49" s="85"/>
      <c r="I49" s="85"/>
      <c r="J49" s="85"/>
      <c r="K49" s="85"/>
    </row>
    <row r="50" spans="1:11" ht="21.95" customHeight="1">
      <c r="A50" s="71"/>
      <c r="B50" s="71"/>
      <c r="C50" s="71" t="s">
        <v>869</v>
      </c>
      <c r="D50" s="85"/>
      <c r="E50" s="85"/>
      <c r="F50" s="85"/>
      <c r="G50" s="85"/>
      <c r="H50" s="85"/>
      <c r="I50" s="85"/>
      <c r="J50" s="85"/>
      <c r="K50" s="85"/>
    </row>
    <row r="51" spans="1:11" ht="21.95" customHeight="1">
      <c r="A51" s="71"/>
      <c r="B51" s="71"/>
      <c r="C51" s="71"/>
      <c r="D51" s="85"/>
      <c r="E51" s="85"/>
      <c r="F51" s="85"/>
      <c r="G51" s="85"/>
      <c r="H51" s="85"/>
      <c r="I51" s="85"/>
      <c r="J51" s="85"/>
      <c r="K51" s="85"/>
    </row>
    <row r="52" spans="1:11" ht="21.95" customHeight="1">
      <c r="A52" s="71"/>
      <c r="B52" s="71"/>
      <c r="C52" s="71"/>
      <c r="D52" s="85"/>
      <c r="E52" s="85"/>
      <c r="F52" s="85"/>
      <c r="G52" s="85"/>
      <c r="H52" s="85"/>
      <c r="I52" s="85"/>
      <c r="J52" s="85"/>
      <c r="K52" s="85"/>
    </row>
    <row r="53" spans="1:11" ht="21.95" customHeight="1">
      <c r="A53" s="71"/>
      <c r="B53" s="71"/>
      <c r="C53" s="71"/>
      <c r="D53" s="85"/>
      <c r="E53" s="85"/>
      <c r="F53" s="85"/>
      <c r="G53" s="85"/>
      <c r="H53" s="85"/>
      <c r="I53" s="85"/>
      <c r="J53" s="85"/>
      <c r="K53" s="85"/>
    </row>
    <row r="54" spans="1:11" ht="21.95" customHeight="1">
      <c r="A54" s="71"/>
      <c r="B54" s="71"/>
      <c r="C54" s="71"/>
      <c r="D54" s="85"/>
      <c r="E54" s="85"/>
      <c r="F54" s="85"/>
      <c r="G54" s="85"/>
      <c r="H54" s="85"/>
      <c r="I54" s="85"/>
      <c r="J54" s="85"/>
      <c r="K54" s="85"/>
    </row>
    <row r="55" spans="1:11" ht="21.95" customHeight="1">
      <c r="A55" s="71"/>
      <c r="B55" s="71"/>
      <c r="C55" s="71"/>
      <c r="D55" s="85"/>
      <c r="E55" s="85"/>
      <c r="F55" s="85"/>
      <c r="G55" s="85"/>
      <c r="H55" s="85"/>
      <c r="I55" s="85"/>
      <c r="J55" s="85"/>
      <c r="K55" s="85"/>
    </row>
    <row r="56" spans="1:11" ht="21.95" customHeight="1">
      <c r="A56" s="71"/>
      <c r="B56" s="71"/>
      <c r="C56" s="71"/>
      <c r="D56" s="85"/>
      <c r="E56" s="85"/>
      <c r="F56" s="85"/>
      <c r="G56" s="85"/>
      <c r="H56" s="85"/>
      <c r="I56" s="85"/>
      <c r="J56" s="85"/>
      <c r="K56" s="85"/>
    </row>
    <row r="57" spans="1:11" ht="21.95" customHeight="1">
      <c r="A57" s="71"/>
      <c r="B57" s="71"/>
      <c r="C57" s="71"/>
      <c r="D57" s="85"/>
      <c r="E57" s="85"/>
      <c r="F57" s="85"/>
      <c r="G57" s="85"/>
      <c r="H57" s="85"/>
      <c r="I57" s="85"/>
      <c r="J57" s="85"/>
      <c r="K57" s="85"/>
    </row>
    <row r="58" spans="1:11" ht="21.95" customHeight="1">
      <c r="A58" s="71"/>
      <c r="B58" s="71"/>
      <c r="C58" s="71"/>
      <c r="D58" s="85"/>
      <c r="E58" s="85"/>
      <c r="F58" s="85"/>
      <c r="G58" s="85"/>
      <c r="H58" s="85"/>
      <c r="I58" s="85"/>
      <c r="J58" s="85"/>
      <c r="K58" s="85"/>
    </row>
    <row r="59" spans="1:11" ht="21.95" customHeight="1">
      <c r="A59" s="71"/>
      <c r="B59" s="71"/>
      <c r="C59" s="71"/>
      <c r="D59" s="85"/>
      <c r="E59" s="85"/>
      <c r="F59" s="85"/>
      <c r="G59" s="85"/>
      <c r="H59" s="85"/>
      <c r="I59" s="85"/>
      <c r="J59" s="85"/>
      <c r="K59" s="85"/>
    </row>
    <row r="60" spans="1:11" ht="21.95" customHeight="1">
      <c r="A60" s="71"/>
      <c r="B60" s="71"/>
      <c r="C60" s="71"/>
      <c r="D60" s="85"/>
      <c r="E60" s="85"/>
      <c r="F60" s="85"/>
      <c r="G60" s="85"/>
      <c r="H60" s="85"/>
      <c r="I60" s="85"/>
      <c r="J60" s="85"/>
      <c r="K60" s="85"/>
    </row>
    <row r="61" spans="1:11" ht="21.95" customHeight="1">
      <c r="A61" s="71"/>
      <c r="B61" s="71"/>
      <c r="C61" s="71"/>
      <c r="D61" s="85"/>
      <c r="E61" s="85"/>
      <c r="F61" s="85"/>
      <c r="G61" s="85"/>
      <c r="H61" s="85"/>
      <c r="I61" s="85"/>
      <c r="J61" s="85"/>
      <c r="K61" s="85"/>
    </row>
    <row r="62" spans="1:11" ht="21.95" customHeight="1">
      <c r="A62" s="71"/>
      <c r="B62" s="71"/>
      <c r="C62" s="71"/>
      <c r="D62" s="85"/>
      <c r="E62" s="85"/>
      <c r="F62" s="85"/>
      <c r="G62" s="85"/>
      <c r="H62" s="85"/>
      <c r="I62" s="85"/>
      <c r="J62" s="85"/>
      <c r="K62" s="85"/>
    </row>
    <row r="63" spans="1:11" ht="21.95" customHeight="1">
      <c r="A63" s="71"/>
      <c r="B63" s="71"/>
      <c r="C63" s="71"/>
      <c r="D63" s="85"/>
      <c r="E63" s="85"/>
      <c r="F63" s="85"/>
      <c r="G63" s="85"/>
      <c r="H63" s="85"/>
      <c r="I63" s="85"/>
      <c r="J63" s="85"/>
      <c r="K63" s="85"/>
    </row>
    <row r="64" spans="1:11" ht="21.95" customHeight="1">
      <c r="A64" s="71"/>
      <c r="B64" s="71"/>
      <c r="C64" s="71"/>
      <c r="D64" s="85"/>
      <c r="E64" s="85"/>
      <c r="F64" s="85"/>
      <c r="G64" s="85"/>
      <c r="H64" s="85"/>
      <c r="I64" s="85"/>
      <c r="J64" s="85"/>
      <c r="K64" s="85"/>
    </row>
    <row r="65" spans="1:11" ht="21.95" customHeight="1">
      <c r="A65" s="71"/>
      <c r="B65" s="71"/>
      <c r="C65" s="71"/>
      <c r="D65" s="85"/>
      <c r="E65" s="85"/>
      <c r="F65" s="85"/>
      <c r="G65" s="85"/>
      <c r="H65" s="85"/>
      <c r="I65" s="85"/>
      <c r="J65" s="85"/>
      <c r="K65" s="85"/>
    </row>
    <row r="66" spans="1:11" ht="21.95" customHeight="1">
      <c r="A66" s="71"/>
      <c r="B66" s="71"/>
      <c r="C66" s="71"/>
      <c r="D66" s="85"/>
      <c r="E66" s="85"/>
      <c r="F66" s="85"/>
      <c r="G66" s="85"/>
      <c r="H66" s="85"/>
      <c r="I66" s="85"/>
      <c r="J66" s="85"/>
      <c r="K66" s="85"/>
    </row>
    <row r="67" spans="1:11" ht="21.95" customHeight="1">
      <c r="A67" s="71"/>
      <c r="B67" s="71"/>
      <c r="C67" s="71"/>
      <c r="D67" s="85"/>
      <c r="E67" s="85"/>
      <c r="F67" s="85"/>
      <c r="G67" s="85"/>
      <c r="H67" s="85"/>
      <c r="I67" s="85"/>
      <c r="J67" s="85"/>
      <c r="K67" s="85"/>
    </row>
    <row r="68" spans="1:11" ht="21.95" customHeight="1">
      <c r="A68" s="71"/>
      <c r="B68" s="71"/>
      <c r="C68" s="71"/>
      <c r="D68" s="85"/>
      <c r="E68" s="85"/>
      <c r="F68" s="85"/>
      <c r="G68" s="85"/>
      <c r="H68" s="85"/>
      <c r="I68" s="85"/>
      <c r="J68" s="85"/>
      <c r="K68" s="85"/>
    </row>
    <row r="69" spans="1:11" ht="21.95" customHeight="1">
      <c r="A69" s="71"/>
      <c r="B69" s="71"/>
      <c r="C69" s="71"/>
      <c r="D69" s="85"/>
      <c r="E69" s="85"/>
      <c r="F69" s="85"/>
      <c r="G69" s="85"/>
      <c r="H69" s="85"/>
      <c r="I69" s="85"/>
      <c r="J69" s="85"/>
      <c r="K69" s="85"/>
    </row>
    <row r="70" spans="1:11" ht="21.95" customHeight="1">
      <c r="A70" s="71"/>
      <c r="B70" s="71"/>
      <c r="C70" s="71"/>
      <c r="D70" s="85"/>
      <c r="E70" s="85"/>
      <c r="F70" s="85"/>
      <c r="G70" s="85"/>
      <c r="H70" s="85"/>
      <c r="I70" s="85"/>
      <c r="J70" s="85"/>
      <c r="K70" s="85"/>
    </row>
    <row r="71" spans="1:11" ht="21.95" customHeight="1">
      <c r="A71" s="71"/>
      <c r="B71" s="71"/>
      <c r="C71" s="71"/>
      <c r="D71" s="85"/>
      <c r="E71" s="85"/>
      <c r="F71" s="85"/>
      <c r="G71" s="85"/>
      <c r="H71" s="85"/>
      <c r="I71" s="85"/>
      <c r="J71" s="85"/>
      <c r="K71" s="85"/>
    </row>
    <row r="72" spans="1:11" ht="21.95" customHeight="1">
      <c r="A72" s="71"/>
      <c r="B72" s="71"/>
      <c r="C72" s="71"/>
      <c r="D72" s="85"/>
      <c r="E72" s="85"/>
      <c r="F72" s="85"/>
      <c r="G72" s="85"/>
      <c r="H72" s="85"/>
      <c r="I72" s="85"/>
      <c r="J72" s="85"/>
      <c r="K72" s="85"/>
    </row>
    <row r="73" spans="1:11" ht="21.95" customHeight="1">
      <c r="A73" s="71"/>
      <c r="B73" s="71"/>
      <c r="C73" s="71"/>
      <c r="D73" s="85"/>
      <c r="E73" s="85"/>
      <c r="F73" s="85"/>
      <c r="G73" s="85"/>
      <c r="H73" s="85"/>
      <c r="I73" s="85"/>
      <c r="J73" s="85"/>
      <c r="K73" s="85"/>
    </row>
    <row r="74" spans="1:11" ht="21.95" customHeight="1">
      <c r="A74" s="71"/>
      <c r="B74" s="71"/>
      <c r="C74" s="71"/>
      <c r="D74" s="85"/>
      <c r="E74" s="85"/>
      <c r="F74" s="85"/>
      <c r="G74" s="85"/>
      <c r="H74" s="85"/>
      <c r="I74" s="85"/>
      <c r="J74" s="85"/>
      <c r="K74" s="85"/>
    </row>
    <row r="75" spans="1:11" ht="21.95" customHeight="1">
      <c r="A75" s="71"/>
      <c r="B75" s="71"/>
      <c r="C75" s="71"/>
      <c r="D75" s="85"/>
      <c r="E75" s="85"/>
      <c r="F75" s="85"/>
      <c r="G75" s="85"/>
      <c r="H75" s="85"/>
      <c r="I75" s="85"/>
      <c r="J75" s="85"/>
      <c r="K75" s="85"/>
    </row>
    <row r="76" spans="1:11" ht="21.95" customHeight="1">
      <c r="A76" s="71"/>
      <c r="B76" s="71"/>
      <c r="C76" s="71"/>
      <c r="D76" s="85"/>
      <c r="E76" s="85"/>
      <c r="F76" s="85"/>
      <c r="G76" s="85"/>
      <c r="H76" s="85"/>
      <c r="I76" s="85"/>
      <c r="J76" s="85"/>
      <c r="K76" s="85"/>
    </row>
    <row r="77" spans="1:11" ht="21.95" customHeight="1">
      <c r="A77" s="71"/>
      <c r="B77" s="71"/>
      <c r="C77" s="71"/>
      <c r="D77" s="85"/>
      <c r="E77" s="85"/>
      <c r="F77" s="85"/>
      <c r="G77" s="85"/>
      <c r="H77" s="85"/>
      <c r="I77" s="85"/>
      <c r="J77" s="85"/>
      <c r="K77" s="85"/>
    </row>
    <row r="78" spans="1:11" ht="21.95" customHeight="1">
      <c r="A78" s="71"/>
      <c r="B78" s="71"/>
      <c r="C78" s="71"/>
      <c r="D78" s="85"/>
      <c r="E78" s="85"/>
      <c r="F78" s="85"/>
      <c r="G78" s="85"/>
      <c r="H78" s="85"/>
      <c r="I78" s="85"/>
      <c r="J78" s="85"/>
      <c r="K78" s="85"/>
    </row>
    <row r="79" spans="1:11" ht="21.95" customHeight="1">
      <c r="A79" s="71"/>
      <c r="B79" s="71"/>
      <c r="C79" s="71"/>
      <c r="D79" s="85"/>
      <c r="E79" s="85"/>
      <c r="F79" s="85"/>
      <c r="G79" s="85"/>
      <c r="H79" s="85"/>
      <c r="I79" s="85"/>
      <c r="J79" s="85"/>
      <c r="K79" s="85"/>
    </row>
    <row r="80" spans="1:11" ht="21.95" customHeight="1">
      <c r="A80" s="71"/>
      <c r="B80" s="71"/>
      <c r="C80" s="71"/>
      <c r="D80" s="85"/>
      <c r="E80" s="85"/>
      <c r="F80" s="85"/>
      <c r="G80" s="85"/>
      <c r="H80" s="85"/>
      <c r="I80" s="85"/>
      <c r="J80" s="85"/>
      <c r="K80" s="85"/>
    </row>
    <row r="81" spans="1:11" ht="21.95" customHeight="1">
      <c r="A81" s="71"/>
      <c r="B81" s="71"/>
      <c r="C81" s="71"/>
      <c r="D81" s="85"/>
      <c r="E81" s="85"/>
      <c r="F81" s="85"/>
      <c r="G81" s="85"/>
      <c r="H81" s="85"/>
      <c r="I81" s="85"/>
      <c r="J81" s="85"/>
      <c r="K81" s="85"/>
    </row>
    <row r="82" spans="1:11" ht="21.95" customHeight="1">
      <c r="A82" s="71"/>
      <c r="B82" s="71"/>
      <c r="C82" s="71"/>
      <c r="D82" s="85"/>
      <c r="E82" s="85"/>
      <c r="F82" s="85"/>
      <c r="G82" s="85"/>
      <c r="H82" s="85"/>
      <c r="I82" s="85"/>
      <c r="J82" s="85"/>
      <c r="K82" s="85"/>
    </row>
    <row r="83" spans="1:11" ht="21.95" customHeight="1">
      <c r="A83" s="71"/>
      <c r="B83" s="71"/>
      <c r="C83" s="71"/>
      <c r="D83" s="85"/>
      <c r="E83" s="85"/>
      <c r="F83" s="85"/>
      <c r="G83" s="85"/>
      <c r="H83" s="85"/>
      <c r="I83" s="85"/>
      <c r="J83" s="85"/>
      <c r="K83" s="85"/>
    </row>
    <row r="84" spans="1:11" ht="21.95" customHeight="1">
      <c r="A84" s="71"/>
      <c r="B84" s="71"/>
      <c r="C84" s="71"/>
      <c r="D84" s="85"/>
      <c r="E84" s="85"/>
      <c r="F84" s="85"/>
      <c r="G84" s="85"/>
      <c r="H84" s="85"/>
      <c r="I84" s="85"/>
      <c r="J84" s="85"/>
      <c r="K84" s="85"/>
    </row>
    <row r="85" spans="1:11" ht="21.95" customHeight="1">
      <c r="A85" s="71"/>
      <c r="B85" s="71"/>
      <c r="C85" s="71"/>
      <c r="D85" s="85"/>
      <c r="E85" s="85"/>
      <c r="F85" s="85"/>
      <c r="G85" s="85"/>
      <c r="H85" s="85"/>
      <c r="I85" s="85"/>
      <c r="J85" s="85"/>
      <c r="K85" s="85"/>
    </row>
    <row r="86" spans="1:11" ht="21.95" customHeight="1">
      <c r="A86" s="71"/>
      <c r="B86" s="71"/>
      <c r="C86" s="71"/>
      <c r="D86" s="85"/>
      <c r="E86" s="85"/>
      <c r="F86" s="85"/>
      <c r="G86" s="85"/>
      <c r="H86" s="85"/>
      <c r="I86" s="85"/>
      <c r="J86" s="85"/>
      <c r="K86" s="85"/>
    </row>
    <row r="87" spans="1:11" ht="21.95" customHeight="1">
      <c r="A87" s="71"/>
      <c r="B87" s="71"/>
      <c r="C87" s="71"/>
      <c r="D87" s="85"/>
      <c r="E87" s="85"/>
      <c r="F87" s="85"/>
      <c r="G87" s="85"/>
      <c r="H87" s="85"/>
      <c r="I87" s="85"/>
      <c r="J87" s="85"/>
      <c r="K87" s="85"/>
    </row>
    <row r="88" spans="1:11" ht="21.95" customHeight="1">
      <c r="A88" s="71"/>
      <c r="B88" s="71"/>
      <c r="C88" s="71"/>
      <c r="D88" s="85"/>
      <c r="E88" s="85"/>
      <c r="F88" s="85"/>
      <c r="G88" s="85"/>
      <c r="H88" s="85"/>
      <c r="I88" s="85"/>
      <c r="J88" s="85"/>
      <c r="K88" s="85"/>
    </row>
    <row r="89" spans="1:11" ht="21.95" customHeight="1">
      <c r="A89" s="71"/>
      <c r="B89" s="71"/>
      <c r="C89" s="71"/>
      <c r="D89" s="85"/>
      <c r="E89" s="85"/>
      <c r="F89" s="85"/>
      <c r="G89" s="85"/>
      <c r="H89" s="85"/>
      <c r="I89" s="85"/>
      <c r="J89" s="85"/>
      <c r="K89" s="85"/>
    </row>
    <row r="90" spans="1:11" ht="21.95" customHeight="1">
      <c r="A90" s="71"/>
      <c r="B90" s="71"/>
      <c r="C90" s="71"/>
      <c r="D90" s="85"/>
      <c r="E90" s="85"/>
      <c r="F90" s="85"/>
      <c r="G90" s="85"/>
      <c r="H90" s="85"/>
      <c r="I90" s="85"/>
      <c r="J90" s="85"/>
      <c r="K90" s="85"/>
    </row>
  </sheetData>
  <phoneticPr fontId="12"/>
  <conditionalFormatting sqref="D6:F6">
    <cfRule type="expression" dxfId="19" priority="1">
      <formula>OR(NOT(ISNUMBER(D6)),D6&lt;-1)</formula>
    </cfRule>
  </conditionalFormatting>
  <conditionalFormatting sqref="D7:F7">
    <cfRule type="expression" dxfId="18" priority="2">
      <formula>OR(NOT(ISNUMBER(D7)),D7&lt;0,D7&gt;1)</formula>
    </cfRule>
  </conditionalFormatting>
  <conditionalFormatting sqref="D8:F9">
    <cfRule type="expression" dxfId="17" priority="3">
      <formula>OR(NOT(ISNUMBER(D8)),D8&lt;0)</formula>
    </cfRule>
  </conditionalFormatting>
  <conditionalFormatting sqref="D10:F11">
    <cfRule type="expression" dxfId="16" priority="5">
      <formula>NOT(ISNUMBER(D10))</formula>
    </cfRule>
  </conditionalFormatting>
  <conditionalFormatting sqref="D12:F13">
    <cfRule type="expression" dxfId="15" priority="7">
      <formula>OR(NOT(ISNUMBER(D12)),D12&lt;0,D12&gt;1)</formula>
    </cfRule>
  </conditionalFormatting>
  <conditionalFormatting sqref="D14:F17">
    <cfRule type="expression" dxfId="14" priority="9">
      <formula>OR(NOT(ISNUMBER(D14)),D14&lt;0)</formula>
    </cfRule>
  </conditionalFormatting>
  <conditionalFormatting sqref="D18:F19">
    <cfRule type="expression" dxfId="13" priority="13">
      <formula>OR(NOT(ISNUMBER(D18)),D18&lt;0,D18&gt;1)</formula>
    </cfRule>
  </conditionalFormatting>
  <conditionalFormatting sqref="D20:F23">
    <cfRule type="expression" dxfId="12" priority="15">
      <formula>OR(NOT(ISNUMBER(D20)),D20&lt;0)</formula>
    </cfRule>
  </conditionalFormatting>
  <conditionalFormatting sqref="D24:F24">
    <cfRule type="expression" dxfId="11" priority="19">
      <formula>OR(NOT(ISNUMBER(D24)),D24&lt;0,D24&gt;1)</formula>
    </cfRule>
  </conditionalFormatting>
  <conditionalFormatting sqref="D25:F25">
    <cfRule type="expression" dxfId="10" priority="20">
      <formula>OR(NOT(ISNUMBER(D25)),D25&lt;0)</formula>
    </cfRule>
  </conditionalFormatting>
  <conditionalFormatting sqref="D26:F26">
    <cfRule type="expression" dxfId="9" priority="21">
      <formula>AND(D26&lt;&gt;0,D26&lt;&gt;1)</formula>
    </cfRule>
  </conditionalFormatting>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N79"/>
  <sheetViews>
    <sheetView workbookViewId="0">
      <pane xSplit="2" ySplit="3" topLeftCell="C4" activePane="bottomRight" state="frozen"/>
      <selection pane="topRight"/>
      <selection pane="bottomLeft"/>
      <selection pane="bottomRight"/>
    </sheetView>
  </sheetViews>
  <sheetFormatPr defaultRowHeight="14.25"/>
  <cols>
    <col min="1" max="1" width="2" customWidth="1"/>
    <col min="2" max="2" width="46" customWidth="1"/>
    <col min="3" max="3" width="14" customWidth="1"/>
    <col min="4" max="13" width="12" customWidth="1"/>
    <col min="14" max="14" width="40" customWidth="1"/>
  </cols>
  <sheetData>
    <row r="1" spans="2:14" ht="21.95" customHeight="1">
      <c r="B1" s="94" t="s">
        <v>870</v>
      </c>
    </row>
    <row r="2" spans="2:14" ht="16.5">
      <c r="B2" s="86" t="s">
        <v>871</v>
      </c>
    </row>
    <row r="4" spans="2:14" ht="20.100000000000001" customHeight="1">
      <c r="B4" s="95" t="s">
        <v>872</v>
      </c>
      <c r="C4" s="11"/>
      <c r="D4" s="11"/>
      <c r="E4" s="11"/>
      <c r="F4" s="11"/>
      <c r="G4" s="11"/>
      <c r="H4" s="11"/>
      <c r="I4" s="11"/>
      <c r="J4" s="11"/>
      <c r="K4" s="11"/>
      <c r="L4" s="11"/>
      <c r="M4" s="11"/>
      <c r="N4" s="11"/>
    </row>
    <row r="5" spans="2:14" ht="16.5">
      <c r="B5" s="12" t="s">
        <v>61</v>
      </c>
      <c r="C5" s="12" t="s">
        <v>128</v>
      </c>
      <c r="D5" s="12" t="s">
        <v>62</v>
      </c>
    </row>
    <row r="6" spans="2:14" ht="16.5">
      <c r="B6" s="86" t="s">
        <v>873</v>
      </c>
      <c r="C6" s="96">
        <v>5.1299999999999998E-2</v>
      </c>
    </row>
    <row r="7" spans="2:14" ht="16.5">
      <c r="B7" s="86" t="s">
        <v>874</v>
      </c>
      <c r="C7" s="97">
        <v>1.2</v>
      </c>
    </row>
    <row r="8" spans="2:14" ht="16.5">
      <c r="B8" s="86" t="s">
        <v>875</v>
      </c>
      <c r="C8" s="96">
        <v>4.2000000000000003E-2</v>
      </c>
    </row>
    <row r="9" spans="2:14" ht="16.5">
      <c r="B9" s="86" t="s">
        <v>876</v>
      </c>
      <c r="C9" s="96">
        <v>0</v>
      </c>
    </row>
    <row r="10" spans="2:14" ht="16.5">
      <c r="B10" s="86" t="s">
        <v>877</v>
      </c>
      <c r="C10" s="98">
        <f>C6+C7*C8+C9</f>
        <v>0.1017</v>
      </c>
    </row>
    <row r="11" spans="2:14" ht="16.5">
      <c r="B11" s="86" t="s">
        <v>878</v>
      </c>
      <c r="C11" s="96">
        <v>5.5E-2</v>
      </c>
    </row>
    <row r="12" spans="2:14" ht="16.5">
      <c r="B12" s="86" t="s">
        <v>879</v>
      </c>
      <c r="C12" s="87">
        <v>0.13500000000000001</v>
      </c>
    </row>
    <row r="13" spans="2:14" ht="16.5">
      <c r="B13" s="86" t="s">
        <v>880</v>
      </c>
      <c r="C13" s="87">
        <v>7.0000000000000007E-2</v>
      </c>
    </row>
    <row r="14" spans="2:14" ht="16.5">
      <c r="B14" s="86" t="s">
        <v>658</v>
      </c>
      <c r="C14" s="99">
        <f>(1-C13)*C10+C13*C11*(1-C12)</f>
        <v>9.7911250000000005E-2</v>
      </c>
    </row>
    <row r="15" spans="2:14" ht="16.5">
      <c r="B15" s="86" t="s">
        <v>660</v>
      </c>
      <c r="C15" s="96">
        <v>3.5000000000000003E-2</v>
      </c>
    </row>
    <row r="16" spans="2:14" ht="16.5">
      <c r="B16" s="86" t="s">
        <v>662</v>
      </c>
      <c r="C16" s="100">
        <v>7</v>
      </c>
      <c r="D16" s="86" t="s">
        <v>881</v>
      </c>
    </row>
    <row r="17" spans="2:14" ht="16.5">
      <c r="B17" s="86" t="s">
        <v>661</v>
      </c>
      <c r="C17" s="86" t="s">
        <v>882</v>
      </c>
      <c r="D17" s="86" t="s">
        <v>883</v>
      </c>
    </row>
    <row r="18" spans="2:14" ht="16.5">
      <c r="B18" s="101" t="s">
        <v>884</v>
      </c>
      <c r="C18" s="102">
        <v>0.2</v>
      </c>
      <c r="D18" s="101" t="s">
        <v>885</v>
      </c>
    </row>
    <row r="20" spans="2:14" ht="20.100000000000001" customHeight="1">
      <c r="B20" s="95" t="s">
        <v>886</v>
      </c>
      <c r="C20" s="11"/>
      <c r="D20" s="11"/>
      <c r="E20" s="11"/>
      <c r="F20" s="11"/>
      <c r="G20" s="11"/>
      <c r="H20" s="11"/>
      <c r="I20" s="11"/>
      <c r="J20" s="11"/>
      <c r="K20" s="11"/>
      <c r="L20" s="11"/>
      <c r="M20" s="11"/>
      <c r="N20" s="11"/>
    </row>
    <row r="21" spans="2:14" ht="16.5">
      <c r="B21" s="12" t="s">
        <v>61</v>
      </c>
      <c r="C21" s="12" t="s">
        <v>128</v>
      </c>
      <c r="D21" s="12" t="s">
        <v>62</v>
      </c>
    </row>
    <row r="22" spans="2:14" ht="16.5">
      <c r="B22" s="86" t="s">
        <v>887</v>
      </c>
      <c r="C22" s="103">
        <v>5413</v>
      </c>
      <c r="D22" s="86" t="s">
        <v>888</v>
      </c>
    </row>
    <row r="23" spans="2:14" ht="16.5">
      <c r="B23" s="86" t="s">
        <v>889</v>
      </c>
      <c r="C23" s="103">
        <v>0</v>
      </c>
      <c r="D23" s="86" t="s">
        <v>890</v>
      </c>
    </row>
    <row r="24" spans="2:14" ht="16.5">
      <c r="B24" s="86" t="s">
        <v>891</v>
      </c>
      <c r="C24" s="104">
        <f>C23</f>
        <v>0</v>
      </c>
      <c r="D24" s="86" t="s">
        <v>892</v>
      </c>
    </row>
    <row r="25" spans="2:14" ht="16.5">
      <c r="B25" s="86" t="s">
        <v>893</v>
      </c>
      <c r="C25" s="103">
        <v>2163</v>
      </c>
      <c r="D25" s="86" t="s">
        <v>894</v>
      </c>
    </row>
    <row r="26" spans="2:14" ht="16.5">
      <c r="B26" s="86" t="s">
        <v>895</v>
      </c>
      <c r="C26" s="105">
        <f>データ_株価!$C$7</f>
        <v>913247686</v>
      </c>
      <c r="D26" s="86" t="s">
        <v>896</v>
      </c>
    </row>
    <row r="27" spans="2:14" ht="16.5">
      <c r="B27" s="101" t="s">
        <v>897</v>
      </c>
      <c r="C27" s="106">
        <v>1000000</v>
      </c>
      <c r="D27" s="101" t="s">
        <v>898</v>
      </c>
    </row>
    <row r="28" spans="2:14" ht="17.100000000000001" customHeight="1">
      <c r="B28" s="141" t="s">
        <v>899</v>
      </c>
      <c r="C28" s="142"/>
      <c r="D28" s="142"/>
      <c r="E28" s="142"/>
      <c r="F28" s="142"/>
      <c r="G28" s="142"/>
      <c r="H28" s="142"/>
      <c r="I28" s="142"/>
      <c r="J28" s="142"/>
      <c r="K28" s="142"/>
      <c r="L28" s="142"/>
      <c r="M28" s="142"/>
    </row>
    <row r="30" spans="2:14" ht="20.100000000000001" customHeight="1">
      <c r="B30" s="95" t="s">
        <v>900</v>
      </c>
      <c r="C30" s="11"/>
      <c r="D30" s="11"/>
      <c r="E30" s="11"/>
      <c r="F30" s="11"/>
      <c r="G30" s="11"/>
      <c r="H30" s="11"/>
      <c r="I30" s="11"/>
      <c r="J30" s="11"/>
      <c r="K30" s="11"/>
      <c r="L30" s="11"/>
      <c r="M30" s="11"/>
      <c r="N30" s="11"/>
    </row>
    <row r="31" spans="2:14" ht="16.5">
      <c r="B31" s="107" t="s">
        <v>901</v>
      </c>
      <c r="C31" s="12" t="s">
        <v>687</v>
      </c>
      <c r="D31" s="12" t="s">
        <v>688</v>
      </c>
      <c r="E31" s="12" t="s">
        <v>689</v>
      </c>
      <c r="F31" s="12" t="s">
        <v>902</v>
      </c>
      <c r="G31" s="12" t="s">
        <v>903</v>
      </c>
      <c r="H31" s="12" t="s">
        <v>904</v>
      </c>
      <c r="I31" s="12" t="s">
        <v>905</v>
      </c>
      <c r="J31" s="12" t="s">
        <v>906</v>
      </c>
      <c r="K31" s="12" t="s">
        <v>907</v>
      </c>
      <c r="L31" s="12" t="s">
        <v>908</v>
      </c>
      <c r="M31" s="12" t="s">
        <v>909</v>
      </c>
    </row>
    <row r="32" spans="2:14" ht="16.5">
      <c r="B32" s="86" t="s">
        <v>910</v>
      </c>
      <c r="C32" s="108">
        <v>1</v>
      </c>
      <c r="D32" s="108">
        <v>2</v>
      </c>
      <c r="E32" s="108">
        <v>3</v>
      </c>
      <c r="F32" s="108">
        <v>4</v>
      </c>
      <c r="G32" s="108">
        <v>5</v>
      </c>
      <c r="H32" s="108">
        <v>6</v>
      </c>
      <c r="I32" s="108">
        <v>7</v>
      </c>
      <c r="J32" s="108">
        <v>8</v>
      </c>
      <c r="K32" s="108">
        <v>9</v>
      </c>
      <c r="L32" s="108">
        <v>10</v>
      </c>
      <c r="M32" s="86" t="s">
        <v>911</v>
      </c>
    </row>
    <row r="33" spans="2:13" ht="16.5">
      <c r="B33" s="86" t="s">
        <v>690</v>
      </c>
      <c r="C33" s="105">
        <f>'3_Forecast'!$I$8</f>
        <v>22387.166000000001</v>
      </c>
      <c r="D33" s="105">
        <f>'3_Forecast'!$J$8</f>
        <v>23954.267619999999</v>
      </c>
      <c r="E33" s="105">
        <f>'3_Forecast'!$K$8</f>
        <v>24912.438324800005</v>
      </c>
      <c r="F33" s="104">
        <f t="shared" ref="F33:L33" si="0">E33*(1+F34)</f>
        <v>25891.141258988584</v>
      </c>
      <c r="G33" s="104">
        <f t="shared" si="0"/>
        <v>26889.799564692432</v>
      </c>
      <c r="H33" s="104">
        <f t="shared" si="0"/>
        <v>27907.770548212935</v>
      </c>
      <c r="I33" s="104">
        <f t="shared" si="0"/>
        <v>28944.344882860849</v>
      </c>
      <c r="J33" s="104">
        <f t="shared" si="0"/>
        <v>29998.746017879352</v>
      </c>
      <c r="K33" s="104">
        <f t="shared" si="0"/>
        <v>31070.129804232187</v>
      </c>
      <c r="L33" s="104">
        <f t="shared" si="0"/>
        <v>32157.584347380311</v>
      </c>
    </row>
    <row r="34" spans="2:13" ht="16.5">
      <c r="B34" s="86" t="s">
        <v>152</v>
      </c>
      <c r="C34" s="109">
        <f>C33/'3_Forecast'!$H$8-1</f>
        <v>0.26609919692342499</v>
      </c>
      <c r="D34" s="88">
        <f>D33/C33-1</f>
        <v>6.999999999999984E-2</v>
      </c>
      <c r="E34" s="88">
        <f>E33/D33-1</f>
        <v>4.0000000000000258E-2</v>
      </c>
      <c r="F34" s="88">
        <f t="shared" ref="F34:L34" si="1">$E$34+($C$15-$E$34)*(F32-3)/$C$16</f>
        <v>3.9285714285714507E-2</v>
      </c>
      <c r="G34" s="88">
        <f t="shared" si="1"/>
        <v>3.8571428571428756E-2</v>
      </c>
      <c r="H34" s="88">
        <f t="shared" si="1"/>
        <v>3.7857142857143006E-2</v>
      </c>
      <c r="I34" s="88">
        <f t="shared" si="1"/>
        <v>3.7142857142857255E-2</v>
      </c>
      <c r="J34" s="88">
        <f t="shared" si="1"/>
        <v>3.6428571428571505E-2</v>
      </c>
      <c r="K34" s="88">
        <f t="shared" si="1"/>
        <v>3.5714285714285754E-2</v>
      </c>
      <c r="L34" s="88">
        <f t="shared" si="1"/>
        <v>3.5000000000000003E-2</v>
      </c>
    </row>
    <row r="35" spans="2:13" ht="16.5">
      <c r="B35" s="86" t="s">
        <v>691</v>
      </c>
      <c r="C35" s="105">
        <f>'3_Forecast'!$I$14</f>
        <v>9850.35304</v>
      </c>
      <c r="D35" s="105">
        <f>'3_Forecast'!$J$14</f>
        <v>10923.146034719999</v>
      </c>
      <c r="E35" s="105">
        <f>'3_Forecast'!$K$14</f>
        <v>10537.961411390401</v>
      </c>
      <c r="F35" s="104">
        <f t="shared" ref="F35:L35" si="2">F33*$E$36</f>
        <v>10951.95275255217</v>
      </c>
      <c r="G35" s="104">
        <f t="shared" si="2"/>
        <v>11374.385215864897</v>
      </c>
      <c r="H35" s="104">
        <f t="shared" si="2"/>
        <v>11804.986941894069</v>
      </c>
      <c r="I35" s="104">
        <f t="shared" si="2"/>
        <v>12243.457885450138</v>
      </c>
      <c r="J35" s="104">
        <f t="shared" si="2"/>
        <v>12689.469565562964</v>
      </c>
      <c r="K35" s="104">
        <f t="shared" si="2"/>
        <v>13142.664907190212</v>
      </c>
      <c r="L35" s="104">
        <f t="shared" si="2"/>
        <v>13602.658178941869</v>
      </c>
    </row>
    <row r="36" spans="2:13" ht="16.5">
      <c r="B36" s="86" t="s">
        <v>151</v>
      </c>
      <c r="C36" s="88">
        <f t="shared" ref="C36:L36" si="3">C35/C33</f>
        <v>0.44</v>
      </c>
      <c r="D36" s="88">
        <f t="shared" si="3"/>
        <v>0.45599999999999996</v>
      </c>
      <c r="E36" s="88">
        <f t="shared" si="3"/>
        <v>0.42299999999999993</v>
      </c>
      <c r="F36" s="88">
        <f t="shared" si="3"/>
        <v>0.42299999999999993</v>
      </c>
      <c r="G36" s="88">
        <f t="shared" si="3"/>
        <v>0.42299999999999993</v>
      </c>
      <c r="H36" s="88">
        <f t="shared" si="3"/>
        <v>0.42299999999999993</v>
      </c>
      <c r="I36" s="88">
        <f t="shared" si="3"/>
        <v>0.42299999999999993</v>
      </c>
      <c r="J36" s="88">
        <f t="shared" si="3"/>
        <v>0.42299999999999993</v>
      </c>
      <c r="K36" s="88">
        <f t="shared" si="3"/>
        <v>0.42299999999999988</v>
      </c>
      <c r="L36" s="88">
        <f t="shared" si="3"/>
        <v>0.42299999999999993</v>
      </c>
    </row>
    <row r="37" spans="2:13" ht="16.5">
      <c r="B37" s="86" t="s">
        <v>912</v>
      </c>
      <c r="C37" s="104">
        <f t="shared" ref="C37:L37" si="4">C35*(1-$C$12)</f>
        <v>8520.5553796000004</v>
      </c>
      <c r="D37" s="104">
        <f t="shared" si="4"/>
        <v>9448.5213200327998</v>
      </c>
      <c r="E37" s="104">
        <f t="shared" si="4"/>
        <v>9115.3366208526968</v>
      </c>
      <c r="F37" s="104">
        <f t="shared" si="4"/>
        <v>9473.4391309576276</v>
      </c>
      <c r="G37" s="104">
        <f t="shared" si="4"/>
        <v>9838.843211723135</v>
      </c>
      <c r="H37" s="104">
        <f t="shared" si="4"/>
        <v>10211.31370473837</v>
      </c>
      <c r="I37" s="104">
        <f t="shared" si="4"/>
        <v>10590.59107091437</v>
      </c>
      <c r="J37" s="104">
        <f t="shared" si="4"/>
        <v>10976.391174211964</v>
      </c>
      <c r="K37" s="104">
        <f t="shared" si="4"/>
        <v>11368.405144719532</v>
      </c>
      <c r="L37" s="104">
        <f t="shared" si="4"/>
        <v>11766.299324784717</v>
      </c>
    </row>
    <row r="38" spans="2:13" ht="16.5">
      <c r="B38" s="86" t="s">
        <v>732</v>
      </c>
      <c r="C38" s="105">
        <f>'3_Forecast'!$I$32</f>
        <v>1999</v>
      </c>
      <c r="D38" s="105">
        <f>'3_Forecast'!$J$32</f>
        <v>2126.2489332895366</v>
      </c>
      <c r="E38" s="105">
        <f>'3_Forecast'!$K$32</f>
        <v>2169.0970364582113</v>
      </c>
      <c r="F38" s="104">
        <f t="shared" ref="F38:L38" si="5">F33*$E$38/$E$33</f>
        <v>2254.3115628904989</v>
      </c>
      <c r="G38" s="104">
        <f t="shared" si="5"/>
        <v>2341.2635803162752</v>
      </c>
      <c r="H38" s="104">
        <f t="shared" si="5"/>
        <v>2429.8971301425345</v>
      </c>
      <c r="I38" s="104">
        <f t="shared" si="5"/>
        <v>2520.1504521192578</v>
      </c>
      <c r="J38" s="104">
        <f t="shared" si="5"/>
        <v>2611.9559328750311</v>
      </c>
      <c r="K38" s="104">
        <f t="shared" si="5"/>
        <v>2705.2400733348536</v>
      </c>
      <c r="L38" s="104">
        <f t="shared" si="5"/>
        <v>2799.9234759015731</v>
      </c>
    </row>
    <row r="39" spans="2:13" ht="16.5">
      <c r="B39" s="86" t="s">
        <v>913</v>
      </c>
      <c r="C39" s="105">
        <f>'3_Forecast'!$I$31</f>
        <v>2798.3957500000001</v>
      </c>
      <c r="D39" s="105">
        <f>'3_Forecast'!$J$31</f>
        <v>2395.4267620000001</v>
      </c>
      <c r="E39" s="105">
        <f>'3_Forecast'!$K$31</f>
        <v>2242.1194492320005</v>
      </c>
      <c r="F39" s="104">
        <f t="shared" ref="F39:L39" si="6">F33*($E$39/$E$33+($E$38/$E$33-$E$39/$E$33)*(F32-3)/$C$16)</f>
        <v>2319.3611203920482</v>
      </c>
      <c r="G39" s="104">
        <f t="shared" si="6"/>
        <v>2397.5624235348782</v>
      </c>
      <c r="H39" s="104">
        <f t="shared" si="6"/>
        <v>2476.641255397752</v>
      </c>
      <c r="I39" s="104">
        <f t="shared" si="6"/>
        <v>2556.5107038356373</v>
      </c>
      <c r="J39" s="104">
        <f t="shared" si="6"/>
        <v>2637.0791353704913</v>
      </c>
      <c r="K39" s="104">
        <f t="shared" si="6"/>
        <v>2718.2503031985739</v>
      </c>
      <c r="L39" s="104">
        <f t="shared" si="6"/>
        <v>2799.9234759015731</v>
      </c>
    </row>
    <row r="40" spans="2:13" ht="16.5">
      <c r="B40" s="86" t="s">
        <v>914</v>
      </c>
      <c r="C40" s="105">
        <f>'3_Forecast'!$I$27</f>
        <v>289.44379152341151</v>
      </c>
      <c r="D40" s="105">
        <f>'3_Forecast'!$J$27</f>
        <v>333.60613270347665</v>
      </c>
      <c r="E40" s="105">
        <f>'3_Forecast'!$K$27</f>
        <v>525.05284181635602</v>
      </c>
      <c r="F40" s="104">
        <f t="shared" ref="F40:L40" si="7">$C$57*(F33-E33)</f>
        <v>281.2504658088439</v>
      </c>
      <c r="G40" s="104">
        <f t="shared" si="7"/>
        <v>286.98505322858131</v>
      </c>
      <c r="H40" s="104">
        <f t="shared" si="7"/>
        <v>292.53494936376933</v>
      </c>
      <c r="I40" s="104">
        <f t="shared" si="7"/>
        <v>297.88100585079491</v>
      </c>
      <c r="J40" s="104">
        <f t="shared" si="7"/>
        <v>303.00390446789794</v>
      </c>
      <c r="K40" s="104">
        <f t="shared" si="7"/>
        <v>307.8842194558265</v>
      </c>
      <c r="L40" s="104">
        <f t="shared" si="7"/>
        <v>312.50248274766278</v>
      </c>
    </row>
    <row r="41" spans="2:13" ht="16.5">
      <c r="B41" s="86" t="s">
        <v>915</v>
      </c>
      <c r="C41" s="110">
        <f t="shared" ref="C41:L41" si="8">C37+C38-C39-C40</f>
        <v>7431.7158380765895</v>
      </c>
      <c r="D41" s="110">
        <f t="shared" si="8"/>
        <v>8845.7373586188587</v>
      </c>
      <c r="E41" s="110">
        <f t="shared" si="8"/>
        <v>8517.2613662625517</v>
      </c>
      <c r="F41" s="110">
        <f t="shared" si="8"/>
        <v>9127.1391076472355</v>
      </c>
      <c r="G41" s="110">
        <f t="shared" si="8"/>
        <v>9495.5593152759502</v>
      </c>
      <c r="H41" s="110">
        <f t="shared" si="8"/>
        <v>9872.034630119384</v>
      </c>
      <c r="I41" s="110">
        <f t="shared" si="8"/>
        <v>10256.349813347195</v>
      </c>
      <c r="J41" s="110">
        <f t="shared" si="8"/>
        <v>10648.264067248605</v>
      </c>
      <c r="K41" s="110">
        <f t="shared" si="8"/>
        <v>11047.510695399986</v>
      </c>
      <c r="L41" s="110">
        <f t="shared" si="8"/>
        <v>11453.796842037054</v>
      </c>
      <c r="M41" s="110">
        <f>L37*(1+$C$15)*(1-$C$15/$C$18)/($C$14-$C$15)</f>
        <v>159700.35305212578</v>
      </c>
    </row>
    <row r="42" spans="2:13" ht="16.5">
      <c r="B42" s="86" t="s">
        <v>916</v>
      </c>
      <c r="C42" s="111">
        <f t="shared" ref="C42:L42" si="9">1/(1+$C$14)^C32</f>
        <v>0.91082043289018111</v>
      </c>
      <c r="D42" s="111">
        <f t="shared" si="9"/>
        <v>0.829593860970257</v>
      </c>
      <c r="E42" s="111">
        <f t="shared" si="9"/>
        <v>0.75561103957196618</v>
      </c>
      <c r="F42" s="111">
        <f t="shared" si="9"/>
        <v>0.68822597415953812</v>
      </c>
      <c r="G42" s="111">
        <f t="shared" si="9"/>
        <v>0.6268502797102572</v>
      </c>
      <c r="H42" s="111">
        <f t="shared" si="9"/>
        <v>0.5709480431230276</v>
      </c>
      <c r="I42" s="111">
        <f t="shared" si="9"/>
        <v>0.52003114379511772</v>
      </c>
      <c r="J42" s="111">
        <f t="shared" si="9"/>
        <v>0.47365499150784524</v>
      </c>
      <c r="K42" s="111">
        <f t="shared" si="9"/>
        <v>0.43141464440577065</v>
      </c>
      <c r="L42" s="111">
        <f t="shared" si="9"/>
        <v>0.39294127317282768</v>
      </c>
      <c r="M42" s="111">
        <f>L42</f>
        <v>0.39294127317282768</v>
      </c>
    </row>
    <row r="43" spans="2:13" ht="16.5">
      <c r="B43" s="101" t="s">
        <v>917</v>
      </c>
      <c r="C43" s="112">
        <f t="shared" ref="C43:M43" si="10">C41*C42</f>
        <v>6768.958636753734</v>
      </c>
      <c r="D43" s="112">
        <f t="shared" si="10"/>
        <v>7338.3694084654617</v>
      </c>
      <c r="E43" s="112">
        <f t="shared" si="10"/>
        <v>6435.7367152677916</v>
      </c>
      <c r="F43" s="112">
        <f t="shared" si="10"/>
        <v>6281.5342036501361</v>
      </c>
      <c r="G43" s="112">
        <f t="shared" si="10"/>
        <v>5952.2940127860675</v>
      </c>
      <c r="H43" s="112">
        <f t="shared" si="10"/>
        <v>5636.4188537094242</v>
      </c>
      <c r="I43" s="112">
        <f t="shared" si="10"/>
        <v>5333.6213245977842</v>
      </c>
      <c r="J43" s="112">
        <f t="shared" si="10"/>
        <v>5043.6034263459314</v>
      </c>
      <c r="K43" s="112">
        <f t="shared" si="10"/>
        <v>4766.0578982249326</v>
      </c>
      <c r="L43" s="112">
        <f t="shared" si="10"/>
        <v>4500.669513772953</v>
      </c>
      <c r="M43" s="112">
        <f t="shared" si="10"/>
        <v>62752.86005445238</v>
      </c>
    </row>
    <row r="45" spans="2:13" ht="16.5">
      <c r="B45" s="86" t="s">
        <v>918</v>
      </c>
      <c r="C45" s="104">
        <f>SUM(C43:L43)</f>
        <v>58057.263993574219</v>
      </c>
    </row>
    <row r="46" spans="2:13" ht="16.5">
      <c r="B46" s="86" t="s">
        <v>919</v>
      </c>
      <c r="C46" s="104">
        <f>M43</f>
        <v>62752.86005445238</v>
      </c>
    </row>
    <row r="47" spans="2:13" ht="16.5">
      <c r="B47" s="81" t="s">
        <v>664</v>
      </c>
      <c r="C47" s="110">
        <f>C45+C46</f>
        <v>120810.1240480266</v>
      </c>
    </row>
    <row r="48" spans="2:13" ht="16.5">
      <c r="B48" s="86" t="s">
        <v>666</v>
      </c>
      <c r="C48" s="104">
        <f>$C$22</f>
        <v>5413</v>
      </c>
    </row>
    <row r="49" spans="2:14" ht="16.5">
      <c r="B49" s="86" t="s">
        <v>667</v>
      </c>
      <c r="C49" s="104">
        <f>$C$23</f>
        <v>0</v>
      </c>
    </row>
    <row r="50" spans="2:14" ht="16.5">
      <c r="B50" s="86" t="s">
        <v>668</v>
      </c>
      <c r="C50" s="104">
        <f>$C$25</f>
        <v>2163</v>
      </c>
    </row>
    <row r="51" spans="2:14" ht="16.5">
      <c r="B51" s="81" t="s">
        <v>669</v>
      </c>
      <c r="C51" s="110">
        <f>C47-C48-C49+C50</f>
        <v>117560.1240480266</v>
      </c>
    </row>
    <row r="52" spans="2:14" ht="16.5">
      <c r="B52" s="86" t="s">
        <v>920</v>
      </c>
      <c r="C52" s="104">
        <f>$C$26</f>
        <v>913247686</v>
      </c>
    </row>
    <row r="53" spans="2:14" ht="16.5">
      <c r="B53" s="81" t="s">
        <v>671</v>
      </c>
      <c r="C53" s="113">
        <f>C51*$C$27/C52</f>
        <v>128.72753564034389</v>
      </c>
    </row>
    <row r="54" spans="2:14" ht="16.5">
      <c r="B54" s="86" t="s">
        <v>672</v>
      </c>
      <c r="C54" s="88">
        <f>C46/C47</f>
        <v>0.51943378544587659</v>
      </c>
    </row>
    <row r="55" spans="2:14" ht="16.5">
      <c r="B55" s="86" t="s">
        <v>921</v>
      </c>
      <c r="C55" s="88">
        <f>IF(C51&gt;0,C46/C51,"n.a.（株式価値≦0）")</f>
        <v>0.53379375500502269</v>
      </c>
    </row>
    <row r="56" spans="2:14" ht="16.5">
      <c r="B56" s="86" t="s">
        <v>922</v>
      </c>
      <c r="C56" s="114">
        <f>IF(C51&gt;0,C47/C51,"n.a.（株式価値≦0）")</f>
        <v>1.0276454284674987</v>
      </c>
    </row>
    <row r="57" spans="2:14" ht="16.5">
      <c r="B57" s="86" t="s">
        <v>923</v>
      </c>
      <c r="C57" s="109">
        <f>('3_Forecast'!$K$24+'3_Forecast'!$K$25-'3_Forecast'!$K$26)/$E$33</f>
        <v>0.28737061674595105</v>
      </c>
    </row>
    <row r="59" spans="2:14" ht="17.100000000000001" customHeight="1">
      <c r="B59" s="141" t="s">
        <v>924</v>
      </c>
      <c r="C59" s="142"/>
      <c r="D59" s="142"/>
      <c r="E59" s="142"/>
      <c r="F59" s="142"/>
      <c r="G59" s="142"/>
      <c r="H59" s="142"/>
      <c r="I59" s="142"/>
      <c r="J59" s="142"/>
      <c r="K59" s="142"/>
      <c r="L59" s="142"/>
      <c r="M59" s="142"/>
    </row>
    <row r="60" spans="2:14" ht="17.100000000000001" customHeight="1">
      <c r="B60" s="141" t="s">
        <v>925</v>
      </c>
      <c r="C60" s="142"/>
      <c r="D60" s="142"/>
      <c r="E60" s="142"/>
      <c r="F60" s="142"/>
      <c r="G60" s="142"/>
      <c r="H60" s="142"/>
      <c r="I60" s="142"/>
      <c r="J60" s="142"/>
      <c r="K60" s="142"/>
      <c r="L60" s="142"/>
      <c r="M60" s="142"/>
    </row>
    <row r="62" spans="2:14" ht="20.100000000000001" customHeight="1">
      <c r="B62" s="95" t="s">
        <v>674</v>
      </c>
      <c r="C62" s="11"/>
      <c r="D62" s="11"/>
      <c r="E62" s="11"/>
      <c r="F62" s="11"/>
      <c r="G62" s="11"/>
      <c r="H62" s="11"/>
      <c r="I62" s="11"/>
      <c r="J62" s="11"/>
      <c r="K62" s="11"/>
      <c r="L62" s="11"/>
      <c r="M62" s="11"/>
      <c r="N62" s="11"/>
    </row>
    <row r="63" spans="2:14" ht="16.5">
      <c r="B63" s="12" t="s">
        <v>675</v>
      </c>
      <c r="C63" s="115">
        <f>$C$15+(-0.01)</f>
        <v>2.5000000000000001E-2</v>
      </c>
      <c r="D63" s="115">
        <f>$C$15+(-0.005)</f>
        <v>3.0000000000000002E-2</v>
      </c>
      <c r="E63" s="115">
        <f>$C$15+(0)</f>
        <v>3.5000000000000003E-2</v>
      </c>
      <c r="F63" s="115">
        <f>$C$15+(0.005)</f>
        <v>0.04</v>
      </c>
      <c r="G63" s="115">
        <f>$C$15+(0.01)</f>
        <v>4.5000000000000005E-2</v>
      </c>
    </row>
    <row r="64" spans="2:14" ht="16.5">
      <c r="B64" s="63">
        <f>$C$14+(-0.01)</f>
        <v>8.791125000000001E-2</v>
      </c>
      <c r="C64" s="116">
        <f t="shared" ref="C64:G68" si="11">(SUMPRODUCT($C$41:$L$41/(1+$B64)^$C$32:$L$32)+$L$37*(1+C$63)*(1-C$63/$C$18)/($B64-C$63)/(1+$B64)^$L$32-$C$22-$C$23+$C$25)*$C$27/$C$26</f>
        <v>142.15169809780625</v>
      </c>
      <c r="D64" s="116">
        <f t="shared" si="11"/>
        <v>146.93256008254838</v>
      </c>
      <c r="E64" s="116">
        <f t="shared" si="11"/>
        <v>152.5907720285885</v>
      </c>
      <c r="F64" s="116">
        <f t="shared" si="11"/>
        <v>159.40101367021595</v>
      </c>
      <c r="G64" s="116">
        <f t="shared" si="11"/>
        <v>167.7659869896338</v>
      </c>
    </row>
    <row r="65" spans="2:14" ht="16.5">
      <c r="B65" s="63">
        <f>$C$14+(-0.005)</f>
        <v>9.2911250000000001E-2</v>
      </c>
      <c r="C65" s="116">
        <f t="shared" si="11"/>
        <v>131.49393496951157</v>
      </c>
      <c r="D65" s="116">
        <f t="shared" si="11"/>
        <v>135.25553032012689</v>
      </c>
      <c r="E65" s="116">
        <f t="shared" si="11"/>
        <v>139.6437945441979</v>
      </c>
      <c r="F65" s="116">
        <f t="shared" si="11"/>
        <v>144.83638424786864</v>
      </c>
      <c r="G65" s="116">
        <f t="shared" si="11"/>
        <v>151.08511674323162</v>
      </c>
    </row>
    <row r="66" spans="2:14" ht="16.5">
      <c r="B66" s="63">
        <f>$C$14+(0)</f>
        <v>9.7911250000000005E-2</v>
      </c>
      <c r="C66" s="116">
        <f t="shared" si="11"/>
        <v>122.28895356963856</v>
      </c>
      <c r="D66" s="116">
        <f t="shared" si="11"/>
        <v>125.2805412069778</v>
      </c>
      <c r="E66" s="117">
        <f t="shared" si="11"/>
        <v>128.72753564034389</v>
      </c>
      <c r="F66" s="116">
        <f t="shared" si="11"/>
        <v>132.74789498565403</v>
      </c>
      <c r="G66" s="116">
        <f t="shared" si="11"/>
        <v>137.50416451785742</v>
      </c>
    </row>
    <row r="67" spans="2:14" ht="16.5">
      <c r="B67" s="63">
        <f>$C$14+(0.005)</f>
        <v>0.10291125000000001</v>
      </c>
      <c r="C67" s="116">
        <f t="shared" si="11"/>
        <v>114.25761647074822</v>
      </c>
      <c r="D67" s="116">
        <f t="shared" si="11"/>
        <v>116.65838007778804</v>
      </c>
      <c r="E67" s="116">
        <f t="shared" si="11"/>
        <v>119.39484936508322</v>
      </c>
      <c r="F67" s="116">
        <f t="shared" si="11"/>
        <v>122.5470670150448</v>
      </c>
      <c r="G67" s="116">
        <f t="shared" si="11"/>
        <v>126.22271893395175</v>
      </c>
    </row>
    <row r="68" spans="2:14" ht="16.5">
      <c r="B68" s="66">
        <f>$C$14+(0.01)</f>
        <v>0.10791125</v>
      </c>
      <c r="C68" s="118">
        <f t="shared" si="11"/>
        <v>107.18808650755838</v>
      </c>
      <c r="D68" s="118">
        <f t="shared" si="11"/>
        <v>109.12942463232345</v>
      </c>
      <c r="E68" s="118">
        <f t="shared" si="11"/>
        <v>111.3211688942194</v>
      </c>
      <c r="F68" s="118">
        <f t="shared" si="11"/>
        <v>113.81862812730489</v>
      </c>
      <c r="G68" s="118">
        <f t="shared" si="11"/>
        <v>116.69469429554252</v>
      </c>
    </row>
    <row r="69" spans="2:14" ht="17.100000000000001" customHeight="1">
      <c r="B69" s="141" t="s">
        <v>926</v>
      </c>
      <c r="C69" s="142"/>
      <c r="D69" s="142"/>
      <c r="E69" s="142"/>
      <c r="F69" s="142"/>
      <c r="G69" s="142"/>
      <c r="H69" s="142"/>
      <c r="I69" s="142"/>
      <c r="J69" s="142"/>
      <c r="K69" s="142"/>
      <c r="L69" s="142"/>
      <c r="M69" s="142"/>
    </row>
    <row r="70" spans="2:14" ht="17.100000000000001" customHeight="1">
      <c r="B70" s="141" t="s">
        <v>927</v>
      </c>
      <c r="C70" s="142"/>
      <c r="D70" s="142"/>
      <c r="E70" s="142"/>
      <c r="F70" s="142"/>
      <c r="G70" s="142"/>
      <c r="H70" s="142"/>
      <c r="I70" s="142"/>
      <c r="J70" s="142"/>
      <c r="K70" s="142"/>
      <c r="L70" s="142"/>
      <c r="M70" s="142"/>
    </row>
    <row r="72" spans="2:14" ht="20.100000000000001" customHeight="1">
      <c r="B72" s="95" t="s">
        <v>928</v>
      </c>
      <c r="C72" s="11"/>
      <c r="D72" s="11"/>
      <c r="E72" s="11"/>
      <c r="F72" s="11"/>
      <c r="G72" s="11"/>
      <c r="H72" s="11"/>
      <c r="I72" s="11"/>
      <c r="J72" s="11"/>
      <c r="K72" s="11"/>
      <c r="L72" s="11"/>
      <c r="M72" s="11"/>
      <c r="N72" s="11"/>
    </row>
    <row r="73" spans="2:14" ht="16.5">
      <c r="B73" s="12" t="s">
        <v>929</v>
      </c>
      <c r="C73" s="119">
        <f>$C$34+(-0.02)</f>
        <v>0.246099196923425</v>
      </c>
      <c r="D73" s="119">
        <f>$C$34+(-0.01)</f>
        <v>0.25609919692342498</v>
      </c>
      <c r="E73" s="119">
        <f>$C$34+(0)</f>
        <v>0.26609919692342499</v>
      </c>
      <c r="F73" s="119">
        <f>$C$34+(0.01)</f>
        <v>0.27609919692342499</v>
      </c>
      <c r="G73" s="119">
        <f>$C$34+(0.02)</f>
        <v>0.286099196923425</v>
      </c>
    </row>
    <row r="74" spans="2:14" ht="16.5">
      <c r="B74" s="69">
        <f>$E$36+(-0.02)</f>
        <v>0.40299999999999991</v>
      </c>
      <c r="C74" s="116">
        <f>(SUMPRODUCT((($C$35:$L$35+(-0.02)*$C$33:$L$33)*(1-$C$12)+$C$38:$L$38-$C$39:$L$39-$C$40:$L$40)*(1+(-0.02))^$C$32:$L$32/(1+$C$14)^$C$32:$L$32)+($L$35+(-0.02)*$L$33)*(1-$C$12)*(1+(-0.02))^$L$32*(1+$C$15)*(1-$C$15/$C$18)/($C$14-$C$15)/(1+$C$14)^$L$32-$C$22-$C$23+$C$25)*$C$27/$C$26</f>
        <v>104.56728920900606</v>
      </c>
      <c r="D74" s="116">
        <f>(SUMPRODUCT((($C$35:$L$35+(-0.02)*$C$33:$L$33)*(1-$C$12)+$C$38:$L$38-$C$39:$L$39-$C$40:$L$40)*(1+(-0.01))^$C$32:$L$32/(1+$C$14)^$C$32:$L$32)+($L$35+(-0.02)*$L$33)*(1-$C$12)*(1+(-0.01))^$L$32*(1+$C$15)*(1-$C$15/$C$18)/($C$14-$C$15)/(1+$C$14)^$L$32-$C$22-$C$23+$C$25)*$C$27/$C$26</f>
        <v>113.10603928834678</v>
      </c>
      <c r="E74" s="116">
        <f>(SUMPRODUCT((($C$35:$L$35+(-0.02)*$C$33:$L$33)*(1-$C$12)+$C$38:$L$38-$C$39:$L$39-$C$40:$L$40)*(1+0)^$C$32:$L$32/(1+$C$14)^$C$32:$L$32)+($L$35+(-0.02)*$L$33)*(1-$C$12)*(1+0)^$L$32*(1+$C$15)*(1-$C$15/$C$18)/($C$14-$C$15)/(1+$C$14)^$L$32-$C$22-$C$23+$C$25)*$C$27/$C$26</f>
        <v>122.35304758119635</v>
      </c>
      <c r="F74" s="116">
        <f>(SUMPRODUCT((($C$35:$L$35+(-0.02)*$C$33:$L$33)*(1-$C$12)+$C$38:$L$38-$C$39:$L$39-$C$40:$L$40)*(1+(0.01))^$C$32:$L$32/(1+$C$14)^$C$32:$L$32)+($L$35+(-0.02)*$L$33)*(1-$C$12)*(1+(0.01))^$L$32*(1+$C$15)*(1-$C$15/$C$18)/($C$14-$C$15)/(1+$C$14)^$L$32-$C$22-$C$23+$C$25)*$C$27/$C$26</f>
        <v>132.363662273389</v>
      </c>
      <c r="G74" s="116">
        <f>(SUMPRODUCT((($C$35:$L$35+(-0.02)*$C$33:$L$33)*(1-$C$12)+$C$38:$L$38-$C$39:$L$39-$C$40:$L$40)*(1+(0.02))^$C$32:$L$32/(1+$C$14)^$C$32:$L$32)+($L$35+(-0.02)*$L$33)*(1-$C$12)*(1+(0.02))^$L$32*(1+$C$15)*(1-$C$15/$C$18)/($C$14-$C$15)/(1+$C$14)^$L$32-$C$22-$C$23+$C$25)*$C$27/$C$26</f>
        <v>143.19708434910527</v>
      </c>
    </row>
    <row r="75" spans="2:14" ht="16.5">
      <c r="B75" s="69">
        <f>$E$36+(-0.01)</f>
        <v>0.41299999999999992</v>
      </c>
      <c r="C75" s="116">
        <f>(SUMPRODUCT((($C$35:$L$35+(-0.01)*$C$33:$L$33)*(1-$C$12)+$C$38:$L$38-$C$39:$L$39-$C$40:$L$40)*(1+(-0.02))^$C$32:$L$32/(1+$C$14)^$C$32:$L$32)+($L$35+(-0.01)*$L$33)*(1-$C$12)*(1+(-0.02))^$L$32*(1+$C$15)*(1-$C$15/$C$18)/($C$14-$C$15)/(1+$C$14)^$L$32-$C$22-$C$23+$C$25)*$C$27/$C$26</f>
        <v>107.30801943771333</v>
      </c>
      <c r="D75" s="116">
        <f>(SUMPRODUCT((($C$35:$L$35+(-0.01)*$C$33:$L$33)*(1-$C$12)+$C$38:$L$38-$C$39:$L$39-$C$40:$L$40)*(1+(-0.01))^$C$32:$L$32/(1+$C$14)^$C$32:$L$32)+($L$35+(-0.01)*$L$33)*(1-$C$12)*(1+(-0.01))^$L$32*(1+$C$15)*(1-$C$15/$C$18)/($C$14-$C$15)/(1+$C$14)^$L$32-$C$22-$C$23+$C$25)*$C$27/$C$26</f>
        <v>116.06117150891176</v>
      </c>
      <c r="E75" s="116">
        <f>(SUMPRODUCT((($C$35:$L$35+(-0.01)*$C$33:$L$33)*(1-$C$12)+$C$38:$L$38-$C$39:$L$39-$C$40:$L$40)*(1+0)^$C$32:$L$32/(1+$C$14)^$C$32:$L$32)+($L$35+(-0.01)*$L$33)*(1-$C$12)*(1+0)^$L$32*(1+$C$15)*(1-$C$15/$C$18)/($C$14-$C$15)/(1+$C$14)^$L$32-$C$22-$C$23+$C$25)*$C$27/$C$26</f>
        <v>125.5402916107701</v>
      </c>
      <c r="F75" s="116">
        <f>(SUMPRODUCT((($C$35:$L$35+(-0.01)*$C$33:$L$33)*(1-$C$12)+$C$38:$L$38-$C$39:$L$39-$C$40:$L$40)*(1+(0.01))^$C$32:$L$32/(1+$C$14)^$C$32:$L$32)+($L$35+(-0.01)*$L$33)*(1-$C$12)*(1+(0.01))^$L$32*(1+$C$15)*(1-$C$15/$C$18)/($C$14-$C$15)/(1+$C$14)^$L$32-$C$22-$C$23+$C$25)*$C$27/$C$26</f>
        <v>135.80210904845325</v>
      </c>
      <c r="G75" s="116">
        <f>(SUMPRODUCT((($C$35:$L$35+(-0.01)*$C$33:$L$33)*(1-$C$12)+$C$38:$L$38-$C$39:$L$39-$C$40:$L$40)*(1+(0.02))^$C$32:$L$32/(1+$C$14)^$C$32:$L$32)+($L$35+(-0.01)*$L$33)*(1-$C$12)*(1+(0.02))^$L$32*(1+$C$15)*(1-$C$15/$C$18)/($C$14-$C$15)/(1+$C$14)^$L$32-$C$22-$C$23+$C$25)*$C$27/$C$26</f>
        <v>146.90730194859049</v>
      </c>
    </row>
    <row r="76" spans="2:14" ht="16.5">
      <c r="B76" s="69">
        <f>$E$36+(0)</f>
        <v>0.42299999999999993</v>
      </c>
      <c r="C76" s="116">
        <f>(SUMPRODUCT((($C$35:$L$35+0*$C$33:$L$33)*(1-$C$12)+$C$38:$L$38-$C$39:$L$39-$C$40:$L$40)*(1+(-0.02))^$C$32:$L$32/(1+$C$14)^$C$32:$L$32)+($L$35+0*$L$33)*(1-$C$12)*(1+(-0.02))^$L$32*(1+$C$15)*(1-$C$15/$C$18)/($C$14-$C$15)/(1+$C$14)^$L$32-$C$22-$C$23+$C$25)*$C$27/$C$26</f>
        <v>110.0487496664206</v>
      </c>
      <c r="D76" s="116">
        <f>(SUMPRODUCT((($C$35:$L$35+0*$C$33:$L$33)*(1-$C$12)+$C$38:$L$38-$C$39:$L$39-$C$40:$L$40)*(1+(-0.01))^$C$32:$L$32/(1+$C$14)^$C$32:$L$32)+($L$35+0*$L$33)*(1-$C$12)*(1+(-0.01))^$L$32*(1+$C$15)*(1-$C$15/$C$18)/($C$14-$C$15)/(1+$C$14)^$L$32-$C$22-$C$23+$C$25)*$C$27/$C$26</f>
        <v>119.01630372947672</v>
      </c>
      <c r="E76" s="117">
        <f>(SUMPRODUCT($C$41:$L$41/(1+$C$14)^$C$32:$L$32)+$L$37*(1+$C$15)*(1-$C$15/$C$18)/($C$14-$C$15)/(1+$C$14)^$L$32-$C$22-$C$23+$C$25)*$C$27/$C$26</f>
        <v>128.72753564034389</v>
      </c>
      <c r="F76" s="116">
        <f>(SUMPRODUCT((($C$35:$L$35+0*$C$33:$L$33)*(1-$C$12)+$C$38:$L$38-$C$39:$L$39-$C$40:$L$40)*(1+(0.01))^$C$32:$L$32/(1+$C$14)^$C$32:$L$32)+($L$35+0*$L$33)*(1-$C$12)*(1+(0.01))^$L$32*(1+$C$15)*(1-$C$15/$C$18)/($C$14-$C$15)/(1+$C$14)^$L$32-$C$22-$C$23+$C$25)*$C$27/$C$26</f>
        <v>139.2405558235175</v>
      </c>
      <c r="G76" s="116">
        <f>(SUMPRODUCT((($C$35:$L$35+0*$C$33:$L$33)*(1-$C$12)+$C$38:$L$38-$C$39:$L$39-$C$40:$L$40)*(1+(0.02))^$C$32:$L$32/(1+$C$14)^$C$32:$L$32)+($L$35+0*$L$33)*(1-$C$12)*(1+(0.02))^$L$32*(1+$C$15)*(1-$C$15/$C$18)/($C$14-$C$15)/(1+$C$14)^$L$32-$C$22-$C$23+$C$25)*$C$27/$C$26</f>
        <v>150.61751954807571</v>
      </c>
    </row>
    <row r="77" spans="2:14" ht="16.5">
      <c r="B77" s="69">
        <f>$E$36+(0.01)</f>
        <v>0.43299999999999994</v>
      </c>
      <c r="C77" s="116">
        <f>(SUMPRODUCT((($C$35:$L$35+(0.01)*$C$33:$L$33)*(1-$C$12)+$C$38:$L$38-$C$39:$L$39-$C$40:$L$40)*(1+(-0.02))^$C$32:$L$32/(1+$C$14)^$C$32:$L$32)+($L$35+(0.01)*$L$33)*(1-$C$12)*(1+(-0.02))^$L$32*(1+$C$15)*(1-$C$15/$C$18)/($C$14-$C$15)/(1+$C$14)^$L$32-$C$22-$C$23+$C$25)*$C$27/$C$26</f>
        <v>112.78947989512787</v>
      </c>
      <c r="D77" s="116">
        <f>(SUMPRODUCT((($C$35:$L$35+(0.01)*$C$33:$L$33)*(1-$C$12)+$C$38:$L$38-$C$39:$L$39-$C$40:$L$40)*(1+(-0.01))^$C$32:$L$32/(1+$C$14)^$C$32:$L$32)+($L$35+(0.01)*$L$33)*(1-$C$12)*(1+(-0.01))^$L$32*(1+$C$15)*(1-$C$15/$C$18)/($C$14-$C$15)/(1+$C$14)^$L$32-$C$22-$C$23+$C$25)*$C$27/$C$26</f>
        <v>121.97143595004169</v>
      </c>
      <c r="E77" s="116">
        <f>(SUMPRODUCT((($C$35:$L$35+(0.01)*$C$33:$L$33)*(1-$C$12)+$C$38:$L$38-$C$39:$L$39-$C$40:$L$40)*(1+0)^$C$32:$L$32/(1+$C$14)^$C$32:$L$32)+($L$35+(0.01)*$L$33)*(1-$C$12)*(1+0)^$L$32*(1+$C$15)*(1-$C$15/$C$18)/($C$14-$C$15)/(1+$C$14)^$L$32-$C$22-$C$23+$C$25)*$C$27/$C$26</f>
        <v>131.91477966991766</v>
      </c>
      <c r="F77" s="116">
        <f>(SUMPRODUCT((($C$35:$L$35+(0.01)*$C$33:$L$33)*(1-$C$12)+$C$38:$L$38-$C$39:$L$39-$C$40:$L$40)*(1+(0.01))^$C$32:$L$32/(1+$C$14)^$C$32:$L$32)+($L$35+(0.01)*$L$33)*(1-$C$12)*(1+(0.01))^$L$32*(1+$C$15)*(1-$C$15/$C$18)/($C$14-$C$15)/(1+$C$14)^$L$32-$C$22-$C$23+$C$25)*$C$27/$C$26</f>
        <v>142.67900259858172</v>
      </c>
      <c r="G77" s="116">
        <f>(SUMPRODUCT((($C$35:$L$35+(0.01)*$C$33:$L$33)*(1-$C$12)+$C$38:$L$38-$C$39:$L$39-$C$40:$L$40)*(1+(0.02))^$C$32:$L$32/(1+$C$14)^$C$32:$L$32)+($L$35+(0.01)*$L$33)*(1-$C$12)*(1+(0.02))^$L$32*(1+$C$15)*(1-$C$15/$C$18)/($C$14-$C$15)/(1+$C$14)^$L$32-$C$22-$C$23+$C$25)*$C$27/$C$26</f>
        <v>154.3277371475609</v>
      </c>
    </row>
    <row r="78" spans="2:14" ht="16.5">
      <c r="B78" s="70">
        <f>$E$36+(0.02)</f>
        <v>0.44299999999999995</v>
      </c>
      <c r="C78" s="118">
        <f>(SUMPRODUCT((($C$35:$L$35+(0.02)*$C$33:$L$33)*(1-$C$12)+$C$38:$L$38-$C$39:$L$39-$C$40:$L$40)*(1+(-0.02))^$C$32:$L$32/(1+$C$14)^$C$32:$L$32)+($L$35+(0.02)*$L$33)*(1-$C$12)*(1+(-0.02))^$L$32*(1+$C$15)*(1-$C$15/$C$18)/($C$14-$C$15)/(1+$C$14)^$L$32-$C$22-$C$23+$C$25)*$C$27/$C$26</f>
        <v>115.5302101238351</v>
      </c>
      <c r="D78" s="118">
        <f>(SUMPRODUCT((($C$35:$L$35+(0.02)*$C$33:$L$33)*(1-$C$12)+$C$38:$L$38-$C$39:$L$39-$C$40:$L$40)*(1+(-0.01))^$C$32:$L$32/(1+$C$14)^$C$32:$L$32)+($L$35+(0.02)*$L$33)*(1-$C$12)*(1+(-0.01))^$L$32*(1+$C$15)*(1-$C$15/$C$18)/($C$14-$C$15)/(1+$C$14)^$L$32-$C$22-$C$23+$C$25)*$C$27/$C$26</f>
        <v>124.92656817060667</v>
      </c>
      <c r="E78" s="118">
        <f>(SUMPRODUCT((($C$35:$L$35+(0.02)*$C$33:$L$33)*(1-$C$12)+$C$38:$L$38-$C$39:$L$39-$C$40:$L$40)*(1+0)^$C$32:$L$32/(1+$C$14)^$C$32:$L$32)+($L$35+(0.02)*$L$33)*(1-$C$12)*(1+0)^$L$32*(1+$C$15)*(1-$C$15/$C$18)/($C$14-$C$15)/(1+$C$14)^$L$32-$C$22-$C$23+$C$25)*$C$27/$C$26</f>
        <v>135.10202369949147</v>
      </c>
      <c r="F78" s="118">
        <f>(SUMPRODUCT((($C$35:$L$35+(0.02)*$C$33:$L$33)*(1-$C$12)+$C$38:$L$38-$C$39:$L$39-$C$40:$L$40)*(1+(0.01))^$C$32:$L$32/(1+$C$14)^$C$32:$L$32)+($L$35+(0.02)*$L$33)*(1-$C$12)*(1+(0.01))^$L$32*(1+$C$15)*(1-$C$15/$C$18)/($C$14-$C$15)/(1+$C$14)^$L$32-$C$22-$C$23+$C$25)*$C$27/$C$26</f>
        <v>146.117449373646</v>
      </c>
      <c r="G78" s="118">
        <f>(SUMPRODUCT((($C$35:$L$35+(0.02)*$C$33:$L$33)*(1-$C$12)+$C$38:$L$38-$C$39:$L$39-$C$40:$L$40)*(1+(0.02))^$C$32:$L$32/(1+$C$14)^$C$32:$L$32)+($L$35+(0.02)*$L$33)*(1-$C$12)*(1+(0.02))^$L$32*(1+$C$15)*(1-$C$15/$C$18)/($C$14-$C$15)/(1+$C$14)^$L$32-$C$22-$C$23+$C$25)*$C$27/$C$26</f>
        <v>158.03795474704606</v>
      </c>
    </row>
    <row r="79" spans="2:14" ht="17.100000000000001" customHeight="1">
      <c r="B79" s="141" t="s">
        <v>930</v>
      </c>
      <c r="C79" s="142"/>
      <c r="D79" s="142"/>
      <c r="E79" s="142"/>
      <c r="F79" s="142"/>
      <c r="G79" s="142"/>
      <c r="H79" s="142"/>
      <c r="I79" s="142"/>
      <c r="J79" s="142"/>
      <c r="K79" s="142"/>
      <c r="L79" s="142"/>
      <c r="M79" s="142"/>
    </row>
  </sheetData>
  <mergeCells count="6">
    <mergeCell ref="B70:M70"/>
    <mergeCell ref="B28:M28"/>
    <mergeCell ref="B59:M59"/>
    <mergeCell ref="B60:M60"/>
    <mergeCell ref="B79:M79"/>
    <mergeCell ref="B69:M69"/>
  </mergeCells>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N193"/>
  <sheetViews>
    <sheetView workbookViewId="0">
      <pane xSplit="2" ySplit="3" topLeftCell="C4" activePane="bottomRight" state="frozen"/>
      <selection pane="topRight"/>
      <selection pane="bottomLeft"/>
      <selection pane="bottomRight"/>
    </sheetView>
  </sheetViews>
  <sheetFormatPr defaultRowHeight="14.25"/>
  <cols>
    <col min="1" max="1" width="2" customWidth="1"/>
    <col min="2" max="2" width="46" customWidth="1"/>
    <col min="3" max="3" width="14" customWidth="1"/>
    <col min="4" max="13" width="12" customWidth="1"/>
    <col min="14" max="14" width="40" customWidth="1"/>
  </cols>
  <sheetData>
    <row r="1" spans="2:14" ht="21.95" customHeight="1">
      <c r="B1" s="94" t="s">
        <v>931</v>
      </c>
    </row>
    <row r="2" spans="2:14" ht="16.5">
      <c r="B2" s="86" t="s">
        <v>932</v>
      </c>
    </row>
    <row r="3" spans="2:14" ht="20.100000000000001" customHeight="1">
      <c r="B3" s="95" t="s">
        <v>933</v>
      </c>
      <c r="C3" s="11"/>
      <c r="D3" s="11"/>
      <c r="E3" s="11"/>
      <c r="F3" s="11"/>
      <c r="G3" s="11"/>
      <c r="H3" s="11"/>
      <c r="I3" s="11"/>
      <c r="J3" s="11"/>
      <c r="K3" s="11"/>
      <c r="L3" s="11"/>
      <c r="M3" s="11"/>
      <c r="N3" s="11"/>
    </row>
    <row r="4" spans="2:14" ht="16.5">
      <c r="B4" s="12" t="s">
        <v>644</v>
      </c>
      <c r="C4" s="12" t="s">
        <v>645</v>
      </c>
      <c r="D4" s="12" t="s">
        <v>646</v>
      </c>
    </row>
    <row r="5" spans="2:14" ht="16.5">
      <c r="B5" s="81" t="s">
        <v>648</v>
      </c>
      <c r="C5" s="87">
        <v>0.5</v>
      </c>
      <c r="D5" s="113">
        <f>$C$67</f>
        <v>128.72753564034394</v>
      </c>
    </row>
    <row r="6" spans="2:14" ht="16.5">
      <c r="B6" s="81" t="s">
        <v>650</v>
      </c>
      <c r="C6" s="87">
        <v>0.25</v>
      </c>
      <c r="D6" s="113">
        <f>$C$128</f>
        <v>173.2451614140742</v>
      </c>
    </row>
    <row r="7" spans="2:14" ht="16.5">
      <c r="B7" s="81" t="s">
        <v>652</v>
      </c>
      <c r="C7" s="87">
        <v>0.25</v>
      </c>
      <c r="D7" s="113">
        <f>$C$189</f>
        <v>84.838547509987507</v>
      </c>
    </row>
    <row r="8" spans="2:14" ht="16.5">
      <c r="B8" s="120" t="s">
        <v>934</v>
      </c>
      <c r="C8" s="121">
        <f>SUM(C5:C7)</f>
        <v>1</v>
      </c>
      <c r="D8" s="122">
        <f>C5*MAX(0,D5)+C6*MAX(0,D6)+C7*MAX(0,D7)</f>
        <v>128.88469505118741</v>
      </c>
    </row>
    <row r="9" spans="2:14" ht="17.100000000000001" customHeight="1">
      <c r="B9" s="141" t="s">
        <v>935</v>
      </c>
      <c r="C9" s="142"/>
      <c r="D9" s="142"/>
      <c r="E9" s="142"/>
      <c r="F9" s="142"/>
      <c r="G9" s="142"/>
      <c r="H9" s="142"/>
      <c r="I9" s="142"/>
      <c r="J9" s="142"/>
      <c r="K9" s="142"/>
      <c r="L9" s="142"/>
      <c r="M9" s="142"/>
    </row>
    <row r="13" spans="2:14" ht="20.100000000000001" customHeight="1">
      <c r="B13" s="95" t="s">
        <v>936</v>
      </c>
      <c r="C13" s="11"/>
      <c r="D13" s="11"/>
      <c r="E13" s="11"/>
      <c r="F13" s="11"/>
      <c r="G13" s="11"/>
      <c r="H13" s="11"/>
      <c r="I13" s="11"/>
      <c r="J13" s="11"/>
      <c r="K13" s="11"/>
      <c r="L13" s="11"/>
      <c r="M13" s="11"/>
      <c r="N13" s="11"/>
    </row>
    <row r="14" spans="2:14" ht="16.5">
      <c r="B14" s="12" t="s">
        <v>937</v>
      </c>
      <c r="C14" s="12" t="s">
        <v>687</v>
      </c>
      <c r="D14" s="12" t="s">
        <v>688</v>
      </c>
      <c r="E14" s="12" t="s">
        <v>689</v>
      </c>
    </row>
    <row r="15" spans="2:14" ht="16.5">
      <c r="B15" s="86" t="s">
        <v>938</v>
      </c>
      <c r="C15" s="109">
        <f>'3_Assumptions'!$N$6</f>
        <v>0.26600000000000001</v>
      </c>
      <c r="D15" s="109">
        <f>'3_Assumptions'!$O$6</f>
        <v>7.0000000000000007E-2</v>
      </c>
      <c r="E15" s="109">
        <f>'3_Assumptions'!$P$6</f>
        <v>0.04</v>
      </c>
    </row>
    <row r="16" spans="2:14" ht="16.5">
      <c r="B16" s="86" t="s">
        <v>852</v>
      </c>
      <c r="C16" s="109">
        <f>'3_Assumptions'!$N$7</f>
        <v>0.04</v>
      </c>
      <c r="D16" s="109">
        <f>'3_Assumptions'!$O$7</f>
        <v>0</v>
      </c>
      <c r="E16" s="109">
        <f>'3_Assumptions'!$P$7</f>
        <v>0</v>
      </c>
    </row>
    <row r="17" spans="2:5" ht="16.5">
      <c r="B17" s="86" t="s">
        <v>939</v>
      </c>
      <c r="C17" s="105">
        <f>'3_セグメント売上'!$H$6*(1+C15+C16)</f>
        <v>18291.835999999999</v>
      </c>
      <c r="D17" s="104">
        <f>C17*(1+D15+D16)</f>
        <v>19572.264520000001</v>
      </c>
      <c r="E17" s="104">
        <f>D17*(1+E15+E16)</f>
        <v>20355.155100800002</v>
      </c>
    </row>
    <row r="18" spans="2:5" ht="16.5">
      <c r="B18" s="86" t="s">
        <v>853</v>
      </c>
      <c r="C18" s="109">
        <f>'3_Assumptions'!$N$8</f>
        <v>-9.6000000000000002E-2</v>
      </c>
      <c r="D18" s="109">
        <f>'3_Assumptions'!$O$8</f>
        <v>0</v>
      </c>
      <c r="E18" s="109">
        <f>'3_Assumptions'!$P$8</f>
        <v>0</v>
      </c>
    </row>
    <row r="19" spans="2:5" ht="16.5">
      <c r="B19" s="86" t="s">
        <v>940</v>
      </c>
      <c r="C19" s="105">
        <f>'3_セグメント売上'!$H$7*(1+C15+C18)</f>
        <v>3155.49</v>
      </c>
      <c r="D19" s="104">
        <f>C19*(1+D15+D18)</f>
        <v>3376.3742999999999</v>
      </c>
      <c r="E19" s="104">
        <f>D19*(1+E15+E18)</f>
        <v>3511.4292719999999</v>
      </c>
    </row>
    <row r="20" spans="2:5" ht="16.5">
      <c r="B20" s="86" t="s">
        <v>854</v>
      </c>
      <c r="C20" s="109">
        <f>'3_Assumptions'!$N$9</f>
        <v>-0.30599999999999999</v>
      </c>
      <c r="D20" s="109">
        <f>'3_Assumptions'!$O$9</f>
        <v>0</v>
      </c>
      <c r="E20" s="109">
        <f>'3_Assumptions'!$P$9</f>
        <v>0</v>
      </c>
    </row>
    <row r="21" spans="2:5" ht="16.5">
      <c r="B21" s="86" t="s">
        <v>941</v>
      </c>
      <c r="C21" s="105">
        <f>'3_セグメント売上'!$H$8*(1+C15+C20)</f>
        <v>939.83999999999992</v>
      </c>
      <c r="D21" s="104">
        <f>C21*(1+D15+D20)</f>
        <v>1005.6288</v>
      </c>
      <c r="E21" s="104">
        <f>D21*(1+E15+E20)</f>
        <v>1045.8539519999999</v>
      </c>
    </row>
    <row r="22" spans="2:5" ht="16.5">
      <c r="B22" s="86" t="s">
        <v>690</v>
      </c>
      <c r="C22" s="104">
        <f>C17+C19+C21</f>
        <v>22387.166000000001</v>
      </c>
      <c r="D22" s="104">
        <f>D17+D19+D21</f>
        <v>23954.267619999999</v>
      </c>
      <c r="E22" s="104">
        <f>E17+E19+E21</f>
        <v>24912.438324800005</v>
      </c>
    </row>
    <row r="23" spans="2:5" ht="16.5">
      <c r="B23" s="86" t="s">
        <v>805</v>
      </c>
      <c r="C23" s="109">
        <f>'3_Assumptions'!$N$10</f>
        <v>0.62</v>
      </c>
      <c r="D23" s="109">
        <f>'3_Assumptions'!$O$10</f>
        <v>0.63</v>
      </c>
      <c r="E23" s="109">
        <f>'3_Assumptions'!$P$10</f>
        <v>0.60499999999999998</v>
      </c>
    </row>
    <row r="24" spans="2:5" ht="16.5">
      <c r="B24" s="86" t="s">
        <v>808</v>
      </c>
      <c r="C24" s="109">
        <f>'3_Assumptions'!$N$11</f>
        <v>8.4000000000000005E-2</v>
      </c>
      <c r="D24" s="109">
        <f>'3_Assumptions'!$O$11</f>
        <v>8.2000000000000003E-2</v>
      </c>
      <c r="E24" s="109">
        <f>'3_Assumptions'!$P$11</f>
        <v>8.5999999999999993E-2</v>
      </c>
    </row>
    <row r="25" spans="2:5" ht="16.5">
      <c r="B25" s="86" t="s">
        <v>811</v>
      </c>
      <c r="C25" s="109">
        <f>'3_Assumptions'!$N$12</f>
        <v>9.6000000000000002E-2</v>
      </c>
      <c r="D25" s="109">
        <f>'3_Assumptions'!$O$12</f>
        <v>9.1999999999999998E-2</v>
      </c>
      <c r="E25" s="109">
        <f>'3_Assumptions'!$P$12</f>
        <v>9.6000000000000002E-2</v>
      </c>
    </row>
    <row r="26" spans="2:5" ht="16.5">
      <c r="B26" s="86" t="s">
        <v>942</v>
      </c>
      <c r="C26" s="109">
        <f>'3_Assumptions'!$D$10</f>
        <v>0</v>
      </c>
      <c r="D26" s="109">
        <f>'3_Assumptions'!$E$10</f>
        <v>0</v>
      </c>
      <c r="E26" s="109">
        <f>'3_Assumptions'!$F$10</f>
        <v>0</v>
      </c>
    </row>
    <row r="27" spans="2:5" ht="16.5">
      <c r="B27" s="86" t="s">
        <v>691</v>
      </c>
      <c r="C27" s="104">
        <f>C22*(C23-C24-C25-C26)</f>
        <v>9850.3530400000018</v>
      </c>
      <c r="D27" s="104">
        <f>D22*(D23-D24-D25-D26)</f>
        <v>10923.146034720001</v>
      </c>
      <c r="E27" s="104">
        <f>E22*(E23-E24-E25-E26)</f>
        <v>10537.961411390403</v>
      </c>
    </row>
    <row r="28" spans="2:5" ht="16.5">
      <c r="B28" s="86" t="s">
        <v>712</v>
      </c>
      <c r="C28" s="104">
        <f>C22*(1-C23)</f>
        <v>8507.1230800000012</v>
      </c>
      <c r="D28" s="104">
        <f>D22*(1-D23)</f>
        <v>8863.0790194000001</v>
      </c>
      <c r="E28" s="104">
        <f>E22*(1-E23)</f>
        <v>9840.4131382960022</v>
      </c>
    </row>
    <row r="29" spans="2:5" ht="16.5">
      <c r="B29" s="86" t="s">
        <v>755</v>
      </c>
      <c r="C29" s="123">
        <f>'3_Forecast'!$I$6</f>
        <v>365</v>
      </c>
      <c r="D29" s="123">
        <f>'3_Forecast'!$J$6</f>
        <v>365</v>
      </c>
      <c r="E29" s="123">
        <f>'3_Forecast'!$K$6</f>
        <v>366</v>
      </c>
    </row>
    <row r="30" spans="2:5" ht="16.5">
      <c r="B30" s="86" t="s">
        <v>825</v>
      </c>
      <c r="C30" s="124">
        <f>'3_Assumptions'!$D$14</f>
        <v>40.521151453455488</v>
      </c>
      <c r="D30" s="124">
        <f>'3_Assumptions'!$E$14</f>
        <v>40.521151453455488</v>
      </c>
      <c r="E30" s="124">
        <f>'3_Assumptions'!$F$14</f>
        <v>40.521151453455488</v>
      </c>
    </row>
    <row r="31" spans="2:5" ht="16.5">
      <c r="B31" s="86" t="s">
        <v>828</v>
      </c>
      <c r="C31" s="124">
        <f>'3_Assumptions'!$N$14</f>
        <v>200</v>
      </c>
      <c r="D31" s="124">
        <f>'3_Assumptions'!$O$14</f>
        <v>200</v>
      </c>
      <c r="E31" s="124">
        <f>'3_Assumptions'!$P$14</f>
        <v>200</v>
      </c>
    </row>
    <row r="32" spans="2:5" ht="16.5">
      <c r="B32" s="86" t="s">
        <v>831</v>
      </c>
      <c r="C32" s="124">
        <f>'3_Assumptions'!$D$16</f>
        <v>36.312672720094753</v>
      </c>
      <c r="D32" s="124">
        <f>'3_Assumptions'!$E$16</f>
        <v>36.312672720094753</v>
      </c>
      <c r="E32" s="124">
        <f>'3_Assumptions'!$F$16</f>
        <v>36.312672720094753</v>
      </c>
    </row>
    <row r="33" spans="2:13" ht="16.5">
      <c r="B33" s="86" t="s">
        <v>723</v>
      </c>
      <c r="C33" s="104">
        <f>C22/C29*C30</f>
        <v>2485.352723560683</v>
      </c>
      <c r="D33" s="104">
        <f>D22/D29*D30</f>
        <v>2659.3274142099303</v>
      </c>
      <c r="E33" s="104">
        <f>E22/E29*E30</f>
        <v>2758.1439520057106</v>
      </c>
    </row>
    <row r="34" spans="2:13" ht="16.5">
      <c r="B34" s="86" t="s">
        <v>724</v>
      </c>
      <c r="C34" s="104">
        <f>C28/C29*C31</f>
        <v>4661.4373041095896</v>
      </c>
      <c r="D34" s="104">
        <f>D28/D29*D31</f>
        <v>4856.4816544657533</v>
      </c>
      <c r="E34" s="104">
        <f>E28/E29*E31</f>
        <v>5377.2749389595638</v>
      </c>
    </row>
    <row r="35" spans="2:13" ht="16.5">
      <c r="B35" s="86" t="s">
        <v>728</v>
      </c>
      <c r="C35" s="104">
        <f>C28/C29*C32</f>
        <v>846.34623614686154</v>
      </c>
      <c r="D35" s="104">
        <f>D28/D29*D32</f>
        <v>881.75914444879595</v>
      </c>
      <c r="E35" s="104">
        <f>E28/E29*E32</f>
        <v>976.31612492203067</v>
      </c>
    </row>
    <row r="36" spans="2:13" ht="16.5">
      <c r="B36" s="86" t="s">
        <v>943</v>
      </c>
      <c r="C36" s="104">
        <f>C33+C34-C35</f>
        <v>6300.4437915234112</v>
      </c>
      <c r="D36" s="104">
        <f>D33+D34-D35</f>
        <v>6634.0499242268879</v>
      </c>
      <c r="E36" s="104">
        <f>E33+E34-E35</f>
        <v>7159.1027660432446</v>
      </c>
    </row>
    <row r="37" spans="2:13" ht="16.5">
      <c r="B37" s="86" t="s">
        <v>914</v>
      </c>
      <c r="C37" s="105">
        <f>C36-('3_Forecast'!$H$24+'3_Forecast'!$H$25-'3_Forecast'!$H$26)</f>
        <v>289.44379152341116</v>
      </c>
      <c r="D37" s="104">
        <f>D36-C36</f>
        <v>333.60613270347676</v>
      </c>
      <c r="E37" s="104">
        <f>E36-D36</f>
        <v>525.0528418163567</v>
      </c>
    </row>
    <row r="38" spans="2:13" ht="16.5">
      <c r="B38" s="86" t="s">
        <v>761</v>
      </c>
      <c r="C38" s="105">
        <f>'3_Forecast'!$H$33+'3_Forecast'!$H$34</f>
        <v>12558</v>
      </c>
      <c r="D38" s="104">
        <f>C43</f>
        <v>13357.39575</v>
      </c>
      <c r="E38" s="104">
        <f>D43</f>
        <v>13626.573578710462</v>
      </c>
    </row>
    <row r="39" spans="2:13" ht="16.5">
      <c r="B39" s="86" t="s">
        <v>835</v>
      </c>
      <c r="C39" s="109">
        <f>'3_Assumptions'!$D$18</f>
        <v>0.15918139831183309</v>
      </c>
      <c r="D39" s="109">
        <f>'3_Assumptions'!$E$18</f>
        <v>0.15918139831183309</v>
      </c>
      <c r="E39" s="109">
        <f>'3_Assumptions'!$F$18</f>
        <v>0.15918139831183309</v>
      </c>
    </row>
    <row r="40" spans="2:13" ht="16.5">
      <c r="B40" s="86" t="s">
        <v>732</v>
      </c>
      <c r="C40" s="104">
        <f>MIN(C38,C38*C39)</f>
        <v>1999</v>
      </c>
      <c r="D40" s="104">
        <f>MIN(D38,D38*D39)</f>
        <v>2126.2489332895366</v>
      </c>
      <c r="E40" s="104">
        <f>MIN(E38,E38*E39)</f>
        <v>2169.0970364582108</v>
      </c>
    </row>
    <row r="41" spans="2:13" ht="16.5">
      <c r="B41" s="86" t="s">
        <v>514</v>
      </c>
      <c r="C41" s="109">
        <f>'3_Assumptions'!$N$15</f>
        <v>0.125</v>
      </c>
      <c r="D41" s="109">
        <f>'3_Assumptions'!$O$15</f>
        <v>0.1</v>
      </c>
      <c r="E41" s="109">
        <f>'3_Assumptions'!$P$15</f>
        <v>0.09</v>
      </c>
    </row>
    <row r="42" spans="2:13" ht="16.5">
      <c r="B42" s="86" t="s">
        <v>762</v>
      </c>
      <c r="C42" s="104">
        <f>C22*C41</f>
        <v>2798.3957500000001</v>
      </c>
      <c r="D42" s="104">
        <f>D22*D41</f>
        <v>2395.4267620000001</v>
      </c>
      <c r="E42" s="104">
        <f>E22*E41</f>
        <v>2242.1194492320005</v>
      </c>
    </row>
    <row r="43" spans="2:13" ht="16.5">
      <c r="B43" s="101" t="s">
        <v>944</v>
      </c>
      <c r="C43" s="112">
        <f>C38+C42-C40</f>
        <v>13357.39575</v>
      </c>
      <c r="D43" s="112">
        <f>D38+D42-D40</f>
        <v>13626.573578710462</v>
      </c>
      <c r="E43" s="112">
        <f>E38+E42-E40</f>
        <v>13699.595991484253</v>
      </c>
    </row>
    <row r="45" spans="2:13" ht="16.5">
      <c r="B45" s="107" t="s">
        <v>945</v>
      </c>
      <c r="C45" s="12" t="s">
        <v>687</v>
      </c>
      <c r="D45" s="12" t="s">
        <v>688</v>
      </c>
      <c r="E45" s="12" t="s">
        <v>689</v>
      </c>
      <c r="F45" s="12" t="s">
        <v>902</v>
      </c>
      <c r="G45" s="12" t="s">
        <v>903</v>
      </c>
      <c r="H45" s="12" t="s">
        <v>904</v>
      </c>
      <c r="I45" s="12" t="s">
        <v>905</v>
      </c>
      <c r="J45" s="12" t="s">
        <v>906</v>
      </c>
      <c r="K45" s="12" t="s">
        <v>907</v>
      </c>
      <c r="L45" s="12" t="s">
        <v>908</v>
      </c>
      <c r="M45" s="12" t="s">
        <v>909</v>
      </c>
    </row>
    <row r="46" spans="2:13" ht="16.5">
      <c r="B46" s="86" t="s">
        <v>910</v>
      </c>
      <c r="C46" s="108">
        <v>1</v>
      </c>
      <c r="D46" s="108">
        <v>2</v>
      </c>
      <c r="E46" s="108">
        <v>3</v>
      </c>
      <c r="F46" s="108">
        <v>4</v>
      </c>
      <c r="G46" s="108">
        <v>5</v>
      </c>
      <c r="H46" s="108">
        <v>6</v>
      </c>
      <c r="I46" s="108">
        <v>7</v>
      </c>
      <c r="J46" s="108">
        <v>8</v>
      </c>
      <c r="K46" s="108">
        <v>9</v>
      </c>
      <c r="L46" s="108">
        <v>10</v>
      </c>
      <c r="M46" s="86" t="s">
        <v>911</v>
      </c>
    </row>
    <row r="47" spans="2:13" ht="16.5">
      <c r="B47" s="86" t="s">
        <v>690</v>
      </c>
      <c r="C47" s="104">
        <f>C22</f>
        <v>22387.166000000001</v>
      </c>
      <c r="D47" s="104">
        <f>D22</f>
        <v>23954.267619999999</v>
      </c>
      <c r="E47" s="104">
        <f>E22</f>
        <v>24912.438324800005</v>
      </c>
      <c r="F47" s="104">
        <f t="shared" ref="F47:L47" si="0">E47*(1+F48)</f>
        <v>25891.141258988584</v>
      </c>
      <c r="G47" s="104">
        <f t="shared" si="0"/>
        <v>26889.799564692432</v>
      </c>
      <c r="H47" s="104">
        <f t="shared" si="0"/>
        <v>27907.770548212935</v>
      </c>
      <c r="I47" s="104">
        <f t="shared" si="0"/>
        <v>28944.344882860849</v>
      </c>
      <c r="J47" s="104">
        <f t="shared" si="0"/>
        <v>29998.746017879352</v>
      </c>
      <c r="K47" s="104">
        <f t="shared" si="0"/>
        <v>31070.129804232187</v>
      </c>
      <c r="L47" s="104">
        <f t="shared" si="0"/>
        <v>32157.584347380311</v>
      </c>
    </row>
    <row r="48" spans="2:13" ht="16.5">
      <c r="B48" s="86" t="s">
        <v>152</v>
      </c>
      <c r="C48" s="109">
        <f>C47/'3_Forecast'!$H$8-1</f>
        <v>0.26609919692342499</v>
      </c>
      <c r="D48" s="88">
        <f>D47/C47-1</f>
        <v>6.999999999999984E-2</v>
      </c>
      <c r="E48" s="88">
        <f>E47/D47-1</f>
        <v>4.0000000000000258E-2</v>
      </c>
      <c r="F48" s="109">
        <f>$E$48+(計算_DCF!$C$15-$E$48)*(F46-3)/計算_DCF!$C$16</f>
        <v>3.9285714285714507E-2</v>
      </c>
      <c r="G48" s="109">
        <f>$E$48+(計算_DCF!$C$15-$E$48)*(G46-3)/計算_DCF!$C$16</f>
        <v>3.8571428571428756E-2</v>
      </c>
      <c r="H48" s="109">
        <f>$E$48+(計算_DCF!$C$15-$E$48)*(H46-3)/計算_DCF!$C$16</f>
        <v>3.7857142857143006E-2</v>
      </c>
      <c r="I48" s="109">
        <f>$E$48+(計算_DCF!$C$15-$E$48)*(I46-3)/計算_DCF!$C$16</f>
        <v>3.7142857142857255E-2</v>
      </c>
      <c r="J48" s="109">
        <f>$E$48+(計算_DCF!$C$15-$E$48)*(J46-3)/計算_DCF!$C$16</f>
        <v>3.6428571428571505E-2</v>
      </c>
      <c r="K48" s="109">
        <f>$E$48+(計算_DCF!$C$15-$E$48)*(K46-3)/計算_DCF!$C$16</f>
        <v>3.5714285714285754E-2</v>
      </c>
      <c r="L48" s="109">
        <f>$E$48+(計算_DCF!$C$15-$E$48)*(L46-3)/計算_DCF!$C$16</f>
        <v>3.5000000000000003E-2</v>
      </c>
    </row>
    <row r="49" spans="2:13" ht="16.5">
      <c r="B49" s="86" t="s">
        <v>691</v>
      </c>
      <c r="C49" s="104">
        <f>C27</f>
        <v>9850.3530400000018</v>
      </c>
      <c r="D49" s="104">
        <f>D27</f>
        <v>10923.146034720001</v>
      </c>
      <c r="E49" s="104">
        <f>E27</f>
        <v>10537.961411390403</v>
      </c>
      <c r="F49" s="104">
        <f t="shared" ref="F49:L49" si="1">F47*$E$50</f>
        <v>10951.952752552172</v>
      </c>
      <c r="G49" s="104">
        <f t="shared" si="1"/>
        <v>11374.385215864901</v>
      </c>
      <c r="H49" s="104">
        <f t="shared" si="1"/>
        <v>11804.986941894073</v>
      </c>
      <c r="I49" s="104">
        <f t="shared" si="1"/>
        <v>12243.45788545014</v>
      </c>
      <c r="J49" s="104">
        <f t="shared" si="1"/>
        <v>12689.469565562968</v>
      </c>
      <c r="K49" s="104">
        <f t="shared" si="1"/>
        <v>13142.664907190216</v>
      </c>
      <c r="L49" s="104">
        <f t="shared" si="1"/>
        <v>13602.658178941872</v>
      </c>
    </row>
    <row r="50" spans="2:13" ht="16.5">
      <c r="B50" s="86" t="s">
        <v>151</v>
      </c>
      <c r="C50" s="88">
        <f t="shared" ref="C50:L50" si="2">C49/C47</f>
        <v>0.44000000000000006</v>
      </c>
      <c r="D50" s="88">
        <f t="shared" si="2"/>
        <v>0.45600000000000007</v>
      </c>
      <c r="E50" s="88">
        <f t="shared" si="2"/>
        <v>0.42300000000000004</v>
      </c>
      <c r="F50" s="88">
        <f t="shared" si="2"/>
        <v>0.42300000000000004</v>
      </c>
      <c r="G50" s="88">
        <f t="shared" si="2"/>
        <v>0.4230000000000001</v>
      </c>
      <c r="H50" s="88">
        <f t="shared" si="2"/>
        <v>0.42300000000000004</v>
      </c>
      <c r="I50" s="88">
        <f t="shared" si="2"/>
        <v>0.42300000000000004</v>
      </c>
      <c r="J50" s="88">
        <f t="shared" si="2"/>
        <v>0.42300000000000004</v>
      </c>
      <c r="K50" s="88">
        <f t="shared" si="2"/>
        <v>0.42300000000000004</v>
      </c>
      <c r="L50" s="88">
        <f t="shared" si="2"/>
        <v>0.42300000000000004</v>
      </c>
    </row>
    <row r="51" spans="2:13" ht="16.5">
      <c r="B51" s="86" t="s">
        <v>912</v>
      </c>
      <c r="C51" s="105">
        <f>C49*(1-計算_DCF!$C$12)</f>
        <v>8520.5553796000022</v>
      </c>
      <c r="D51" s="105">
        <f>D49*(1-計算_DCF!$C$12)</f>
        <v>9448.5213200327998</v>
      </c>
      <c r="E51" s="105">
        <f>E49*(1-計算_DCF!$C$12)</f>
        <v>9115.3366208526986</v>
      </c>
      <c r="F51" s="105">
        <f>F49*(1-計算_DCF!$C$12)</f>
        <v>9473.4391309576276</v>
      </c>
      <c r="G51" s="105">
        <f>G49*(1-計算_DCF!$C$12)</f>
        <v>9838.8432117231387</v>
      </c>
      <c r="H51" s="105">
        <f>H49*(1-計算_DCF!$C$12)</f>
        <v>10211.313704738373</v>
      </c>
      <c r="I51" s="105">
        <f>I49*(1-計算_DCF!$C$12)</f>
        <v>10590.59107091437</v>
      </c>
      <c r="J51" s="105">
        <f>J49*(1-計算_DCF!$C$12)</f>
        <v>10976.391174211967</v>
      </c>
      <c r="K51" s="105">
        <f>K49*(1-計算_DCF!$C$12)</f>
        <v>11368.405144719536</v>
      </c>
      <c r="L51" s="105">
        <f>L49*(1-計算_DCF!$C$12)</f>
        <v>11766.299324784719</v>
      </c>
    </row>
    <row r="52" spans="2:13" ht="16.5">
      <c r="B52" s="86" t="s">
        <v>732</v>
      </c>
      <c r="C52" s="104">
        <f>C40</f>
        <v>1999</v>
      </c>
      <c r="D52" s="104">
        <f>D40</f>
        <v>2126.2489332895366</v>
      </c>
      <c r="E52" s="104">
        <f>E40</f>
        <v>2169.0970364582108</v>
      </c>
      <c r="F52" s="104">
        <f t="shared" ref="F52:L52" si="3">F47*$E$52/$E$47</f>
        <v>2254.3115628904984</v>
      </c>
      <c r="G52" s="104">
        <f t="shared" si="3"/>
        <v>2341.2635803162748</v>
      </c>
      <c r="H52" s="104">
        <f t="shared" si="3"/>
        <v>2429.897130142534</v>
      </c>
      <c r="I52" s="104">
        <f t="shared" si="3"/>
        <v>2520.1504521192574</v>
      </c>
      <c r="J52" s="104">
        <f t="shared" si="3"/>
        <v>2611.9559328750306</v>
      </c>
      <c r="K52" s="104">
        <f t="shared" si="3"/>
        <v>2705.2400733348527</v>
      </c>
      <c r="L52" s="104">
        <f t="shared" si="3"/>
        <v>2799.9234759015726</v>
      </c>
    </row>
    <row r="53" spans="2:13" ht="16.5">
      <c r="B53" s="86" t="s">
        <v>913</v>
      </c>
      <c r="C53" s="104">
        <f>C42</f>
        <v>2798.3957500000001</v>
      </c>
      <c r="D53" s="104">
        <f>D42</f>
        <v>2395.4267620000001</v>
      </c>
      <c r="E53" s="104">
        <f>E42</f>
        <v>2242.1194492320005</v>
      </c>
      <c r="F53" s="105">
        <f>F47*($E$53/$E$47+($E$52/$E$47-$E$53/$E$47)*(F46-3)/計算_DCF!$C$16)</f>
        <v>2319.3611203920482</v>
      </c>
      <c r="G53" s="105">
        <f>G47*($E$53/$E$47+($E$52/$E$47-$E$53/$E$47)*(G46-3)/計算_DCF!$C$16)</f>
        <v>2397.5624235348778</v>
      </c>
      <c r="H53" s="105">
        <f>H47*($E$53/$E$47+($E$52/$E$47-$E$53/$E$47)*(H46-3)/計算_DCF!$C$16)</f>
        <v>2476.6412553977516</v>
      </c>
      <c r="I53" s="105">
        <f>I47*($E$53/$E$47+($E$52/$E$47-$E$53/$E$47)*(I46-3)/計算_DCF!$C$16)</f>
        <v>2556.5107038356373</v>
      </c>
      <c r="J53" s="105">
        <f>J47*($E$53/$E$47+($E$52/$E$47-$E$53/$E$47)*(J46-3)/計算_DCF!$C$16)</f>
        <v>2637.0791353704913</v>
      </c>
      <c r="K53" s="105">
        <f>K47*($E$53/$E$47+($E$52/$E$47-$E$53/$E$47)*(K46-3)/計算_DCF!$C$16)</f>
        <v>2718.2503031985734</v>
      </c>
      <c r="L53" s="105">
        <f>L47*($E$53/$E$47+($E$52/$E$47-$E$53/$E$47)*(L46-3)/計算_DCF!$C$16)</f>
        <v>2799.9234759015726</v>
      </c>
    </row>
    <row r="54" spans="2:13" ht="16.5">
      <c r="B54" s="86" t="s">
        <v>914</v>
      </c>
      <c r="C54" s="104">
        <f>C37</f>
        <v>289.44379152341116</v>
      </c>
      <c r="D54" s="104">
        <f>D37</f>
        <v>333.60613270347676</v>
      </c>
      <c r="E54" s="104">
        <f>E37</f>
        <v>525.0528418163567</v>
      </c>
      <c r="F54" s="104">
        <f t="shared" ref="F54:L54" si="4">$C$71*(F47-E47)</f>
        <v>281.2504658088439</v>
      </c>
      <c r="G54" s="104">
        <f t="shared" si="4"/>
        <v>286.98505322858131</v>
      </c>
      <c r="H54" s="104">
        <f t="shared" si="4"/>
        <v>292.53494936376933</v>
      </c>
      <c r="I54" s="104">
        <f t="shared" si="4"/>
        <v>297.88100585079491</v>
      </c>
      <c r="J54" s="104">
        <f t="shared" si="4"/>
        <v>303.00390446789794</v>
      </c>
      <c r="K54" s="104">
        <f t="shared" si="4"/>
        <v>307.8842194558265</v>
      </c>
      <c r="L54" s="104">
        <f t="shared" si="4"/>
        <v>312.50248274766278</v>
      </c>
    </row>
    <row r="55" spans="2:13" ht="16.5">
      <c r="B55" s="86" t="s">
        <v>915</v>
      </c>
      <c r="C55" s="110">
        <f t="shared" ref="C55:L55" si="5">C51+C52-C53-C54</f>
        <v>7431.7158380765914</v>
      </c>
      <c r="D55" s="110">
        <f t="shared" si="5"/>
        <v>8845.7373586188587</v>
      </c>
      <c r="E55" s="110">
        <f t="shared" si="5"/>
        <v>8517.2613662625517</v>
      </c>
      <c r="F55" s="110">
        <f t="shared" si="5"/>
        <v>9127.1391076472337</v>
      </c>
      <c r="G55" s="110">
        <f t="shared" si="5"/>
        <v>9495.5593152759538</v>
      </c>
      <c r="H55" s="110">
        <f t="shared" si="5"/>
        <v>9872.0346301193858</v>
      </c>
      <c r="I55" s="110">
        <f t="shared" si="5"/>
        <v>10256.349813347195</v>
      </c>
      <c r="J55" s="110">
        <f t="shared" si="5"/>
        <v>10648.264067248609</v>
      </c>
      <c r="K55" s="110">
        <f t="shared" si="5"/>
        <v>11047.510695399989</v>
      </c>
      <c r="L55" s="110">
        <f t="shared" si="5"/>
        <v>11453.796842037056</v>
      </c>
      <c r="M55" s="125">
        <f>L51*(1+計算_DCF!$C$15)*(1-計算_DCF!$C$15/計算_DCF!$C$18)/(計算_DCF!$C$14-計算_DCF!$C$15)</f>
        <v>159700.35305212581</v>
      </c>
    </row>
    <row r="56" spans="2:13" ht="16.5">
      <c r="B56" s="86" t="s">
        <v>916</v>
      </c>
      <c r="C56" s="126">
        <f>1/(1+計算_DCF!$C$14)^C46</f>
        <v>0.91082043289018111</v>
      </c>
      <c r="D56" s="126">
        <f>1/(1+計算_DCF!$C$14)^D46</f>
        <v>0.829593860970257</v>
      </c>
      <c r="E56" s="126">
        <f>1/(1+計算_DCF!$C$14)^E46</f>
        <v>0.75561103957196618</v>
      </c>
      <c r="F56" s="126">
        <f>1/(1+計算_DCF!$C$14)^F46</f>
        <v>0.68822597415953812</v>
      </c>
      <c r="G56" s="126">
        <f>1/(1+計算_DCF!$C$14)^G46</f>
        <v>0.6268502797102572</v>
      </c>
      <c r="H56" s="126">
        <f>1/(1+計算_DCF!$C$14)^H46</f>
        <v>0.5709480431230276</v>
      </c>
      <c r="I56" s="126">
        <f>1/(1+計算_DCF!$C$14)^I46</f>
        <v>0.52003114379511772</v>
      </c>
      <c r="J56" s="126">
        <f>1/(1+計算_DCF!$C$14)^J46</f>
        <v>0.47365499150784524</v>
      </c>
      <c r="K56" s="126">
        <f>1/(1+計算_DCF!$C$14)^K46</f>
        <v>0.43141464440577065</v>
      </c>
      <c r="L56" s="126">
        <f>1/(1+計算_DCF!$C$14)^L46</f>
        <v>0.39294127317282768</v>
      </c>
      <c r="M56" s="111">
        <f>L56</f>
        <v>0.39294127317282768</v>
      </c>
    </row>
    <row r="57" spans="2:13" ht="16.5">
      <c r="B57" s="101" t="s">
        <v>917</v>
      </c>
      <c r="C57" s="112">
        <f t="shared" ref="C57:M57" si="6">C55*C56</f>
        <v>6768.9586367537358</v>
      </c>
      <c r="D57" s="112">
        <f t="shared" si="6"/>
        <v>7338.3694084654617</v>
      </c>
      <c r="E57" s="112">
        <f t="shared" si="6"/>
        <v>6435.7367152677916</v>
      </c>
      <c r="F57" s="112">
        <f t="shared" si="6"/>
        <v>6281.5342036501352</v>
      </c>
      <c r="G57" s="112">
        <f t="shared" si="6"/>
        <v>5952.2940127860702</v>
      </c>
      <c r="H57" s="112">
        <f t="shared" si="6"/>
        <v>5636.4188537094251</v>
      </c>
      <c r="I57" s="112">
        <f t="shared" si="6"/>
        <v>5333.6213245977842</v>
      </c>
      <c r="J57" s="112">
        <f t="shared" si="6"/>
        <v>5043.6034263459333</v>
      </c>
      <c r="K57" s="112">
        <f t="shared" si="6"/>
        <v>4766.0578982249344</v>
      </c>
      <c r="L57" s="112">
        <f t="shared" si="6"/>
        <v>4500.6695137729539</v>
      </c>
      <c r="M57" s="112">
        <f t="shared" si="6"/>
        <v>62752.860054452394</v>
      </c>
    </row>
    <row r="59" spans="2:13" ht="16.5">
      <c r="B59" s="86" t="s">
        <v>918</v>
      </c>
      <c r="C59" s="104">
        <f>SUM(C57:L57)</f>
        <v>58057.263993574226</v>
      </c>
    </row>
    <row r="60" spans="2:13" ht="16.5">
      <c r="B60" s="86" t="s">
        <v>919</v>
      </c>
      <c r="C60" s="104">
        <f>M57</f>
        <v>62752.860054452394</v>
      </c>
    </row>
    <row r="61" spans="2:13" ht="16.5">
      <c r="B61" s="81" t="s">
        <v>664</v>
      </c>
      <c r="C61" s="110">
        <f>C59+C60</f>
        <v>120810.12404802663</v>
      </c>
    </row>
    <row r="62" spans="2:13" ht="16.5">
      <c r="B62" s="86" t="s">
        <v>666</v>
      </c>
      <c r="C62" s="105">
        <f>計算_DCF!$C$22</f>
        <v>5413</v>
      </c>
    </row>
    <row r="63" spans="2:13" ht="16.5">
      <c r="B63" s="86" t="s">
        <v>667</v>
      </c>
      <c r="C63" s="105">
        <f>計算_DCF!$C$23</f>
        <v>0</v>
      </c>
    </row>
    <row r="64" spans="2:13" ht="16.5">
      <c r="B64" s="86" t="s">
        <v>668</v>
      </c>
      <c r="C64" s="105">
        <f>計算_DCF!$C$25</f>
        <v>2163</v>
      </c>
    </row>
    <row r="65" spans="2:14" ht="16.5">
      <c r="B65" s="81" t="s">
        <v>669</v>
      </c>
      <c r="C65" s="110">
        <f>C61-C62-C63+C64</f>
        <v>117560.12404802663</v>
      </c>
    </row>
    <row r="66" spans="2:14" ht="16.5">
      <c r="B66" s="86" t="s">
        <v>920</v>
      </c>
      <c r="C66" s="105">
        <f>計算_DCF!$C$26</f>
        <v>913247686</v>
      </c>
    </row>
    <row r="67" spans="2:14" ht="16.5">
      <c r="B67" s="81" t="s">
        <v>671</v>
      </c>
      <c r="C67" s="127">
        <f>C65*計算_DCF!$C$27/C66</f>
        <v>128.72753564034394</v>
      </c>
    </row>
    <row r="68" spans="2:14" ht="16.5">
      <c r="B68" s="86" t="s">
        <v>672</v>
      </c>
      <c r="C68" s="88">
        <f>C60/C61</f>
        <v>0.51943378544587659</v>
      </c>
    </row>
    <row r="69" spans="2:14" ht="16.5">
      <c r="B69" s="86" t="s">
        <v>921</v>
      </c>
      <c r="C69" s="88">
        <f>IF(C65&gt;0,C60/C65,"n.a.（株式価値≦0）")</f>
        <v>0.53379375500502257</v>
      </c>
    </row>
    <row r="70" spans="2:14" ht="16.5">
      <c r="B70" s="86" t="s">
        <v>922</v>
      </c>
      <c r="C70" s="114">
        <f>IF(C65&gt;0,C61/C65,"n.a.（株式価値≦0）")</f>
        <v>1.0276454284674987</v>
      </c>
    </row>
    <row r="71" spans="2:14" ht="16.5">
      <c r="B71" s="86" t="s">
        <v>923</v>
      </c>
      <c r="C71" s="88">
        <f>(E36)/$E$47</f>
        <v>0.28737061674595105</v>
      </c>
    </row>
    <row r="74" spans="2:14" ht="20.100000000000001" customHeight="1">
      <c r="B74" s="95" t="s">
        <v>946</v>
      </c>
      <c r="C74" s="11"/>
      <c r="D74" s="11"/>
      <c r="E74" s="11"/>
      <c r="F74" s="11"/>
      <c r="G74" s="11"/>
      <c r="H74" s="11"/>
      <c r="I74" s="11"/>
      <c r="J74" s="11"/>
      <c r="K74" s="11"/>
      <c r="L74" s="11"/>
      <c r="M74" s="11"/>
      <c r="N74" s="11"/>
    </row>
    <row r="75" spans="2:14" ht="16.5">
      <c r="B75" s="12" t="s">
        <v>937</v>
      </c>
      <c r="C75" s="12" t="s">
        <v>687</v>
      </c>
      <c r="D75" s="12" t="s">
        <v>688</v>
      </c>
      <c r="E75" s="12" t="s">
        <v>689</v>
      </c>
    </row>
    <row r="76" spans="2:14" ht="16.5">
      <c r="B76" s="86" t="s">
        <v>938</v>
      </c>
      <c r="C76" s="109">
        <f>'3_Assumptions'!$Q$6</f>
        <v>0.26600000000000001</v>
      </c>
      <c r="D76" s="109">
        <f>'3_Assumptions'!$R$6</f>
        <v>0.16</v>
      </c>
      <c r="E76" s="109">
        <f>'3_Assumptions'!$S$6</f>
        <v>0.08</v>
      </c>
    </row>
    <row r="77" spans="2:14" ht="16.5">
      <c r="B77" s="86" t="s">
        <v>852</v>
      </c>
      <c r="C77" s="109">
        <f>'3_Assumptions'!$Q$7</f>
        <v>0.04</v>
      </c>
      <c r="D77" s="109">
        <f>'3_Assumptions'!$R$7</f>
        <v>0</v>
      </c>
      <c r="E77" s="109">
        <f>'3_Assumptions'!$S$7</f>
        <v>0</v>
      </c>
    </row>
    <row r="78" spans="2:14" ht="16.5">
      <c r="B78" s="86" t="s">
        <v>939</v>
      </c>
      <c r="C78" s="105">
        <f>'3_セグメント売上'!$H$6*(1+C76+C77)</f>
        <v>18291.835999999999</v>
      </c>
      <c r="D78" s="104">
        <f>C78*(1+D76+D77)</f>
        <v>21218.529759999998</v>
      </c>
      <c r="E78" s="104">
        <f>D78*(1+E76+E77)</f>
        <v>22916.012140799998</v>
      </c>
    </row>
    <row r="79" spans="2:14" ht="16.5">
      <c r="B79" s="86" t="s">
        <v>853</v>
      </c>
      <c r="C79" s="109">
        <f>'3_Assumptions'!$Q$8</f>
        <v>-9.6000000000000002E-2</v>
      </c>
      <c r="D79" s="109">
        <f>'3_Assumptions'!$R$8</f>
        <v>0</v>
      </c>
      <c r="E79" s="109">
        <f>'3_Assumptions'!$S$8</f>
        <v>0</v>
      </c>
    </row>
    <row r="80" spans="2:14" ht="16.5">
      <c r="B80" s="86" t="s">
        <v>940</v>
      </c>
      <c r="C80" s="105">
        <f>'3_セグメント売上'!$H$7*(1+C76+C79)</f>
        <v>3155.49</v>
      </c>
      <c r="D80" s="104">
        <f>C80*(1+D76+D79)</f>
        <v>3660.3683999999994</v>
      </c>
      <c r="E80" s="104">
        <f>D80*(1+E76+E79)</f>
        <v>3953.1978719999997</v>
      </c>
    </row>
    <row r="81" spans="2:5" ht="16.5">
      <c r="B81" s="86" t="s">
        <v>854</v>
      </c>
      <c r="C81" s="109">
        <f>'3_Assumptions'!$Q$9</f>
        <v>-0.30599999999999999</v>
      </c>
      <c r="D81" s="109">
        <f>'3_Assumptions'!$R$9</f>
        <v>0</v>
      </c>
      <c r="E81" s="109">
        <f>'3_Assumptions'!$S$9</f>
        <v>0</v>
      </c>
    </row>
    <row r="82" spans="2:5" ht="16.5">
      <c r="B82" s="86" t="s">
        <v>941</v>
      </c>
      <c r="C82" s="105">
        <f>'3_セグメント売上'!$H$8*(1+C76+C81)</f>
        <v>939.83999999999992</v>
      </c>
      <c r="D82" s="104">
        <f>C82*(1+D76+D81)</f>
        <v>1090.2143999999998</v>
      </c>
      <c r="E82" s="104">
        <f>D82*(1+E76+E81)</f>
        <v>1177.431552</v>
      </c>
    </row>
    <row r="83" spans="2:5" ht="16.5">
      <c r="B83" s="86" t="s">
        <v>690</v>
      </c>
      <c r="C83" s="104">
        <f>C78+C80+C82</f>
        <v>22387.166000000001</v>
      </c>
      <c r="D83" s="104">
        <f>D78+D80+D82</f>
        <v>25969.112559999998</v>
      </c>
      <c r="E83" s="104">
        <f>E78+E80+E82</f>
        <v>28046.641564799997</v>
      </c>
    </row>
    <row r="84" spans="2:5" ht="16.5">
      <c r="B84" s="86" t="s">
        <v>805</v>
      </c>
      <c r="C84" s="109">
        <f>'3_Assumptions'!$Q$10</f>
        <v>0.62</v>
      </c>
      <c r="D84" s="109">
        <f>'3_Assumptions'!$R$10</f>
        <v>0.65</v>
      </c>
      <c r="E84" s="109">
        <f>'3_Assumptions'!$S$10</f>
        <v>0.63500000000000001</v>
      </c>
    </row>
    <row r="85" spans="2:5" ht="16.5">
      <c r="B85" s="86" t="s">
        <v>808</v>
      </c>
      <c r="C85" s="109">
        <f>'3_Assumptions'!$Q$11</f>
        <v>8.4000000000000005E-2</v>
      </c>
      <c r="D85" s="109">
        <f>'3_Assumptions'!$R$11</f>
        <v>7.9000000000000001E-2</v>
      </c>
      <c r="E85" s="109">
        <f>'3_Assumptions'!$S$11</f>
        <v>7.8E-2</v>
      </c>
    </row>
    <row r="86" spans="2:5" ht="16.5">
      <c r="B86" s="86" t="s">
        <v>811</v>
      </c>
      <c r="C86" s="109">
        <f>'3_Assumptions'!$Q$12</f>
        <v>9.6000000000000002E-2</v>
      </c>
      <c r="D86" s="109">
        <f>'3_Assumptions'!$R$12</f>
        <v>8.7999999999999995E-2</v>
      </c>
      <c r="E86" s="109">
        <f>'3_Assumptions'!$S$12</f>
        <v>8.5999999999999993E-2</v>
      </c>
    </row>
    <row r="87" spans="2:5" ht="16.5">
      <c r="B87" s="86" t="s">
        <v>942</v>
      </c>
      <c r="C87" s="109">
        <f>'3_Assumptions'!$D$10</f>
        <v>0</v>
      </c>
      <c r="D87" s="109">
        <f>'3_Assumptions'!$E$10</f>
        <v>0</v>
      </c>
      <c r="E87" s="109">
        <f>'3_Assumptions'!$F$10</f>
        <v>0</v>
      </c>
    </row>
    <row r="88" spans="2:5" ht="16.5">
      <c r="B88" s="86" t="s">
        <v>691</v>
      </c>
      <c r="C88" s="104">
        <f>C83*(C84-C85-C86-C87)</f>
        <v>9850.3530400000018</v>
      </c>
      <c r="D88" s="104">
        <f>D83*(D84-D85-D86-D87)</f>
        <v>12543.081366480001</v>
      </c>
      <c r="E88" s="104">
        <f>E83*(E84-E85-E86-E87)</f>
        <v>13209.968177020801</v>
      </c>
    </row>
    <row r="89" spans="2:5" ht="16.5">
      <c r="B89" s="86" t="s">
        <v>712</v>
      </c>
      <c r="C89" s="104">
        <f>C83*(1-C84)</f>
        <v>8507.1230800000012</v>
      </c>
      <c r="D89" s="104">
        <f>D83*(1-D84)</f>
        <v>9089.1893959999979</v>
      </c>
      <c r="E89" s="104">
        <f>E83*(1-E84)</f>
        <v>10237.024171151999</v>
      </c>
    </row>
    <row r="90" spans="2:5" ht="16.5">
      <c r="B90" s="86" t="s">
        <v>755</v>
      </c>
      <c r="C90" s="123">
        <f>'3_Forecast'!$I$6</f>
        <v>365</v>
      </c>
      <c r="D90" s="123">
        <f>'3_Forecast'!$J$6</f>
        <v>365</v>
      </c>
      <c r="E90" s="123">
        <f>'3_Forecast'!$K$6</f>
        <v>366</v>
      </c>
    </row>
    <row r="91" spans="2:5" ht="16.5">
      <c r="B91" s="86" t="s">
        <v>825</v>
      </c>
      <c r="C91" s="124">
        <f>'3_Assumptions'!$D$14</f>
        <v>40.521151453455488</v>
      </c>
      <c r="D91" s="124">
        <f>'3_Assumptions'!$E$14</f>
        <v>40.521151453455488</v>
      </c>
      <c r="E91" s="124">
        <f>'3_Assumptions'!$F$14</f>
        <v>40.521151453455488</v>
      </c>
    </row>
    <row r="92" spans="2:5" ht="16.5">
      <c r="B92" s="86" t="s">
        <v>828</v>
      </c>
      <c r="C92" s="124">
        <f>'3_Assumptions'!$Q$14</f>
        <v>200</v>
      </c>
      <c r="D92" s="124">
        <f>'3_Assumptions'!$R$14</f>
        <v>190</v>
      </c>
      <c r="E92" s="124">
        <f>'3_Assumptions'!$S$14</f>
        <v>190</v>
      </c>
    </row>
    <row r="93" spans="2:5" ht="16.5">
      <c r="B93" s="86" t="s">
        <v>831</v>
      </c>
      <c r="C93" s="124">
        <f>'3_Assumptions'!$D$16</f>
        <v>36.312672720094753</v>
      </c>
      <c r="D93" s="124">
        <f>'3_Assumptions'!$E$16</f>
        <v>36.312672720094753</v>
      </c>
      <c r="E93" s="124">
        <f>'3_Assumptions'!$F$16</f>
        <v>36.312672720094753</v>
      </c>
    </row>
    <row r="94" spans="2:5" ht="16.5">
      <c r="B94" s="86" t="s">
        <v>723</v>
      </c>
      <c r="C94" s="104">
        <f>C83/C90*C91</f>
        <v>2485.352723560683</v>
      </c>
      <c r="D94" s="104">
        <f>D83/D90*D91</f>
        <v>2883.0091593303919</v>
      </c>
      <c r="E94" s="104">
        <f>E83/E90*E91</f>
        <v>3105.1426519345368</v>
      </c>
    </row>
    <row r="95" spans="2:5" ht="16.5">
      <c r="B95" s="86" t="s">
        <v>724</v>
      </c>
      <c r="C95" s="104">
        <f>C89/C90*C92</f>
        <v>4661.4373041095896</v>
      </c>
      <c r="D95" s="104">
        <f>D89/D90*D92</f>
        <v>4731.358863671232</v>
      </c>
      <c r="E95" s="104">
        <f>E89/E90*E92</f>
        <v>5314.3021653521309</v>
      </c>
    </row>
    <row r="96" spans="2:5" ht="16.5">
      <c r="B96" s="86" t="s">
        <v>728</v>
      </c>
      <c r="C96" s="104">
        <f>C89/C90*C93</f>
        <v>846.34623614686154</v>
      </c>
      <c r="D96" s="104">
        <f>D89/D90*D93</f>
        <v>904.25413651480449</v>
      </c>
      <c r="E96" s="104">
        <f>E89/E90*E93</f>
        <v>1015.6658698216989</v>
      </c>
    </row>
    <row r="97" spans="2:13" ht="16.5">
      <c r="B97" s="86" t="s">
        <v>943</v>
      </c>
      <c r="C97" s="104">
        <f>C94+C95-C96</f>
        <v>6300.4437915234112</v>
      </c>
      <c r="D97" s="104">
        <f>D94+D95-D96</f>
        <v>6710.113886486819</v>
      </c>
      <c r="E97" s="104">
        <f>E94+E95-E96</f>
        <v>7403.7789474649699</v>
      </c>
    </row>
    <row r="98" spans="2:13" ht="16.5">
      <c r="B98" s="86" t="s">
        <v>914</v>
      </c>
      <c r="C98" s="105">
        <f>C97-('3_Forecast'!$H$24+'3_Forecast'!$H$25-'3_Forecast'!$H$26)</f>
        <v>289.44379152341116</v>
      </c>
      <c r="D98" s="104">
        <f>D97-C97</f>
        <v>409.67009496340779</v>
      </c>
      <c r="E98" s="104">
        <f>E97-D97</f>
        <v>693.6650609781509</v>
      </c>
    </row>
    <row r="99" spans="2:13" ht="16.5">
      <c r="B99" s="86" t="s">
        <v>761</v>
      </c>
      <c r="C99" s="105">
        <f>'3_Forecast'!$H$33+'3_Forecast'!$H$34</f>
        <v>12558</v>
      </c>
      <c r="D99" s="104">
        <f>C104</f>
        <v>13357.39575</v>
      </c>
      <c r="E99" s="104">
        <f>D104</f>
        <v>13828.058072710463</v>
      </c>
    </row>
    <row r="100" spans="2:13" ht="16.5">
      <c r="B100" s="86" t="s">
        <v>835</v>
      </c>
      <c r="C100" s="109">
        <f>'3_Assumptions'!$D$18</f>
        <v>0.15918139831183309</v>
      </c>
      <c r="D100" s="109">
        <f>'3_Assumptions'!$E$18</f>
        <v>0.15918139831183309</v>
      </c>
      <c r="E100" s="109">
        <f>'3_Assumptions'!$F$18</f>
        <v>0.15918139831183309</v>
      </c>
    </row>
    <row r="101" spans="2:13" ht="16.5">
      <c r="B101" s="86" t="s">
        <v>732</v>
      </c>
      <c r="C101" s="104">
        <f>MIN(C99,C99*C100)</f>
        <v>1999</v>
      </c>
      <c r="D101" s="104">
        <f>MIN(D99,D99*D100)</f>
        <v>2126.2489332895366</v>
      </c>
      <c r="E101" s="104">
        <f>MIN(E99,E99*E100)</f>
        <v>2201.169619951283</v>
      </c>
    </row>
    <row r="102" spans="2:13" ht="16.5">
      <c r="B102" s="86" t="s">
        <v>514</v>
      </c>
      <c r="C102" s="109">
        <f>'3_Assumptions'!$Q$15</f>
        <v>0.125</v>
      </c>
      <c r="D102" s="109">
        <f>'3_Assumptions'!$R$15</f>
        <v>0.1</v>
      </c>
      <c r="E102" s="109">
        <f>'3_Assumptions'!$S$15</f>
        <v>0.09</v>
      </c>
    </row>
    <row r="103" spans="2:13" ht="16.5">
      <c r="B103" s="86" t="s">
        <v>762</v>
      </c>
      <c r="C103" s="104">
        <f>C83*C102</f>
        <v>2798.3957500000001</v>
      </c>
      <c r="D103" s="104">
        <f>D83*D102</f>
        <v>2596.9112559999999</v>
      </c>
      <c r="E103" s="104">
        <f>E83*E102</f>
        <v>2524.1977408319995</v>
      </c>
    </row>
    <row r="104" spans="2:13" ht="16.5">
      <c r="B104" s="101" t="s">
        <v>944</v>
      </c>
      <c r="C104" s="112">
        <f>C99+C103-C101</f>
        <v>13357.39575</v>
      </c>
      <c r="D104" s="112">
        <f>D99+D103-D101</f>
        <v>13828.058072710463</v>
      </c>
      <c r="E104" s="112">
        <f>E99+E103-E101</f>
        <v>14151.08619359118</v>
      </c>
    </row>
    <row r="106" spans="2:13" ht="16.5">
      <c r="B106" s="107" t="s">
        <v>947</v>
      </c>
      <c r="C106" s="12" t="s">
        <v>687</v>
      </c>
      <c r="D106" s="12" t="s">
        <v>688</v>
      </c>
      <c r="E106" s="12" t="s">
        <v>689</v>
      </c>
      <c r="F106" s="12" t="s">
        <v>902</v>
      </c>
      <c r="G106" s="12" t="s">
        <v>903</v>
      </c>
      <c r="H106" s="12" t="s">
        <v>904</v>
      </c>
      <c r="I106" s="12" t="s">
        <v>905</v>
      </c>
      <c r="J106" s="12" t="s">
        <v>906</v>
      </c>
      <c r="K106" s="12" t="s">
        <v>907</v>
      </c>
      <c r="L106" s="12" t="s">
        <v>908</v>
      </c>
      <c r="M106" s="12" t="s">
        <v>909</v>
      </c>
    </row>
    <row r="107" spans="2:13" ht="16.5">
      <c r="B107" s="86" t="s">
        <v>910</v>
      </c>
      <c r="C107" s="108">
        <v>1</v>
      </c>
      <c r="D107" s="108">
        <v>2</v>
      </c>
      <c r="E107" s="108">
        <v>3</v>
      </c>
      <c r="F107" s="108">
        <v>4</v>
      </c>
      <c r="G107" s="108">
        <v>5</v>
      </c>
      <c r="H107" s="108">
        <v>6</v>
      </c>
      <c r="I107" s="108">
        <v>7</v>
      </c>
      <c r="J107" s="108">
        <v>8</v>
      </c>
      <c r="K107" s="108">
        <v>9</v>
      </c>
      <c r="L107" s="108">
        <v>10</v>
      </c>
      <c r="M107" s="86" t="s">
        <v>911</v>
      </c>
    </row>
    <row r="108" spans="2:13" ht="16.5">
      <c r="B108" s="86" t="s">
        <v>690</v>
      </c>
      <c r="C108" s="104">
        <f>C83</f>
        <v>22387.166000000001</v>
      </c>
      <c r="D108" s="104">
        <f>D83</f>
        <v>25969.112559999998</v>
      </c>
      <c r="E108" s="104">
        <f>E83</f>
        <v>28046.641564799997</v>
      </c>
      <c r="F108" s="104">
        <f t="shared" ref="F108:L108" si="7">E108*(1+F109)</f>
        <v>30110.073051353142</v>
      </c>
      <c r="G108" s="104">
        <f t="shared" si="7"/>
        <v>32131.74938480114</v>
      </c>
      <c r="H108" s="104">
        <f t="shared" si="7"/>
        <v>34082.605597449779</v>
      </c>
      <c r="I108" s="104">
        <f t="shared" si="7"/>
        <v>35932.804187025627</v>
      </c>
      <c r="J108" s="104">
        <f t="shared" si="7"/>
        <v>37652.445530261852</v>
      </c>
      <c r="K108" s="104">
        <f t="shared" si="7"/>
        <v>39212.332559372699</v>
      </c>
      <c r="L108" s="104">
        <f t="shared" si="7"/>
        <v>40584.764198950739</v>
      </c>
    </row>
    <row r="109" spans="2:13" ht="16.5">
      <c r="B109" s="86" t="s">
        <v>152</v>
      </c>
      <c r="C109" s="109">
        <f>C108/'3_Forecast'!$H$8-1</f>
        <v>0.26609919692342499</v>
      </c>
      <c r="D109" s="88">
        <f>D108/C108-1</f>
        <v>0.15999999999999992</v>
      </c>
      <c r="E109" s="88">
        <f>E108/D108-1</f>
        <v>8.0000000000000071E-2</v>
      </c>
      <c r="F109" s="109">
        <f>$E$109+(計算_DCF!$C$15-$E$109)*(F107-3)/計算_DCF!$C$16</f>
        <v>7.3571428571428635E-2</v>
      </c>
      <c r="G109" s="109">
        <f>$E$109+(計算_DCF!$C$15-$E$109)*(G107-3)/計算_DCF!$C$16</f>
        <v>6.7142857142857199E-2</v>
      </c>
      <c r="H109" s="109">
        <f>$E$109+(計算_DCF!$C$15-$E$109)*(H107-3)/計算_DCF!$C$16</f>
        <v>6.0714285714285755E-2</v>
      </c>
      <c r="I109" s="109">
        <f>$E$109+(計算_DCF!$C$15-$E$109)*(I107-3)/計算_DCF!$C$16</f>
        <v>5.4285714285714319E-2</v>
      </c>
      <c r="J109" s="109">
        <f>$E$109+(計算_DCF!$C$15-$E$109)*(J107-3)/計算_DCF!$C$16</f>
        <v>4.7857142857142883E-2</v>
      </c>
      <c r="K109" s="109">
        <f>$E$109+(計算_DCF!$C$15-$E$109)*(K107-3)/計算_DCF!$C$16</f>
        <v>4.142857142857144E-2</v>
      </c>
      <c r="L109" s="109">
        <f>$E$109+(計算_DCF!$C$15-$E$109)*(L107-3)/計算_DCF!$C$16</f>
        <v>3.4999999999999996E-2</v>
      </c>
    </row>
    <row r="110" spans="2:13" ht="16.5">
      <c r="B110" s="86" t="s">
        <v>691</v>
      </c>
      <c r="C110" s="104">
        <f>C88</f>
        <v>9850.3530400000018</v>
      </c>
      <c r="D110" s="104">
        <f>D88</f>
        <v>12543.081366480001</v>
      </c>
      <c r="E110" s="104">
        <f>E88</f>
        <v>13209.968177020801</v>
      </c>
      <c r="F110" s="104">
        <f t="shared" ref="F110:L110" si="8">F108*$E$111</f>
        <v>14181.844407187333</v>
      </c>
      <c r="G110" s="104">
        <f t="shared" si="8"/>
        <v>15134.053960241339</v>
      </c>
      <c r="H110" s="104">
        <f t="shared" si="8"/>
        <v>16052.907236398849</v>
      </c>
      <c r="I110" s="104">
        <f t="shared" si="8"/>
        <v>16924.350772089074</v>
      </c>
      <c r="J110" s="104">
        <f t="shared" si="8"/>
        <v>17734.301844753336</v>
      </c>
      <c r="K110" s="104">
        <f t="shared" si="8"/>
        <v>18469.008635464543</v>
      </c>
      <c r="L110" s="104">
        <f t="shared" si="8"/>
        <v>19115.4239377058</v>
      </c>
    </row>
    <row r="111" spans="2:13" ht="16.5">
      <c r="B111" s="86" t="s">
        <v>151</v>
      </c>
      <c r="C111" s="88">
        <f t="shared" ref="C111:L111" si="9">C110/C108</f>
        <v>0.44000000000000006</v>
      </c>
      <c r="D111" s="88">
        <f t="shared" si="9"/>
        <v>0.4830000000000001</v>
      </c>
      <c r="E111" s="88">
        <f t="shared" si="9"/>
        <v>0.47100000000000009</v>
      </c>
      <c r="F111" s="88">
        <f t="shared" si="9"/>
        <v>0.47100000000000009</v>
      </c>
      <c r="G111" s="88">
        <f t="shared" si="9"/>
        <v>0.47100000000000009</v>
      </c>
      <c r="H111" s="88">
        <f t="shared" si="9"/>
        <v>0.47100000000000009</v>
      </c>
      <c r="I111" s="88">
        <f t="shared" si="9"/>
        <v>0.47100000000000009</v>
      </c>
      <c r="J111" s="88">
        <f t="shared" si="9"/>
        <v>0.47100000000000009</v>
      </c>
      <c r="K111" s="88">
        <f t="shared" si="9"/>
        <v>0.47100000000000003</v>
      </c>
      <c r="L111" s="88">
        <f t="shared" si="9"/>
        <v>0.47100000000000003</v>
      </c>
    </row>
    <row r="112" spans="2:13" ht="16.5">
      <c r="B112" s="86" t="s">
        <v>912</v>
      </c>
      <c r="C112" s="105">
        <f>C110*(1-計算_DCF!$C$12)</f>
        <v>8520.5553796000022</v>
      </c>
      <c r="D112" s="105">
        <f>D110*(1-計算_DCF!$C$12)</f>
        <v>10849.7653820052</v>
      </c>
      <c r="E112" s="105">
        <f>E110*(1-計算_DCF!$C$12)</f>
        <v>11426.622473122992</v>
      </c>
      <c r="F112" s="105">
        <f>F110*(1-計算_DCF!$C$12)</f>
        <v>12267.295412217043</v>
      </c>
      <c r="G112" s="105">
        <f>G110*(1-計算_DCF!$C$12)</f>
        <v>13090.956675608759</v>
      </c>
      <c r="H112" s="105">
        <f>H110*(1-計算_DCF!$C$12)</f>
        <v>13885.764759485004</v>
      </c>
      <c r="I112" s="105">
        <f>I110*(1-計算_DCF!$C$12)</f>
        <v>14639.563417857049</v>
      </c>
      <c r="J112" s="105">
        <f>J110*(1-計算_DCF!$C$12)</f>
        <v>15340.171095711636</v>
      </c>
      <c r="K112" s="105">
        <f>K110*(1-計算_DCF!$C$12)</f>
        <v>15975.692469676829</v>
      </c>
      <c r="L112" s="105">
        <f>L110*(1-計算_DCF!$C$12)</f>
        <v>16534.841706115516</v>
      </c>
    </row>
    <row r="113" spans="2:13" ht="16.5">
      <c r="B113" s="86" t="s">
        <v>732</v>
      </c>
      <c r="C113" s="104">
        <f>C101</f>
        <v>1999</v>
      </c>
      <c r="D113" s="104">
        <f>D101</f>
        <v>2126.2489332895366</v>
      </c>
      <c r="E113" s="104">
        <f>E101</f>
        <v>2201.169619951283</v>
      </c>
      <c r="F113" s="104">
        <f t="shared" ref="F113:L113" si="10">F108*$E$113/$E$108</f>
        <v>2363.1128134191276</v>
      </c>
      <c r="G113" s="104">
        <f t="shared" si="10"/>
        <v>2521.7789594629835</v>
      </c>
      <c r="H113" s="104">
        <f t="shared" si="10"/>
        <v>2674.8869677160933</v>
      </c>
      <c r="I113" s="104">
        <f t="shared" si="10"/>
        <v>2820.0951173921098</v>
      </c>
      <c r="J113" s="104">
        <f t="shared" si="10"/>
        <v>2955.0568122958748</v>
      </c>
      <c r="K113" s="104">
        <f t="shared" si="10"/>
        <v>3077.4805945195612</v>
      </c>
      <c r="L113" s="104">
        <f t="shared" si="10"/>
        <v>3185.1924153277455</v>
      </c>
    </row>
    <row r="114" spans="2:13" ht="16.5">
      <c r="B114" s="86" t="s">
        <v>913</v>
      </c>
      <c r="C114" s="104">
        <f>C103</f>
        <v>2798.3957500000001</v>
      </c>
      <c r="D114" s="104">
        <f>D103</f>
        <v>2596.9112559999999</v>
      </c>
      <c r="E114" s="104">
        <f>E103</f>
        <v>2524.1977408319995</v>
      </c>
      <c r="F114" s="105">
        <f>F108*($E$114/$E$108+($E$113/$E$108-$E$114/$E$108)*(F107-3)/計算_DCF!$C$16)</f>
        <v>2660.3646087356888</v>
      </c>
      <c r="G114" s="105">
        <f>G108*($E$114/$E$108+($E$113/$E$108-$E$114/$E$108)*(G107-3)/計算_DCF!$C$16)</f>
        <v>2786.1207345837829</v>
      </c>
      <c r="H114" s="105">
        <f>H108*($E$114/$E$108+($E$113/$E$108-$E$114/$E$108)*(H107-3)/計算_DCF!$C$16)</f>
        <v>2899.1998454614572</v>
      </c>
      <c r="I114" s="105">
        <f>I108*($E$114/$E$108+($E$113/$E$108-$E$114/$E$108)*(I107-3)/計算_DCF!$C$16)</f>
        <v>2997.4625142950513</v>
      </c>
      <c r="J114" s="105">
        <f>J108*($E$114/$E$108+($E$113/$E$108-$E$114/$E$108)*(J107-3)/計算_DCF!$C$16)</f>
        <v>3078.9606081323582</v>
      </c>
      <c r="K114" s="105">
        <f>K108*($E$114/$E$108+($E$113/$E$108-$E$114/$E$108)*(K107-3)/計算_DCF!$C$16)</f>
        <v>3141.9990710658444</v>
      </c>
      <c r="L114" s="105">
        <f>L108*($E$114/$E$108+($E$113/$E$108-$E$114/$E$108)*(L107-3)/計算_DCF!$C$16)</f>
        <v>3185.1924153277455</v>
      </c>
    </row>
    <row r="115" spans="2:13" ht="16.5">
      <c r="B115" s="86" t="s">
        <v>914</v>
      </c>
      <c r="C115" s="104">
        <f>C98</f>
        <v>289.44379152341116</v>
      </c>
      <c r="D115" s="104">
        <f>D98</f>
        <v>409.67009496340779</v>
      </c>
      <c r="E115" s="104">
        <f>E98</f>
        <v>693.6650609781509</v>
      </c>
      <c r="F115" s="104">
        <f t="shared" ref="F115:L115" si="11">$C$132*(F108-E108)</f>
        <v>544.70659399206636</v>
      </c>
      <c r="G115" s="104">
        <f t="shared" si="11"/>
        <v>533.68402921211577</v>
      </c>
      <c r="H115" s="104">
        <f t="shared" si="11"/>
        <v>514.98886679062684</v>
      </c>
      <c r="I115" s="104">
        <f t="shared" si="11"/>
        <v>488.41717231924588</v>
      </c>
      <c r="J115" s="104">
        <f t="shared" si="11"/>
        <v>453.95254703942419</v>
      </c>
      <c r="K115" s="104">
        <f t="shared" si="11"/>
        <v>411.78045221104969</v>
      </c>
      <c r="L115" s="104">
        <f t="shared" si="11"/>
        <v>362.29580131603143</v>
      </c>
    </row>
    <row r="116" spans="2:13" ht="16.5">
      <c r="B116" s="86" t="s">
        <v>915</v>
      </c>
      <c r="C116" s="110">
        <f t="shared" ref="C116:L116" si="12">C112+C113-C114-C115</f>
        <v>7431.7158380765914</v>
      </c>
      <c r="D116" s="110">
        <f t="shared" si="12"/>
        <v>9969.4329643313285</v>
      </c>
      <c r="E116" s="110">
        <f t="shared" si="12"/>
        <v>10409.929291264125</v>
      </c>
      <c r="F116" s="110">
        <f t="shared" si="12"/>
        <v>11425.337022908416</v>
      </c>
      <c r="G116" s="110">
        <f t="shared" si="12"/>
        <v>12292.930871275843</v>
      </c>
      <c r="H116" s="110">
        <f t="shared" si="12"/>
        <v>13146.463014949013</v>
      </c>
      <c r="I116" s="110">
        <f t="shared" si="12"/>
        <v>13973.778848634862</v>
      </c>
      <c r="J116" s="110">
        <f t="shared" si="12"/>
        <v>14762.314752835728</v>
      </c>
      <c r="K116" s="110">
        <f t="shared" si="12"/>
        <v>15499.393540919498</v>
      </c>
      <c r="L116" s="110">
        <f t="shared" si="12"/>
        <v>16172.545904799485</v>
      </c>
      <c r="M116" s="125">
        <f>L112*(1+計算_DCF!$C$15)*(1-計算_DCF!$C$15/計算_DCF!$C$18)/(計算_DCF!$C$14-計算_DCF!$C$15)</f>
        <v>224422.30859837282</v>
      </c>
    </row>
    <row r="117" spans="2:13" ht="16.5">
      <c r="B117" s="86" t="s">
        <v>916</v>
      </c>
      <c r="C117" s="126">
        <f>1/(1+計算_DCF!$C$14)^C107</f>
        <v>0.91082043289018111</v>
      </c>
      <c r="D117" s="126">
        <f>1/(1+計算_DCF!$C$14)^D107</f>
        <v>0.829593860970257</v>
      </c>
      <c r="E117" s="126">
        <f>1/(1+計算_DCF!$C$14)^E107</f>
        <v>0.75561103957196618</v>
      </c>
      <c r="F117" s="126">
        <f>1/(1+計算_DCF!$C$14)^F107</f>
        <v>0.68822597415953812</v>
      </c>
      <c r="G117" s="126">
        <f>1/(1+計算_DCF!$C$14)^G107</f>
        <v>0.6268502797102572</v>
      </c>
      <c r="H117" s="126">
        <f>1/(1+計算_DCF!$C$14)^H107</f>
        <v>0.5709480431230276</v>
      </c>
      <c r="I117" s="126">
        <f>1/(1+計算_DCF!$C$14)^I107</f>
        <v>0.52003114379511772</v>
      </c>
      <c r="J117" s="126">
        <f>1/(1+計算_DCF!$C$14)^J107</f>
        <v>0.47365499150784524</v>
      </c>
      <c r="K117" s="126">
        <f>1/(1+計算_DCF!$C$14)^K107</f>
        <v>0.43141464440577065</v>
      </c>
      <c r="L117" s="126">
        <f>1/(1+計算_DCF!$C$14)^L107</f>
        <v>0.39294127317282768</v>
      </c>
      <c r="M117" s="111">
        <f>L117</f>
        <v>0.39294127317282768</v>
      </c>
    </row>
    <row r="118" spans="2:13" ht="16.5">
      <c r="B118" s="101" t="s">
        <v>917</v>
      </c>
      <c r="C118" s="112">
        <f t="shared" ref="C118:M118" si="13">C116*C117</f>
        <v>6768.9586367537358</v>
      </c>
      <c r="D118" s="112">
        <f t="shared" si="13"/>
        <v>8270.580384563782</v>
      </c>
      <c r="E118" s="112">
        <f t="shared" si="13"/>
        <v>7865.8574936427467</v>
      </c>
      <c r="F118" s="112">
        <f t="shared" si="13"/>
        <v>7863.2137026921819</v>
      </c>
      <c r="G118" s="112">
        <f t="shared" si="13"/>
        <v>7705.8271551181178</v>
      </c>
      <c r="H118" s="112">
        <f t="shared" si="13"/>
        <v>7505.9473323743969</v>
      </c>
      <c r="I118" s="112">
        <f t="shared" si="13"/>
        <v>7266.8001977956101</v>
      </c>
      <c r="J118" s="112">
        <f t="shared" si="13"/>
        <v>6992.2440688905453</v>
      </c>
      <c r="K118" s="112">
        <f t="shared" si="13"/>
        <v>6686.6653529608839</v>
      </c>
      <c r="L118" s="112">
        <f t="shared" si="13"/>
        <v>6354.86077827791</v>
      </c>
      <c r="M118" s="112">
        <f t="shared" si="13"/>
        <v>88184.787669029844</v>
      </c>
    </row>
    <row r="120" spans="2:13" ht="16.5">
      <c r="B120" s="86" t="s">
        <v>918</v>
      </c>
      <c r="C120" s="104">
        <f>SUM(C118:L118)</f>
        <v>73280.955103069922</v>
      </c>
    </row>
    <row r="121" spans="2:13" ht="16.5">
      <c r="B121" s="86" t="s">
        <v>919</v>
      </c>
      <c r="C121" s="104">
        <f>M118</f>
        <v>88184.787669029844</v>
      </c>
    </row>
    <row r="122" spans="2:13" ht="16.5">
      <c r="B122" s="81" t="s">
        <v>664</v>
      </c>
      <c r="C122" s="110">
        <f>C120+C121</f>
        <v>161465.74277209977</v>
      </c>
    </row>
    <row r="123" spans="2:13" ht="16.5">
      <c r="B123" s="86" t="s">
        <v>666</v>
      </c>
      <c r="C123" s="105">
        <f>計算_DCF!$C$22</f>
        <v>5413</v>
      </c>
    </row>
    <row r="124" spans="2:13" ht="16.5">
      <c r="B124" s="86" t="s">
        <v>667</v>
      </c>
      <c r="C124" s="105">
        <f>計算_DCF!$C$23</f>
        <v>0</v>
      </c>
    </row>
    <row r="125" spans="2:13" ht="16.5">
      <c r="B125" s="86" t="s">
        <v>668</v>
      </c>
      <c r="C125" s="105">
        <f>計算_DCF!$C$25</f>
        <v>2163</v>
      </c>
    </row>
    <row r="126" spans="2:13" ht="16.5">
      <c r="B126" s="81" t="s">
        <v>669</v>
      </c>
      <c r="C126" s="110">
        <f>C122-C123-C124+C125</f>
        <v>158215.74277209977</v>
      </c>
    </row>
    <row r="127" spans="2:13" ht="16.5">
      <c r="B127" s="86" t="s">
        <v>920</v>
      </c>
      <c r="C127" s="105">
        <f>計算_DCF!$C$26</f>
        <v>913247686</v>
      </c>
    </row>
    <row r="128" spans="2:13" ht="16.5">
      <c r="B128" s="81" t="s">
        <v>671</v>
      </c>
      <c r="C128" s="127">
        <f>C126*計算_DCF!$C$27/C127</f>
        <v>173.2451614140742</v>
      </c>
    </row>
    <row r="129" spans="2:14" ht="16.5">
      <c r="B129" s="86" t="s">
        <v>672</v>
      </c>
      <c r="C129" s="88">
        <f>C121/C122</f>
        <v>0.54615168614123888</v>
      </c>
    </row>
    <row r="130" spans="2:14" ht="16.5">
      <c r="B130" s="86" t="s">
        <v>921</v>
      </c>
      <c r="C130" s="88">
        <f>IF(C126&gt;0,C121/C126,"n.a.（株式価値≦0）")</f>
        <v>0.55737050007757261</v>
      </c>
    </row>
    <row r="131" spans="2:14" ht="16.5">
      <c r="B131" s="86" t="s">
        <v>922</v>
      </c>
      <c r="C131" s="114">
        <f>IF(C126&gt;0,C122/C126,"n.a.（株式価値≦0）")</f>
        <v>1.0205415715469062</v>
      </c>
    </row>
    <row r="132" spans="2:14" ht="16.5">
      <c r="B132" s="86" t="s">
        <v>923</v>
      </c>
      <c r="C132" s="88">
        <f>(E97)/$E$108</f>
        <v>0.26398094511098613</v>
      </c>
    </row>
    <row r="135" spans="2:14" ht="20.100000000000001" customHeight="1">
      <c r="B135" s="95" t="s">
        <v>948</v>
      </c>
      <c r="C135" s="11"/>
      <c r="D135" s="11"/>
      <c r="E135" s="11"/>
      <c r="F135" s="11"/>
      <c r="G135" s="11"/>
      <c r="H135" s="11"/>
      <c r="I135" s="11"/>
      <c r="J135" s="11"/>
      <c r="K135" s="11"/>
      <c r="L135" s="11"/>
      <c r="M135" s="11"/>
      <c r="N135" s="11"/>
    </row>
    <row r="136" spans="2:14" ht="16.5">
      <c r="B136" s="12" t="s">
        <v>937</v>
      </c>
      <c r="C136" s="12" t="s">
        <v>687</v>
      </c>
      <c r="D136" s="12" t="s">
        <v>688</v>
      </c>
      <c r="E136" s="12" t="s">
        <v>689</v>
      </c>
    </row>
    <row r="137" spans="2:14" ht="16.5">
      <c r="B137" s="86" t="s">
        <v>938</v>
      </c>
      <c r="C137" s="109">
        <f>'3_Assumptions'!$T$6</f>
        <v>0.26600000000000001</v>
      </c>
      <c r="D137" s="109">
        <f>'3_Assumptions'!$U$6</f>
        <v>-0.11</v>
      </c>
      <c r="E137" s="109">
        <f>'3_Assumptions'!$V$6</f>
        <v>0</v>
      </c>
    </row>
    <row r="138" spans="2:14" ht="16.5">
      <c r="B138" s="86" t="s">
        <v>852</v>
      </c>
      <c r="C138" s="109">
        <f>'3_Assumptions'!$T$7</f>
        <v>0.04</v>
      </c>
      <c r="D138" s="109">
        <f>'3_Assumptions'!$U$7</f>
        <v>0</v>
      </c>
      <c r="E138" s="109">
        <f>'3_Assumptions'!$V$7</f>
        <v>0</v>
      </c>
    </row>
    <row r="139" spans="2:14" ht="16.5">
      <c r="B139" s="86" t="s">
        <v>939</v>
      </c>
      <c r="C139" s="105">
        <f>'3_セグメント売上'!$H$6*(1+C137+C138)</f>
        <v>18291.835999999999</v>
      </c>
      <c r="D139" s="104">
        <f>C139*(1+D137+D138)</f>
        <v>16279.734039999999</v>
      </c>
      <c r="E139" s="104">
        <f>D139*(1+E137+E138)</f>
        <v>16279.734039999999</v>
      </c>
    </row>
    <row r="140" spans="2:14" ht="16.5">
      <c r="B140" s="86" t="s">
        <v>853</v>
      </c>
      <c r="C140" s="109">
        <f>'3_Assumptions'!$T$8</f>
        <v>-9.6000000000000002E-2</v>
      </c>
      <c r="D140" s="109">
        <f>'3_Assumptions'!$U$8</f>
        <v>0</v>
      </c>
      <c r="E140" s="109">
        <f>'3_Assumptions'!$V$8</f>
        <v>0</v>
      </c>
    </row>
    <row r="141" spans="2:14" ht="16.5">
      <c r="B141" s="86" t="s">
        <v>940</v>
      </c>
      <c r="C141" s="105">
        <f>'3_セグメント売上'!$H$7*(1+C137+C140)</f>
        <v>3155.49</v>
      </c>
      <c r="D141" s="104">
        <f>C141*(1+D137+D140)</f>
        <v>2808.3860999999997</v>
      </c>
      <c r="E141" s="104">
        <f>D141*(1+E137+E140)</f>
        <v>2808.3860999999997</v>
      </c>
    </row>
    <row r="142" spans="2:14" ht="16.5">
      <c r="B142" s="86" t="s">
        <v>854</v>
      </c>
      <c r="C142" s="109">
        <f>'3_Assumptions'!$T$9</f>
        <v>-0.30599999999999999</v>
      </c>
      <c r="D142" s="109">
        <f>'3_Assumptions'!$U$9</f>
        <v>0</v>
      </c>
      <c r="E142" s="109">
        <f>'3_Assumptions'!$V$9</f>
        <v>0</v>
      </c>
    </row>
    <row r="143" spans="2:14" ht="16.5">
      <c r="B143" s="86" t="s">
        <v>941</v>
      </c>
      <c r="C143" s="105">
        <f>'3_セグメント売上'!$H$8*(1+C137+C142)</f>
        <v>939.83999999999992</v>
      </c>
      <c r="D143" s="104">
        <f>C143*(1+D137+D142)</f>
        <v>836.45759999999996</v>
      </c>
      <c r="E143" s="104">
        <f>D143*(1+E137+E142)</f>
        <v>836.45759999999996</v>
      </c>
    </row>
    <row r="144" spans="2:14" ht="16.5">
      <c r="B144" s="86" t="s">
        <v>690</v>
      </c>
      <c r="C144" s="104">
        <f>C139+C141+C143</f>
        <v>22387.166000000001</v>
      </c>
      <c r="D144" s="104">
        <f>D139+D141+D143</f>
        <v>19924.577740000001</v>
      </c>
      <c r="E144" s="104">
        <f>E139+E141+E143</f>
        <v>19924.577740000001</v>
      </c>
    </row>
    <row r="145" spans="2:5" ht="16.5">
      <c r="B145" s="86" t="s">
        <v>805</v>
      </c>
      <c r="C145" s="109">
        <f>'3_Assumptions'!$T$10</f>
        <v>0.62</v>
      </c>
      <c r="D145" s="109">
        <f>'3_Assumptions'!$U$10</f>
        <v>0.57999999999999996</v>
      </c>
      <c r="E145" s="109">
        <f>'3_Assumptions'!$V$10</f>
        <v>0.57999999999999996</v>
      </c>
    </row>
    <row r="146" spans="2:5" ht="16.5">
      <c r="B146" s="86" t="s">
        <v>808</v>
      </c>
      <c r="C146" s="109">
        <f>'3_Assumptions'!$T$11</f>
        <v>8.4000000000000005E-2</v>
      </c>
      <c r="D146" s="109">
        <f>'3_Assumptions'!$U$11</f>
        <v>9.4E-2</v>
      </c>
      <c r="E146" s="109">
        <f>'3_Assumptions'!$V$11</f>
        <v>9.8000000000000004E-2</v>
      </c>
    </row>
    <row r="147" spans="2:5" ht="16.5">
      <c r="B147" s="86" t="s">
        <v>811</v>
      </c>
      <c r="C147" s="109">
        <f>'3_Assumptions'!$T$12</f>
        <v>9.6000000000000002E-2</v>
      </c>
      <c r="D147" s="109">
        <f>'3_Assumptions'!$U$12</f>
        <v>0.105</v>
      </c>
      <c r="E147" s="109">
        <f>'3_Assumptions'!$V$12</f>
        <v>0.11</v>
      </c>
    </row>
    <row r="148" spans="2:5" ht="16.5">
      <c r="B148" s="86" t="s">
        <v>942</v>
      </c>
      <c r="C148" s="109">
        <f>'3_Assumptions'!$D$10</f>
        <v>0</v>
      </c>
      <c r="D148" s="109">
        <f>'3_Assumptions'!$E$10</f>
        <v>0</v>
      </c>
      <c r="E148" s="109">
        <f>'3_Assumptions'!$F$10</f>
        <v>0</v>
      </c>
    </row>
    <row r="149" spans="2:5" ht="16.5">
      <c r="B149" s="86" t="s">
        <v>691</v>
      </c>
      <c r="C149" s="104">
        <f>C144*(C145-C146-C147-C148)</f>
        <v>9850.3530400000018</v>
      </c>
      <c r="D149" s="104">
        <f>D144*(D145-D146-D147-D148)</f>
        <v>7591.2641189400001</v>
      </c>
      <c r="E149" s="104">
        <f>E144*(E145-E146-E147-E148)</f>
        <v>7411.9429192799998</v>
      </c>
    </row>
    <row r="150" spans="2:5" ht="16.5">
      <c r="B150" s="86" t="s">
        <v>712</v>
      </c>
      <c r="C150" s="104">
        <f>C144*(1-C145)</f>
        <v>8507.1230800000012</v>
      </c>
      <c r="D150" s="104">
        <f>D144*(1-D145)</f>
        <v>8368.3226508000007</v>
      </c>
      <c r="E150" s="104">
        <f>E144*(1-E145)</f>
        <v>8368.3226508000007</v>
      </c>
    </row>
    <row r="151" spans="2:5" ht="16.5">
      <c r="B151" s="86" t="s">
        <v>755</v>
      </c>
      <c r="C151" s="123">
        <f>'3_Forecast'!$I$6</f>
        <v>365</v>
      </c>
      <c r="D151" s="123">
        <f>'3_Forecast'!$J$6</f>
        <v>365</v>
      </c>
      <c r="E151" s="123">
        <f>'3_Forecast'!$K$6</f>
        <v>366</v>
      </c>
    </row>
    <row r="152" spans="2:5" ht="16.5">
      <c r="B152" s="86" t="s">
        <v>825</v>
      </c>
      <c r="C152" s="124">
        <f>'3_Assumptions'!$D$14</f>
        <v>40.521151453455488</v>
      </c>
      <c r="D152" s="124">
        <f>'3_Assumptions'!$E$14</f>
        <v>40.521151453455488</v>
      </c>
      <c r="E152" s="124">
        <f>'3_Assumptions'!$F$14</f>
        <v>40.521151453455488</v>
      </c>
    </row>
    <row r="153" spans="2:5" ht="16.5">
      <c r="B153" s="86" t="s">
        <v>828</v>
      </c>
      <c r="C153" s="124">
        <f>'3_Assumptions'!$T$14</f>
        <v>200</v>
      </c>
      <c r="D153" s="124">
        <f>'3_Assumptions'!$U$14</f>
        <v>230</v>
      </c>
      <c r="E153" s="124">
        <f>'3_Assumptions'!$V$14</f>
        <v>240</v>
      </c>
    </row>
    <row r="154" spans="2:5" ht="16.5">
      <c r="B154" s="86" t="s">
        <v>831</v>
      </c>
      <c r="C154" s="124">
        <f>'3_Assumptions'!$D$16</f>
        <v>36.312672720094753</v>
      </c>
      <c r="D154" s="124">
        <f>'3_Assumptions'!$E$16</f>
        <v>36.312672720094753</v>
      </c>
      <c r="E154" s="124">
        <f>'3_Assumptions'!$F$16</f>
        <v>36.312672720094753</v>
      </c>
    </row>
    <row r="155" spans="2:5" ht="16.5">
      <c r="B155" s="86" t="s">
        <v>723</v>
      </c>
      <c r="C155" s="104">
        <f>C144/C151*C152</f>
        <v>2485.352723560683</v>
      </c>
      <c r="D155" s="104">
        <f>D144/D151*D152</f>
        <v>2211.9639239690082</v>
      </c>
      <c r="E155" s="104">
        <f>E144/E151*E152</f>
        <v>2205.9203066904038</v>
      </c>
    </row>
    <row r="156" spans="2:5" ht="16.5">
      <c r="B156" s="86" t="s">
        <v>724</v>
      </c>
      <c r="C156" s="104">
        <f>C150/C151*C153</f>
        <v>4661.4373041095896</v>
      </c>
      <c r="D156" s="104">
        <f>D150/D151*D153</f>
        <v>5273.1896155726035</v>
      </c>
      <c r="E156" s="104">
        <f>E150/E151*E153</f>
        <v>5487.4246890491813</v>
      </c>
    </row>
    <row r="157" spans="2:5" ht="16.5">
      <c r="B157" s="86" t="s">
        <v>728</v>
      </c>
      <c r="C157" s="104">
        <f>C150/C151*C154</f>
        <v>846.34623614686154</v>
      </c>
      <c r="D157" s="104">
        <f>D150/D151*D154</f>
        <v>832.53742913604435</v>
      </c>
      <c r="E157" s="104">
        <f>E150/E151*E154</f>
        <v>830.26273670671094</v>
      </c>
    </row>
    <row r="158" spans="2:5" ht="16.5">
      <c r="B158" s="86" t="s">
        <v>943</v>
      </c>
      <c r="C158" s="104">
        <f>C155+C156-C157</f>
        <v>6300.4437915234112</v>
      </c>
      <c r="D158" s="104">
        <f>D155+D156-D157</f>
        <v>6652.6161104055682</v>
      </c>
      <c r="E158" s="104">
        <f>E155+E156-E157</f>
        <v>6863.0822590328744</v>
      </c>
    </row>
    <row r="159" spans="2:5" ht="16.5">
      <c r="B159" s="86" t="s">
        <v>914</v>
      </c>
      <c r="C159" s="105">
        <f>C158-('3_Forecast'!$H$24+'3_Forecast'!$H$25-'3_Forecast'!$H$26)</f>
        <v>289.44379152341116</v>
      </c>
      <c r="D159" s="104">
        <f>D158-C158</f>
        <v>352.17231888215701</v>
      </c>
      <c r="E159" s="104">
        <f>E158-D158</f>
        <v>210.46614862730621</v>
      </c>
    </row>
    <row r="160" spans="2:5" ht="16.5">
      <c r="B160" s="86" t="s">
        <v>761</v>
      </c>
      <c r="C160" s="105">
        <f>'3_Forecast'!$H$33+'3_Forecast'!$H$34</f>
        <v>12558</v>
      </c>
      <c r="D160" s="104">
        <f>C165</f>
        <v>13357.39575</v>
      </c>
      <c r="E160" s="104">
        <f>D165</f>
        <v>13422.850368110463</v>
      </c>
    </row>
    <row r="161" spans="2:13" ht="16.5">
      <c r="B161" s="86" t="s">
        <v>835</v>
      </c>
      <c r="C161" s="109">
        <f>'3_Assumptions'!$D$18</f>
        <v>0.15918139831183309</v>
      </c>
      <c r="D161" s="109">
        <f>'3_Assumptions'!$E$18</f>
        <v>0.15918139831183309</v>
      </c>
      <c r="E161" s="109">
        <f>'3_Assumptions'!$F$18</f>
        <v>0.15918139831183309</v>
      </c>
    </row>
    <row r="162" spans="2:13" ht="16.5">
      <c r="B162" s="86" t="s">
        <v>732</v>
      </c>
      <c r="C162" s="104">
        <f>MIN(C160,C160*C161)</f>
        <v>1999</v>
      </c>
      <c r="D162" s="104">
        <f>MIN(D160,D160*D161)</f>
        <v>2126.2489332895366</v>
      </c>
      <c r="E162" s="104">
        <f>MIN(E160,E160*E161)</f>
        <v>2136.6680909263268</v>
      </c>
    </row>
    <row r="163" spans="2:13" ht="16.5">
      <c r="B163" s="86" t="s">
        <v>514</v>
      </c>
      <c r="C163" s="109">
        <f>'3_Assumptions'!$T$15</f>
        <v>0.125</v>
      </c>
      <c r="D163" s="109">
        <f>'3_Assumptions'!$U$15</f>
        <v>0.11</v>
      </c>
      <c r="E163" s="109">
        <f>'3_Assumptions'!$V$15</f>
        <v>0.1</v>
      </c>
    </row>
    <row r="164" spans="2:13" ht="16.5">
      <c r="B164" s="86" t="s">
        <v>762</v>
      </c>
      <c r="C164" s="104">
        <f>C144*C163</f>
        <v>2798.3957500000001</v>
      </c>
      <c r="D164" s="104">
        <f>D144*D163</f>
        <v>2191.7035513999999</v>
      </c>
      <c r="E164" s="104">
        <f>E144*E163</f>
        <v>1992.4577740000002</v>
      </c>
    </row>
    <row r="165" spans="2:13" ht="16.5">
      <c r="B165" s="101" t="s">
        <v>944</v>
      </c>
      <c r="C165" s="112">
        <f>C160+C164-C162</f>
        <v>13357.39575</v>
      </c>
      <c r="D165" s="112">
        <f>D160+D164-D162</f>
        <v>13422.850368110463</v>
      </c>
      <c r="E165" s="112">
        <f>E160+E164-E162</f>
        <v>13278.640051184137</v>
      </c>
    </row>
    <row r="167" spans="2:13" ht="16.5">
      <c r="B167" s="107" t="s">
        <v>949</v>
      </c>
      <c r="C167" s="12" t="s">
        <v>687</v>
      </c>
      <c r="D167" s="12" t="s">
        <v>688</v>
      </c>
      <c r="E167" s="12" t="s">
        <v>689</v>
      </c>
      <c r="F167" s="12" t="s">
        <v>902</v>
      </c>
      <c r="G167" s="12" t="s">
        <v>903</v>
      </c>
      <c r="H167" s="12" t="s">
        <v>904</v>
      </c>
      <c r="I167" s="12" t="s">
        <v>905</v>
      </c>
      <c r="J167" s="12" t="s">
        <v>906</v>
      </c>
      <c r="K167" s="12" t="s">
        <v>907</v>
      </c>
      <c r="L167" s="12" t="s">
        <v>908</v>
      </c>
      <c r="M167" s="12" t="s">
        <v>909</v>
      </c>
    </row>
    <row r="168" spans="2:13" ht="16.5">
      <c r="B168" s="86" t="s">
        <v>910</v>
      </c>
      <c r="C168" s="108">
        <v>1</v>
      </c>
      <c r="D168" s="108">
        <v>2</v>
      </c>
      <c r="E168" s="108">
        <v>3</v>
      </c>
      <c r="F168" s="108">
        <v>4</v>
      </c>
      <c r="G168" s="108">
        <v>5</v>
      </c>
      <c r="H168" s="108">
        <v>6</v>
      </c>
      <c r="I168" s="108">
        <v>7</v>
      </c>
      <c r="J168" s="108">
        <v>8</v>
      </c>
      <c r="K168" s="108">
        <v>9</v>
      </c>
      <c r="L168" s="108">
        <v>10</v>
      </c>
      <c r="M168" s="86" t="s">
        <v>911</v>
      </c>
    </row>
    <row r="169" spans="2:13" ht="16.5">
      <c r="B169" s="86" t="s">
        <v>690</v>
      </c>
      <c r="C169" s="104">
        <f>C144</f>
        <v>22387.166000000001</v>
      </c>
      <c r="D169" s="104">
        <f>D144</f>
        <v>19924.577740000001</v>
      </c>
      <c r="E169" s="104">
        <f>E144</f>
        <v>19924.577740000001</v>
      </c>
      <c r="F169" s="104">
        <f t="shared" ref="F169:L169" si="14">E169*(1+F170)</f>
        <v>20024.200628699997</v>
      </c>
      <c r="G169" s="104">
        <f t="shared" si="14"/>
        <v>20224.442634986997</v>
      </c>
      <c r="H169" s="104">
        <f t="shared" si="14"/>
        <v>20527.809274511801</v>
      </c>
      <c r="I169" s="104">
        <f t="shared" si="14"/>
        <v>20938.365460002038</v>
      </c>
      <c r="J169" s="104">
        <f t="shared" si="14"/>
        <v>21461.824596502087</v>
      </c>
      <c r="K169" s="104">
        <f t="shared" si="14"/>
        <v>22105.679334397151</v>
      </c>
      <c r="L169" s="104">
        <f t="shared" si="14"/>
        <v>22879.37811110105</v>
      </c>
    </row>
    <row r="170" spans="2:13" ht="16.5">
      <c r="B170" s="86" t="s">
        <v>152</v>
      </c>
      <c r="C170" s="109">
        <f>C169/'3_Forecast'!$H$8-1</f>
        <v>0.26609919692342499</v>
      </c>
      <c r="D170" s="88">
        <f>D169/C169-1</f>
        <v>-0.10999999999999999</v>
      </c>
      <c r="E170" s="88">
        <f>E169/D169-1</f>
        <v>0</v>
      </c>
      <c r="F170" s="109">
        <f>$E$170+(計算_DCF!$C$15-$E$170)*(F168-3)/計算_DCF!$C$16</f>
        <v>5.0000000000000001E-3</v>
      </c>
      <c r="G170" s="109">
        <f>$E$170+(計算_DCF!$C$15-$E$170)*(G168-3)/計算_DCF!$C$16</f>
        <v>0.01</v>
      </c>
      <c r="H170" s="109">
        <f>$E$170+(計算_DCF!$C$15-$E$170)*(H168-3)/計算_DCF!$C$16</f>
        <v>1.5000000000000001E-2</v>
      </c>
      <c r="I170" s="109">
        <f>$E$170+(計算_DCF!$C$15-$E$170)*(I168-3)/計算_DCF!$C$16</f>
        <v>0.02</v>
      </c>
      <c r="J170" s="109">
        <f>$E$170+(計算_DCF!$C$15-$E$170)*(J168-3)/計算_DCF!$C$16</f>
        <v>2.5000000000000001E-2</v>
      </c>
      <c r="K170" s="109">
        <f>$E$170+(計算_DCF!$C$15-$E$170)*(K168-3)/計算_DCF!$C$16</f>
        <v>3.0000000000000002E-2</v>
      </c>
      <c r="L170" s="109">
        <f>$E$170+(計算_DCF!$C$15-$E$170)*(L168-3)/計算_DCF!$C$16</f>
        <v>3.5000000000000003E-2</v>
      </c>
    </row>
    <row r="171" spans="2:13" ht="16.5">
      <c r="B171" s="86" t="s">
        <v>691</v>
      </c>
      <c r="C171" s="104">
        <f>C149</f>
        <v>9850.3530400000018</v>
      </c>
      <c r="D171" s="104">
        <f>D149</f>
        <v>7591.2641189400001</v>
      </c>
      <c r="E171" s="104">
        <f>E149</f>
        <v>7411.9429192799998</v>
      </c>
      <c r="F171" s="104">
        <f t="shared" ref="F171:L171" si="15">F169*$E$172</f>
        <v>7449.0026338763992</v>
      </c>
      <c r="G171" s="104">
        <f t="shared" si="15"/>
        <v>7523.4926602151627</v>
      </c>
      <c r="H171" s="104">
        <f t="shared" si="15"/>
        <v>7636.3450501183897</v>
      </c>
      <c r="I171" s="104">
        <f t="shared" si="15"/>
        <v>7789.0719511207581</v>
      </c>
      <c r="J171" s="104">
        <f t="shared" si="15"/>
        <v>7983.7987498987759</v>
      </c>
      <c r="K171" s="104">
        <f t="shared" si="15"/>
        <v>8223.3127123957402</v>
      </c>
      <c r="L171" s="104">
        <f t="shared" si="15"/>
        <v>8511.1286573295911</v>
      </c>
    </row>
    <row r="172" spans="2:13" ht="16.5">
      <c r="B172" s="86" t="s">
        <v>151</v>
      </c>
      <c r="C172" s="88">
        <f t="shared" ref="C172:L172" si="16">C171/C169</f>
        <v>0.44000000000000006</v>
      </c>
      <c r="D172" s="88">
        <f t="shared" si="16"/>
        <v>0.38100000000000001</v>
      </c>
      <c r="E172" s="88">
        <f t="shared" si="16"/>
        <v>0.372</v>
      </c>
      <c r="F172" s="88">
        <f t="shared" si="16"/>
        <v>0.372</v>
      </c>
      <c r="G172" s="88">
        <f t="shared" si="16"/>
        <v>0.372</v>
      </c>
      <c r="H172" s="88">
        <f t="shared" si="16"/>
        <v>0.372</v>
      </c>
      <c r="I172" s="88">
        <f t="shared" si="16"/>
        <v>0.372</v>
      </c>
      <c r="J172" s="88">
        <f t="shared" si="16"/>
        <v>0.372</v>
      </c>
      <c r="K172" s="88">
        <f t="shared" si="16"/>
        <v>0.372</v>
      </c>
      <c r="L172" s="88">
        <f t="shared" si="16"/>
        <v>0.372</v>
      </c>
    </row>
    <row r="173" spans="2:13" ht="16.5">
      <c r="B173" s="86" t="s">
        <v>912</v>
      </c>
      <c r="C173" s="105">
        <f>C171*(1-計算_DCF!$C$12)</f>
        <v>8520.5553796000022</v>
      </c>
      <c r="D173" s="105">
        <f>D171*(1-計算_DCF!$C$12)</f>
        <v>6566.4434628831004</v>
      </c>
      <c r="E173" s="105">
        <f>E171*(1-計算_DCF!$C$12)</f>
        <v>6411.3306251772001</v>
      </c>
      <c r="F173" s="105">
        <f>F171*(1-計算_DCF!$C$12)</f>
        <v>6443.3872783030856</v>
      </c>
      <c r="G173" s="105">
        <f>G171*(1-計算_DCF!$C$12)</f>
        <v>6507.8211510861156</v>
      </c>
      <c r="H173" s="105">
        <f>H171*(1-計算_DCF!$C$12)</f>
        <v>6605.4384683524067</v>
      </c>
      <c r="I173" s="105">
        <f>I171*(1-計算_DCF!$C$12)</f>
        <v>6737.5472377194556</v>
      </c>
      <c r="J173" s="105">
        <f>J171*(1-計算_DCF!$C$12)</f>
        <v>6905.9859186624408</v>
      </c>
      <c r="K173" s="105">
        <f>K171*(1-計算_DCF!$C$12)</f>
        <v>7113.1654962223156</v>
      </c>
      <c r="L173" s="105">
        <f>L171*(1-計算_DCF!$C$12)</f>
        <v>7362.126288590096</v>
      </c>
    </row>
    <row r="174" spans="2:13" ht="16.5">
      <c r="B174" s="86" t="s">
        <v>732</v>
      </c>
      <c r="C174" s="104">
        <f>C162</f>
        <v>1999</v>
      </c>
      <c r="D174" s="104">
        <f>D162</f>
        <v>2126.2489332895366</v>
      </c>
      <c r="E174" s="104">
        <f>E162</f>
        <v>2136.6680909263268</v>
      </c>
      <c r="F174" s="104">
        <f t="shared" ref="F174:L174" si="17">F169*$E$174/$E$169</f>
        <v>2147.3514313809578</v>
      </c>
      <c r="G174" s="104">
        <f t="shared" si="17"/>
        <v>2168.8249456947674</v>
      </c>
      <c r="H174" s="104">
        <f t="shared" si="17"/>
        <v>2201.3573198801892</v>
      </c>
      <c r="I174" s="104">
        <f t="shared" si="17"/>
        <v>2245.3844662777929</v>
      </c>
      <c r="J174" s="104">
        <f t="shared" si="17"/>
        <v>2301.5190779347377</v>
      </c>
      <c r="K174" s="104">
        <f t="shared" si="17"/>
        <v>2370.56465027278</v>
      </c>
      <c r="L174" s="104">
        <f t="shared" si="17"/>
        <v>2453.5344130323274</v>
      </c>
    </row>
    <row r="175" spans="2:13" ht="16.5">
      <c r="B175" s="86" t="s">
        <v>913</v>
      </c>
      <c r="C175" s="104">
        <f>C164</f>
        <v>2798.3957500000001</v>
      </c>
      <c r="D175" s="104">
        <f>D164</f>
        <v>2191.7035513999999</v>
      </c>
      <c r="E175" s="104">
        <f>E164</f>
        <v>1992.4577740000002</v>
      </c>
      <c r="F175" s="105">
        <f>F169*($E$175/$E$169+($E$174/$E$169-$E$175/$E$169)*(F168-3)/計算_DCF!$C$16)</f>
        <v>2023.1245440858509</v>
      </c>
      <c r="G175" s="105">
        <f>G169*($E$175/$E$169+($E$174/$E$169-$E$175/$E$169)*(G168-3)/計算_DCF!$C$16)</f>
        <v>2064.2673155547191</v>
      </c>
      <c r="H175" s="105">
        <f>H169*($E$175/$E$169+($E$174/$E$169-$E$175/$E$169)*(H168-3)/計算_DCF!$C$16)</f>
        <v>2116.4565242064696</v>
      </c>
      <c r="I175" s="105">
        <f>I169*($E$175/$E$169+($E$174/$E$169-$E$175/$E$169)*(I168-3)/計算_DCF!$C$16)</f>
        <v>2180.4353575873974</v>
      </c>
      <c r="J175" s="105">
        <f>J169*($E$175/$E$169+($E$174/$E$169-$E$175/$E$169)*(J168-3)/計算_DCF!$C$16)</f>
        <v>2257.1371869963009</v>
      </c>
      <c r="K175" s="105">
        <f>K169*($E$175/$E$169+($E$174/$E$169-$E$175/$E$169)*(K168-3)/計算_DCF!$C$16)</f>
        <v>2347.7079764394848</v>
      </c>
      <c r="L175" s="105">
        <f>L169*($E$175/$E$169+($E$174/$E$169-$E$175/$E$169)*(L168-3)/計算_DCF!$C$16)</f>
        <v>2453.5344130323269</v>
      </c>
    </row>
    <row r="176" spans="2:13" ht="16.5">
      <c r="B176" s="86" t="s">
        <v>914</v>
      </c>
      <c r="C176" s="104">
        <f>C159</f>
        <v>289.44379152341116</v>
      </c>
      <c r="D176" s="104">
        <f>D159</f>
        <v>352.17231888215701</v>
      </c>
      <c r="E176" s="104">
        <f>E159</f>
        <v>210.46614862730621</v>
      </c>
      <c r="F176" s="104">
        <f t="shared" ref="F176:L176" si="18">$C$193*(F169-E169)</f>
        <v>34.315411295163031</v>
      </c>
      <c r="G176" s="104">
        <f t="shared" si="18"/>
        <v>68.97397670328057</v>
      </c>
      <c r="H176" s="104">
        <f t="shared" si="18"/>
        <v>104.49557470546935</v>
      </c>
      <c r="I176" s="104">
        <f t="shared" si="18"/>
        <v>141.41734443473612</v>
      </c>
      <c r="J176" s="104">
        <f t="shared" si="18"/>
        <v>180.30711415428732</v>
      </c>
      <c r="K176" s="104">
        <f t="shared" si="18"/>
        <v>221.77775040977491</v>
      </c>
      <c r="L176" s="104">
        <f t="shared" si="18"/>
        <v>266.50293007574504</v>
      </c>
    </row>
    <row r="177" spans="2:13" ht="16.5">
      <c r="B177" s="86" t="s">
        <v>915</v>
      </c>
      <c r="C177" s="110">
        <f t="shared" ref="C177:L177" si="19">C173+C174-C175-C176</f>
        <v>7431.7158380765914</v>
      </c>
      <c r="D177" s="110">
        <f t="shared" si="19"/>
        <v>6148.8165258904801</v>
      </c>
      <c r="E177" s="110">
        <f t="shared" si="19"/>
        <v>6345.0747934762212</v>
      </c>
      <c r="F177" s="110">
        <f t="shared" si="19"/>
        <v>6533.2987543030285</v>
      </c>
      <c r="G177" s="110">
        <f t="shared" si="19"/>
        <v>6543.4048045228838</v>
      </c>
      <c r="H177" s="110">
        <f t="shared" si="19"/>
        <v>6585.8436893206572</v>
      </c>
      <c r="I177" s="110">
        <f t="shared" si="19"/>
        <v>6661.0790019751148</v>
      </c>
      <c r="J177" s="110">
        <f t="shared" si="19"/>
        <v>6770.0606954465893</v>
      </c>
      <c r="K177" s="110">
        <f t="shared" si="19"/>
        <v>6914.2444196458364</v>
      </c>
      <c r="L177" s="110">
        <f t="shared" si="19"/>
        <v>7095.6233585143509</v>
      </c>
      <c r="M177" s="125">
        <f>L173*(1+計算_DCF!$C$15)*(1-計算_DCF!$C$15/計算_DCF!$C$18)/(計算_DCF!$C$14-計算_DCF!$C$15)</f>
        <v>99923.870288221384</v>
      </c>
    </row>
    <row r="178" spans="2:13" ht="16.5">
      <c r="B178" s="86" t="s">
        <v>916</v>
      </c>
      <c r="C178" s="126">
        <f>1/(1+計算_DCF!$C$14)^C168</f>
        <v>0.91082043289018111</v>
      </c>
      <c r="D178" s="126">
        <f>1/(1+計算_DCF!$C$14)^D168</f>
        <v>0.829593860970257</v>
      </c>
      <c r="E178" s="126">
        <f>1/(1+計算_DCF!$C$14)^E168</f>
        <v>0.75561103957196618</v>
      </c>
      <c r="F178" s="126">
        <f>1/(1+計算_DCF!$C$14)^F168</f>
        <v>0.68822597415953812</v>
      </c>
      <c r="G178" s="126">
        <f>1/(1+計算_DCF!$C$14)^G168</f>
        <v>0.6268502797102572</v>
      </c>
      <c r="H178" s="126">
        <f>1/(1+計算_DCF!$C$14)^H168</f>
        <v>0.5709480431230276</v>
      </c>
      <c r="I178" s="126">
        <f>1/(1+計算_DCF!$C$14)^I168</f>
        <v>0.52003114379511772</v>
      </c>
      <c r="J178" s="126">
        <f>1/(1+計算_DCF!$C$14)^J168</f>
        <v>0.47365499150784524</v>
      </c>
      <c r="K178" s="126">
        <f>1/(1+計算_DCF!$C$14)^K168</f>
        <v>0.43141464440577065</v>
      </c>
      <c r="L178" s="126">
        <f>1/(1+計算_DCF!$C$14)^L168</f>
        <v>0.39294127317282768</v>
      </c>
      <c r="M178" s="111">
        <f>L178</f>
        <v>0.39294127317282768</v>
      </c>
    </row>
    <row r="179" spans="2:13" ht="16.5">
      <c r="B179" s="101" t="s">
        <v>917</v>
      </c>
      <c r="C179" s="112">
        <f t="shared" ref="C179:M179" si="20">C177*C178</f>
        <v>6768.9586367537358</v>
      </c>
      <c r="D179" s="112">
        <f t="shared" si="20"/>
        <v>5101.0204421112057</v>
      </c>
      <c r="E179" s="112">
        <f t="shared" si="20"/>
        <v>4794.4085608604464</v>
      </c>
      <c r="F179" s="112">
        <f t="shared" si="20"/>
        <v>4496.3858996554991</v>
      </c>
      <c r="G179" s="112">
        <f t="shared" si="20"/>
        <v>4101.7351319726104</v>
      </c>
      <c r="H179" s="112">
        <f t="shared" si="20"/>
        <v>3760.1745667317696</v>
      </c>
      <c r="I179" s="112">
        <f t="shared" si="20"/>
        <v>3463.9685323067602</v>
      </c>
      <c r="J179" s="112">
        <f t="shared" si="20"/>
        <v>3206.6730412093511</v>
      </c>
      <c r="K179" s="112">
        <f t="shared" si="20"/>
        <v>2982.9062976360924</v>
      </c>
      <c r="L179" s="112">
        <f t="shared" si="20"/>
        <v>2788.1632764494843</v>
      </c>
      <c r="M179" s="112">
        <f t="shared" si="20"/>
        <v>39264.212811410194</v>
      </c>
    </row>
    <row r="181" spans="2:13" ht="16.5">
      <c r="B181" s="86" t="s">
        <v>918</v>
      </c>
      <c r="C181" s="104">
        <f>SUM(C179:L179)</f>
        <v>41464.394385686959</v>
      </c>
    </row>
    <row r="182" spans="2:13" ht="16.5">
      <c r="B182" s="86" t="s">
        <v>919</v>
      </c>
      <c r="C182" s="104">
        <f>M179</f>
        <v>39264.212811410194</v>
      </c>
    </row>
    <row r="183" spans="2:13" ht="16.5">
      <c r="B183" s="81" t="s">
        <v>664</v>
      </c>
      <c r="C183" s="110">
        <f>C181+C182</f>
        <v>80728.607197097153</v>
      </c>
    </row>
    <row r="184" spans="2:13" ht="16.5">
      <c r="B184" s="86" t="s">
        <v>666</v>
      </c>
      <c r="C184" s="105">
        <f>計算_DCF!$C$22</f>
        <v>5413</v>
      </c>
    </row>
    <row r="185" spans="2:13" ht="16.5">
      <c r="B185" s="86" t="s">
        <v>667</v>
      </c>
      <c r="C185" s="105">
        <f>計算_DCF!$C$23</f>
        <v>0</v>
      </c>
    </row>
    <row r="186" spans="2:13" ht="16.5">
      <c r="B186" s="86" t="s">
        <v>668</v>
      </c>
      <c r="C186" s="105">
        <f>計算_DCF!$C$25</f>
        <v>2163</v>
      </c>
    </row>
    <row r="187" spans="2:13" ht="16.5">
      <c r="B187" s="81" t="s">
        <v>669</v>
      </c>
      <c r="C187" s="110">
        <f>C183-C184-C185+C186</f>
        <v>77478.607197097153</v>
      </c>
    </row>
    <row r="188" spans="2:13" ht="16.5">
      <c r="B188" s="86" t="s">
        <v>920</v>
      </c>
      <c r="C188" s="105">
        <f>計算_DCF!$C$26</f>
        <v>913247686</v>
      </c>
    </row>
    <row r="189" spans="2:13" ht="16.5">
      <c r="B189" s="81" t="s">
        <v>671</v>
      </c>
      <c r="C189" s="127">
        <f>C187*計算_DCF!$C$27/C188</f>
        <v>84.838547509987507</v>
      </c>
    </row>
    <row r="190" spans="2:13" ht="16.5">
      <c r="B190" s="86" t="s">
        <v>672</v>
      </c>
      <c r="C190" s="88">
        <f>C182/C183</f>
        <v>0.48637297452125572</v>
      </c>
    </row>
    <row r="191" spans="2:13" ht="16.5">
      <c r="B191" s="86" t="s">
        <v>921</v>
      </c>
      <c r="C191" s="88">
        <f>IF(C187&gt;0,C182/C187,"n.a.（株式価値≦0）")</f>
        <v>0.50677489221671612</v>
      </c>
    </row>
    <row r="192" spans="2:13" ht="16.5">
      <c r="B192" s="86" t="s">
        <v>922</v>
      </c>
      <c r="C192" s="114">
        <f>IF(C187&gt;0,C183/C187,"n.a.（株式価値≦0）")</f>
        <v>1.0419470627773721</v>
      </c>
    </row>
    <row r="193" spans="2:3" ht="16.5">
      <c r="B193" s="86" t="s">
        <v>923</v>
      </c>
      <c r="C193" s="88">
        <f>(E158)/$E$169</f>
        <v>0.34445308445632705</v>
      </c>
    </row>
  </sheetData>
  <mergeCells count="1">
    <mergeCell ref="B9:M9"/>
  </mergeCells>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X1258"/>
  <sheetViews>
    <sheetView workbookViewId="0">
      <pane ySplit="4" topLeftCell="A5" activePane="bottomLeft" state="frozen"/>
      <selection pane="bottomLeft"/>
    </sheetView>
  </sheetViews>
  <sheetFormatPr defaultRowHeight="14.25"/>
  <cols>
    <col min="1" max="1" width="2" customWidth="1"/>
    <col min="2" max="2" width="22" customWidth="1"/>
    <col min="3" max="3" width="18" customWidth="1"/>
    <col min="4" max="4" width="8" customWidth="1"/>
    <col min="5" max="5" width="3" customWidth="1"/>
    <col min="6" max="10" width="12" customWidth="1"/>
    <col min="11" max="11" width="3" customWidth="1"/>
    <col min="12" max="18" width="11" customWidth="1"/>
    <col min="19" max="19" width="3" customWidth="1"/>
    <col min="20" max="24" width="12" customWidth="1"/>
  </cols>
  <sheetData>
    <row r="1" spans="2:24" ht="21.95" customHeight="1">
      <c r="B1" s="94" t="s">
        <v>950</v>
      </c>
    </row>
    <row r="2" spans="2:24" ht="224.1" customHeight="1">
      <c r="B2" s="141" t="s">
        <v>951</v>
      </c>
      <c r="C2" s="142"/>
      <c r="D2" s="142"/>
      <c r="E2" s="142"/>
      <c r="F2" s="142"/>
      <c r="G2" s="142"/>
      <c r="H2" s="142"/>
      <c r="I2" s="142"/>
      <c r="J2" s="142"/>
      <c r="K2" s="142"/>
      <c r="L2" s="142"/>
      <c r="M2" s="142"/>
      <c r="N2" s="142"/>
      <c r="O2" s="142"/>
      <c r="P2" s="142"/>
      <c r="Q2" s="142"/>
      <c r="R2" s="142"/>
      <c r="S2" s="142"/>
      <c r="T2" s="142"/>
      <c r="U2" s="142"/>
      <c r="V2" s="142"/>
      <c r="W2" s="142"/>
      <c r="X2" s="142"/>
    </row>
    <row r="4" spans="2:24" ht="33">
      <c r="B4" s="12" t="s">
        <v>952</v>
      </c>
      <c r="C4" s="12" t="s">
        <v>128</v>
      </c>
      <c r="D4" s="12" t="s">
        <v>343</v>
      </c>
      <c r="F4" s="12" t="s">
        <v>953</v>
      </c>
      <c r="G4" s="12" t="s">
        <v>954</v>
      </c>
      <c r="H4" s="12" t="s">
        <v>955</v>
      </c>
      <c r="I4" s="12" t="s">
        <v>956</v>
      </c>
      <c r="J4" s="12" t="s">
        <v>957</v>
      </c>
      <c r="L4" s="12" t="s">
        <v>953</v>
      </c>
      <c r="M4" s="12" t="s">
        <v>958</v>
      </c>
      <c r="N4" s="12" t="s">
        <v>121</v>
      </c>
      <c r="O4" s="12" t="s">
        <v>122</v>
      </c>
      <c r="P4" s="12" t="s">
        <v>959</v>
      </c>
      <c r="Q4" s="12" t="s">
        <v>124</v>
      </c>
      <c r="R4" s="12" t="s">
        <v>960</v>
      </c>
      <c r="T4" s="12" t="s">
        <v>961</v>
      </c>
      <c r="U4" s="12" t="s">
        <v>954</v>
      </c>
      <c r="V4" s="12" t="s">
        <v>955</v>
      </c>
      <c r="W4" s="12" t="s">
        <v>962</v>
      </c>
      <c r="X4" s="12" t="s">
        <v>956</v>
      </c>
    </row>
    <row r="5" spans="2:24" ht="16.5">
      <c r="B5" s="86" t="s">
        <v>4</v>
      </c>
      <c r="C5" s="86" t="s">
        <v>963</v>
      </c>
      <c r="D5" s="86"/>
      <c r="F5" s="86" t="s">
        <v>964</v>
      </c>
      <c r="G5" s="92">
        <v>187.48</v>
      </c>
      <c r="H5" s="92">
        <v>163.72139999999999</v>
      </c>
      <c r="I5" s="92">
        <v>4605.3798999999999</v>
      </c>
      <c r="J5" s="92">
        <v>100</v>
      </c>
      <c r="L5" s="86" t="s">
        <v>964</v>
      </c>
      <c r="N5" s="128">
        <v>24.066751698015281</v>
      </c>
      <c r="O5" s="128">
        <v>14.249251859586129</v>
      </c>
      <c r="P5" s="98">
        <v>2.1762321810212669E-2</v>
      </c>
      <c r="Q5" s="128">
        <v>19.00051741763809</v>
      </c>
      <c r="R5" s="128">
        <v>187.47999572753901</v>
      </c>
      <c r="T5" s="86" t="s">
        <v>965</v>
      </c>
      <c r="U5" s="92">
        <v>200.19999694824219</v>
      </c>
      <c r="V5" s="92">
        <v>173.75932312011719</v>
      </c>
      <c r="W5" s="104">
        <v>4254900</v>
      </c>
      <c r="X5" s="92">
        <v>4566.47998046875</v>
      </c>
    </row>
    <row r="6" spans="2:24" ht="16.5">
      <c r="B6" s="86" t="s">
        <v>966</v>
      </c>
      <c r="C6" s="128">
        <v>279.5</v>
      </c>
      <c r="D6" s="86" t="s">
        <v>967</v>
      </c>
      <c r="F6" s="86" t="s">
        <v>968</v>
      </c>
      <c r="G6" s="92">
        <v>192.37</v>
      </c>
      <c r="H6" s="92">
        <v>167.99170000000001</v>
      </c>
      <c r="I6" s="92">
        <v>4567</v>
      </c>
      <c r="J6" s="92">
        <v>103.4706</v>
      </c>
      <c r="L6" s="86" t="s">
        <v>968</v>
      </c>
      <c r="N6" s="128">
        <v>24.69447947589056</v>
      </c>
      <c r="O6" s="128">
        <v>14.62091195391206</v>
      </c>
      <c r="P6" s="98">
        <v>2.120912878078806E-2</v>
      </c>
      <c r="Q6" s="128">
        <v>19.50202122731654</v>
      </c>
      <c r="R6" s="128">
        <v>192.3699951171875</v>
      </c>
      <c r="T6" s="86" t="s">
        <v>969</v>
      </c>
      <c r="U6" s="92">
        <v>196.97999572753901</v>
      </c>
      <c r="V6" s="92">
        <v>170.96461486816409</v>
      </c>
      <c r="W6" s="104">
        <v>5837500</v>
      </c>
      <c r="X6" s="92">
        <v>4574.7900390625</v>
      </c>
    </row>
    <row r="7" spans="2:24" ht="16.5">
      <c r="B7" s="86" t="s">
        <v>970</v>
      </c>
      <c r="C7" s="104">
        <v>913247686</v>
      </c>
      <c r="D7" s="86" t="s">
        <v>971</v>
      </c>
      <c r="F7" s="86" t="s">
        <v>272</v>
      </c>
      <c r="G7" s="92">
        <v>188.47</v>
      </c>
      <c r="H7" s="92">
        <v>164.58600000000001</v>
      </c>
      <c r="I7" s="92">
        <v>4766.1801999999998</v>
      </c>
      <c r="J7" s="92">
        <v>97.136499999999998</v>
      </c>
      <c r="L7" s="86" t="s">
        <v>272</v>
      </c>
      <c r="N7" s="128">
        <v>24.193838410873319</v>
      </c>
      <c r="O7" s="128">
        <v>14.32449635465732</v>
      </c>
      <c r="P7" s="98">
        <v>2.16480075002611E-2</v>
      </c>
      <c r="Q7" s="128">
        <v>19.102049439804681</v>
      </c>
      <c r="R7" s="128">
        <v>188.4700012207031</v>
      </c>
      <c r="T7" s="86" t="s">
        <v>972</v>
      </c>
      <c r="U7" s="92">
        <v>187.1000061035156</v>
      </c>
      <c r="V7" s="92">
        <v>162.38945007324219</v>
      </c>
      <c r="W7" s="104">
        <v>10365500</v>
      </c>
      <c r="X7" s="92">
        <v>4551.68017578125</v>
      </c>
    </row>
    <row r="8" spans="2:24" ht="16.5">
      <c r="B8" s="86" t="s">
        <v>973</v>
      </c>
      <c r="C8" s="53" t="s">
        <v>224</v>
      </c>
      <c r="D8" s="86" t="s">
        <v>971</v>
      </c>
      <c r="F8" s="86" t="s">
        <v>974</v>
      </c>
      <c r="G8" s="92">
        <v>179.49</v>
      </c>
      <c r="H8" s="92">
        <v>157.78200000000001</v>
      </c>
      <c r="I8" s="92">
        <v>4515.5497999999998</v>
      </c>
      <c r="J8" s="92">
        <v>98.289400000000001</v>
      </c>
      <c r="L8" s="86" t="s">
        <v>974</v>
      </c>
      <c r="N8" s="128">
        <v>23.041079010675741</v>
      </c>
      <c r="O8" s="128">
        <v>13.64197969295614</v>
      </c>
      <c r="P8" s="98">
        <v>2.2731070673210209E-2</v>
      </c>
      <c r="Q8" s="128">
        <v>18.181087756702951</v>
      </c>
      <c r="R8" s="128">
        <v>179.49000549316409</v>
      </c>
      <c r="T8" s="86" t="s">
        <v>975</v>
      </c>
      <c r="U8" s="92">
        <v>187.8699951171875</v>
      </c>
      <c r="V8" s="92">
        <v>163.05775451660159</v>
      </c>
      <c r="W8" s="104">
        <v>5123000</v>
      </c>
      <c r="X8" s="92">
        <v>4596.419921875</v>
      </c>
    </row>
    <row r="9" spans="2:24" ht="16.5">
      <c r="B9" s="86" t="s">
        <v>976</v>
      </c>
      <c r="C9" s="104">
        <v>255252728237</v>
      </c>
      <c r="D9" s="86" t="s">
        <v>967</v>
      </c>
      <c r="F9" s="86" t="s">
        <v>977</v>
      </c>
      <c r="G9" s="92">
        <v>169.99</v>
      </c>
      <c r="H9" s="92">
        <v>149.43090000000001</v>
      </c>
      <c r="I9" s="92">
        <v>4373.9399000000003</v>
      </c>
      <c r="J9" s="92">
        <v>96.100999999999999</v>
      </c>
      <c r="L9" s="86" t="s">
        <v>977</v>
      </c>
      <c r="N9" s="128">
        <v>20.579903812731729</v>
      </c>
      <c r="O9" s="128">
        <v>11.774827131371451</v>
      </c>
      <c r="P9" s="98">
        <v>2.4766161915144479E-2</v>
      </c>
      <c r="Q9" s="128">
        <v>15.95427381807262</v>
      </c>
      <c r="R9" s="128">
        <v>169.99000549316409</v>
      </c>
      <c r="T9" s="86" t="s">
        <v>978</v>
      </c>
      <c r="U9" s="92">
        <v>187.47999572753901</v>
      </c>
      <c r="V9" s="92">
        <v>163.72138977050781</v>
      </c>
      <c r="W9" s="104">
        <v>4552200</v>
      </c>
      <c r="X9" s="92">
        <v>4605.3798828125</v>
      </c>
    </row>
    <row r="10" spans="2:24" ht="16.5">
      <c r="B10" s="86" t="s">
        <v>979</v>
      </c>
      <c r="C10" s="104">
        <v>1676283560.5578611</v>
      </c>
      <c r="D10" s="86" t="s">
        <v>967</v>
      </c>
      <c r="F10" s="86" t="s">
        <v>980</v>
      </c>
      <c r="G10" s="92">
        <v>183.48</v>
      </c>
      <c r="H10" s="92">
        <v>161.2894</v>
      </c>
      <c r="I10" s="92">
        <v>4530.4102000000003</v>
      </c>
      <c r="J10" s="92">
        <v>100.1448</v>
      </c>
      <c r="L10" s="86" t="s">
        <v>980</v>
      </c>
      <c r="N10" s="128">
        <v>22.2130745432856</v>
      </c>
      <c r="O10" s="128">
        <v>12.70924855545948</v>
      </c>
      <c r="P10" s="98">
        <v>2.2945280673821761E-2</v>
      </c>
      <c r="Q10" s="128">
        <v>17.236686669062401</v>
      </c>
      <c r="R10" s="128">
        <v>183.47999572753901</v>
      </c>
      <c r="T10" s="86" t="s">
        <v>981</v>
      </c>
      <c r="U10" s="92">
        <v>187.4700012207031</v>
      </c>
      <c r="V10" s="92">
        <v>163.71272277832031</v>
      </c>
      <c r="W10" s="104">
        <v>4203900</v>
      </c>
      <c r="X10" s="92">
        <v>4613.669921875</v>
      </c>
    </row>
    <row r="11" spans="2:24" ht="16.5">
      <c r="B11" s="86" t="s">
        <v>982</v>
      </c>
      <c r="C11" s="104">
        <v>264852802568.14209</v>
      </c>
      <c r="D11" s="86" t="s">
        <v>983</v>
      </c>
      <c r="F11" s="86" t="s">
        <v>984</v>
      </c>
      <c r="G11" s="92">
        <v>170.25</v>
      </c>
      <c r="H11" s="92">
        <v>149.65950000000001</v>
      </c>
      <c r="I11" s="92">
        <v>4131.9301999999998</v>
      </c>
      <c r="J11" s="92">
        <v>101.8852</v>
      </c>
      <c r="L11" s="86" t="s">
        <v>984</v>
      </c>
      <c r="N11" s="128">
        <v>19.479405034324941</v>
      </c>
      <c r="O11" s="128">
        <v>11.20020597212314</v>
      </c>
      <c r="P11" s="98">
        <v>2.5491923641703381E-2</v>
      </c>
      <c r="Q11" s="128">
        <v>14.952730416143821</v>
      </c>
      <c r="R11" s="128">
        <v>170.25</v>
      </c>
      <c r="T11" s="86" t="s">
        <v>985</v>
      </c>
      <c r="U11" s="92">
        <v>189.33999633789071</v>
      </c>
      <c r="V11" s="92">
        <v>165.34574890136719</v>
      </c>
      <c r="W11" s="104">
        <v>4009600</v>
      </c>
      <c r="X11" s="92">
        <v>4630.64990234375</v>
      </c>
    </row>
    <row r="12" spans="2:24" ht="16.5">
      <c r="B12" s="86" t="s">
        <v>887</v>
      </c>
      <c r="C12" s="104">
        <v>5413000000</v>
      </c>
      <c r="D12" s="86" t="s">
        <v>967</v>
      </c>
      <c r="F12" s="86" t="s">
        <v>986</v>
      </c>
      <c r="G12" s="92">
        <v>176.76</v>
      </c>
      <c r="H12" s="92">
        <v>156.43870000000001</v>
      </c>
      <c r="I12" s="92">
        <v>4132.1499000000003</v>
      </c>
      <c r="J12" s="92">
        <v>106.49469999999999</v>
      </c>
      <c r="L12" s="86" t="s">
        <v>986</v>
      </c>
      <c r="N12" s="128">
        <v>20.22425566439771</v>
      </c>
      <c r="O12" s="128">
        <v>11.628477803864421</v>
      </c>
      <c r="P12" s="98">
        <v>2.4553067067628571E-2</v>
      </c>
      <c r="Q12" s="128">
        <v>15.532178897371381</v>
      </c>
      <c r="R12" s="128">
        <v>176.75999450683591</v>
      </c>
      <c r="T12" s="86" t="s">
        <v>987</v>
      </c>
      <c r="U12" s="92">
        <v>189.19000244140619</v>
      </c>
      <c r="V12" s="92">
        <v>165.21470642089841</v>
      </c>
      <c r="W12" s="104">
        <v>3666900</v>
      </c>
      <c r="X12" s="92">
        <v>4660.56982421875</v>
      </c>
    </row>
    <row r="13" spans="2:24" ht="16.5">
      <c r="B13" s="86" t="s">
        <v>958</v>
      </c>
      <c r="C13" s="53" t="s">
        <v>224</v>
      </c>
      <c r="D13" s="86" t="s">
        <v>988</v>
      </c>
      <c r="F13" s="86" t="s">
        <v>989</v>
      </c>
      <c r="G13" s="92">
        <v>153.65</v>
      </c>
      <c r="H13" s="92">
        <v>135.9855</v>
      </c>
      <c r="I13" s="92">
        <v>3785.3798999999999</v>
      </c>
      <c r="J13" s="92">
        <v>101.05159999999999</v>
      </c>
      <c r="L13" s="86" t="s">
        <v>989</v>
      </c>
      <c r="N13" s="128">
        <v>17.580090834838028</v>
      </c>
      <c r="O13" s="128">
        <v>10.10814437154824</v>
      </c>
      <c r="P13" s="98">
        <v>2.824601478945651E-2</v>
      </c>
      <c r="Q13" s="128">
        <v>13.4751795034741</v>
      </c>
      <c r="R13" s="128">
        <v>153.6499938964844</v>
      </c>
      <c r="T13" s="86" t="s">
        <v>990</v>
      </c>
      <c r="U13" s="92">
        <v>191.11000061035159</v>
      </c>
      <c r="V13" s="92">
        <v>166.89141845703119</v>
      </c>
      <c r="W13" s="104">
        <v>4828000</v>
      </c>
      <c r="X13" s="92">
        <v>4680.06005859375</v>
      </c>
    </row>
    <row r="14" spans="2:24" ht="16.5">
      <c r="B14" s="86" t="s">
        <v>149</v>
      </c>
      <c r="C14" s="128">
        <v>36.251621271076523</v>
      </c>
      <c r="D14" s="86" t="s">
        <v>988</v>
      </c>
      <c r="F14" s="86" t="s">
        <v>991</v>
      </c>
      <c r="G14" s="92">
        <v>178.89</v>
      </c>
      <c r="H14" s="92">
        <v>159.36660000000001</v>
      </c>
      <c r="I14" s="92">
        <v>4130.29</v>
      </c>
      <c r="J14" s="92">
        <v>108.5367</v>
      </c>
      <c r="L14" s="86" t="s">
        <v>991</v>
      </c>
      <c r="N14" s="128">
        <v>19.572209998867439</v>
      </c>
      <c r="O14" s="128">
        <v>11.59900013959461</v>
      </c>
      <c r="P14" s="98">
        <v>2.498742252362408E-2</v>
      </c>
      <c r="Q14" s="128">
        <v>14.873097220486329</v>
      </c>
      <c r="R14" s="128">
        <v>178.88999938964841</v>
      </c>
      <c r="T14" s="86" t="s">
        <v>992</v>
      </c>
      <c r="U14" s="92">
        <v>193.3999938964844</v>
      </c>
      <c r="V14" s="92">
        <v>168.89122009277341</v>
      </c>
      <c r="W14" s="104">
        <v>4510500</v>
      </c>
      <c r="X14" s="92">
        <v>4697.52978515625</v>
      </c>
    </row>
    <row r="15" spans="2:24" ht="16.5">
      <c r="B15" s="86" t="s">
        <v>122</v>
      </c>
      <c r="C15" s="128">
        <v>13.30480730972114</v>
      </c>
      <c r="D15" s="86" t="s">
        <v>988</v>
      </c>
      <c r="F15" s="86" t="s">
        <v>993</v>
      </c>
      <c r="G15" s="92">
        <v>165.21</v>
      </c>
      <c r="H15" s="92">
        <v>147.17959999999999</v>
      </c>
      <c r="I15" s="92">
        <v>3955</v>
      </c>
      <c r="J15" s="92">
        <v>104.6794</v>
      </c>
      <c r="L15" s="86" t="s">
        <v>993</v>
      </c>
      <c r="N15" s="128">
        <v>18.07549307591545</v>
      </c>
      <c r="O15" s="128">
        <v>10.71200680571671</v>
      </c>
      <c r="P15" s="98">
        <v>2.7056472479549891E-2</v>
      </c>
      <c r="Q15" s="128">
        <v>13.72771922534224</v>
      </c>
      <c r="R15" s="128">
        <v>165.21000671386719</v>
      </c>
      <c r="T15" s="86" t="s">
        <v>994</v>
      </c>
      <c r="U15" s="92">
        <v>192.36000061035159</v>
      </c>
      <c r="V15" s="92">
        <v>167.9830322265625</v>
      </c>
      <c r="W15" s="104">
        <v>5213900</v>
      </c>
      <c r="X15" s="92">
        <v>4701.7001953125</v>
      </c>
    </row>
    <row r="16" spans="2:24" ht="16.5">
      <c r="B16" s="86" t="s">
        <v>123</v>
      </c>
      <c r="C16" s="98">
        <v>2.0322003577817532E-2</v>
      </c>
      <c r="D16" s="86"/>
      <c r="F16" s="86" t="s">
        <v>995</v>
      </c>
      <c r="G16" s="92">
        <v>154.78</v>
      </c>
      <c r="H16" s="92">
        <v>137.8878</v>
      </c>
      <c r="I16" s="92">
        <v>3585.6201000000001</v>
      </c>
      <c r="J16" s="92">
        <v>108.1737</v>
      </c>
      <c r="L16" s="86" t="s">
        <v>995</v>
      </c>
      <c r="N16" s="128">
        <v>16.934354352220659</v>
      </c>
      <c r="O16" s="128">
        <v>10.03573835079013</v>
      </c>
      <c r="P16" s="98">
        <v>2.88797004474321E-2</v>
      </c>
      <c r="Q16" s="128">
        <v>12.85445109862866</v>
      </c>
      <c r="R16" s="128">
        <v>154.7799987792969</v>
      </c>
      <c r="T16" s="86" t="s">
        <v>996</v>
      </c>
      <c r="U16" s="92">
        <v>190.78999328613281</v>
      </c>
      <c r="V16" s="92">
        <v>166.61199951171881</v>
      </c>
      <c r="W16" s="104">
        <v>4314700</v>
      </c>
      <c r="X16" s="92">
        <v>4685.25</v>
      </c>
    </row>
    <row r="17" spans="2:24" ht="16.5">
      <c r="B17" s="101" t="s">
        <v>124</v>
      </c>
      <c r="C17" s="129">
        <v>24.48715154880226</v>
      </c>
      <c r="D17" s="101" t="s">
        <v>988</v>
      </c>
      <c r="F17" s="86" t="s">
        <v>997</v>
      </c>
      <c r="G17" s="92">
        <v>160.63</v>
      </c>
      <c r="H17" s="92">
        <v>144.24039999999999</v>
      </c>
      <c r="I17" s="92">
        <v>3871.98</v>
      </c>
      <c r="J17" s="92">
        <v>104.7885</v>
      </c>
      <c r="L17" s="86" t="s">
        <v>997</v>
      </c>
      <c r="N17" s="128">
        <v>16.837526717275949</v>
      </c>
      <c r="O17" s="128">
        <v>10.04916581857465</v>
      </c>
      <c r="P17" s="98">
        <v>2.8637239993586049E-2</v>
      </c>
      <c r="Q17" s="128">
        <v>12.750616991101341</v>
      </c>
      <c r="R17" s="128">
        <v>160.6300048828125</v>
      </c>
      <c r="T17" s="86" t="s">
        <v>998</v>
      </c>
      <c r="U17" s="92">
        <v>187.02000427246091</v>
      </c>
      <c r="V17" s="92">
        <v>163.31974792480469</v>
      </c>
      <c r="W17" s="104">
        <v>4304600</v>
      </c>
      <c r="X17" s="92">
        <v>4646.7099609375</v>
      </c>
    </row>
    <row r="18" spans="2:24" ht="16.5">
      <c r="F18" s="86" t="s">
        <v>999</v>
      </c>
      <c r="G18" s="92">
        <v>180.46</v>
      </c>
      <c r="H18" s="92">
        <v>162.047</v>
      </c>
      <c r="I18" s="92">
        <v>4080.1100999999999</v>
      </c>
      <c r="J18" s="92">
        <v>111.7196</v>
      </c>
      <c r="L18" s="86" t="s">
        <v>999</v>
      </c>
      <c r="N18" s="128">
        <v>18.916143261411651</v>
      </c>
      <c r="O18" s="128">
        <v>11.28974958577486</v>
      </c>
      <c r="P18" s="98">
        <v>2.5490412439658411E-2</v>
      </c>
      <c r="Q18" s="128">
        <v>14.337247398469181</v>
      </c>
      <c r="R18" s="128">
        <v>180.46000671386719</v>
      </c>
      <c r="T18" s="86" t="s">
        <v>1000</v>
      </c>
      <c r="U18" s="92">
        <v>188.6000061035156</v>
      </c>
      <c r="V18" s="92">
        <v>164.6994934082031</v>
      </c>
      <c r="W18" s="104">
        <v>2554800</v>
      </c>
      <c r="X18" s="92">
        <v>4649.27001953125</v>
      </c>
    </row>
    <row r="19" spans="2:24" ht="16.5">
      <c r="B19" s="86" t="s">
        <v>1001</v>
      </c>
      <c r="F19" s="86" t="s">
        <v>1002</v>
      </c>
      <c r="G19" s="92">
        <v>165.22</v>
      </c>
      <c r="H19" s="92">
        <v>148.36199999999999</v>
      </c>
      <c r="I19" s="92">
        <v>3839.5</v>
      </c>
      <c r="J19" s="92">
        <v>108.6947</v>
      </c>
      <c r="L19" s="86" t="s">
        <v>1002</v>
      </c>
      <c r="N19" s="128">
        <v>17.31865840887874</v>
      </c>
      <c r="O19" s="128">
        <v>10.336320353244339</v>
      </c>
      <c r="P19" s="98">
        <v>2.7841665452206701E-2</v>
      </c>
      <c r="Q19" s="128">
        <v>13.117869995990089</v>
      </c>
      <c r="R19" s="128">
        <v>165.2200012207031</v>
      </c>
      <c r="T19" s="86" t="s">
        <v>1003</v>
      </c>
      <c r="U19" s="92">
        <v>190.08000183105469</v>
      </c>
      <c r="V19" s="92">
        <v>165.99195861816409</v>
      </c>
      <c r="W19" s="104">
        <v>3121700</v>
      </c>
      <c r="X19" s="92">
        <v>4682.85009765625</v>
      </c>
    </row>
    <row r="20" spans="2:24" ht="16.5">
      <c r="F20" s="86" t="s">
        <v>275</v>
      </c>
      <c r="G20" s="92">
        <v>177.21</v>
      </c>
      <c r="H20" s="92">
        <v>160.2627</v>
      </c>
      <c r="I20" s="92">
        <v>4076.6001000000001</v>
      </c>
      <c r="J20" s="92">
        <v>110.58450000000001</v>
      </c>
      <c r="L20" s="86" t="s">
        <v>275</v>
      </c>
      <c r="N20" s="128">
        <v>18.575472401872869</v>
      </c>
      <c r="O20" s="128">
        <v>11.086426495956159</v>
      </c>
      <c r="P20" s="98">
        <v>2.5957902069420981E-2</v>
      </c>
      <c r="Q20" s="128">
        <v>14.07720966030468</v>
      </c>
      <c r="R20" s="128">
        <v>177.21000671386719</v>
      </c>
      <c r="T20" s="86" t="s">
        <v>1004</v>
      </c>
      <c r="U20" s="92">
        <v>189.22999572753901</v>
      </c>
      <c r="V20" s="92">
        <v>165.2496337890625</v>
      </c>
      <c r="W20" s="104">
        <v>2985200</v>
      </c>
      <c r="X20" s="92">
        <v>4682.7998046875</v>
      </c>
    </row>
    <row r="21" spans="2:24" ht="16.5">
      <c r="F21" s="86" t="s">
        <v>1005</v>
      </c>
      <c r="G21" s="92">
        <v>171.45</v>
      </c>
      <c r="H21" s="92">
        <v>155.05359999999999</v>
      </c>
      <c r="I21" s="92">
        <v>3970.1498999999999</v>
      </c>
      <c r="J21" s="92">
        <v>109.8588</v>
      </c>
      <c r="L21" s="86" t="s">
        <v>1005</v>
      </c>
      <c r="N21" s="128">
        <v>18.219978421704798</v>
      </c>
      <c r="O21" s="128">
        <v>10.65850180333603</v>
      </c>
      <c r="P21" s="98">
        <v>2.7354914455996349E-2</v>
      </c>
      <c r="Q21" s="128">
        <v>14.01147589581829</v>
      </c>
      <c r="R21" s="128">
        <v>171.44999694824219</v>
      </c>
      <c r="T21" s="86" t="s">
        <v>1006</v>
      </c>
      <c r="U21" s="92">
        <v>188.52000427246091</v>
      </c>
      <c r="V21" s="92">
        <v>164.62968444824219</v>
      </c>
      <c r="W21" s="104">
        <v>3312000</v>
      </c>
      <c r="X21" s="92">
        <v>4700.89990234375</v>
      </c>
    </row>
    <row r="22" spans="2:24" ht="16.5">
      <c r="F22" s="86" t="s">
        <v>1007</v>
      </c>
      <c r="G22" s="92">
        <v>186.01</v>
      </c>
      <c r="H22" s="92">
        <v>168.22110000000001</v>
      </c>
      <c r="I22" s="92">
        <v>4109.3100999999997</v>
      </c>
      <c r="J22" s="92">
        <v>115.152</v>
      </c>
      <c r="L22" s="86" t="s">
        <v>1007</v>
      </c>
      <c r="N22" s="128">
        <v>19.767268279153662</v>
      </c>
      <c r="O22" s="128">
        <v>11.56365061055175</v>
      </c>
      <c r="P22" s="98">
        <v>2.5213698932869118E-2</v>
      </c>
      <c r="Q22" s="128">
        <v>15.203916398555171</v>
      </c>
      <c r="R22" s="128">
        <v>186.00999450683599</v>
      </c>
      <c r="T22" s="86" t="s">
        <v>1008</v>
      </c>
      <c r="U22" s="92">
        <v>189.57000732421881</v>
      </c>
      <c r="V22" s="92">
        <v>165.5466003417969</v>
      </c>
      <c r="W22" s="104">
        <v>4167800</v>
      </c>
      <c r="X22" s="92">
        <v>4688.669921875</v>
      </c>
    </row>
    <row r="23" spans="2:24" ht="16.5">
      <c r="F23" s="86" t="s">
        <v>1009</v>
      </c>
      <c r="G23" s="92">
        <v>167.2</v>
      </c>
      <c r="H23" s="92">
        <v>151.21</v>
      </c>
      <c r="I23" s="92">
        <v>4169.4799999999996</v>
      </c>
      <c r="J23" s="92">
        <v>102.0137</v>
      </c>
      <c r="L23" s="86" t="s">
        <v>1009</v>
      </c>
      <c r="N23" s="128">
        <v>18.765431756256142</v>
      </c>
      <c r="O23" s="128">
        <v>9.9560272227553774</v>
      </c>
      <c r="P23" s="98">
        <v>2.8588517268213109E-2</v>
      </c>
      <c r="Q23" s="128">
        <v>14.507258637887841</v>
      </c>
      <c r="R23" s="128">
        <v>167.19999694824219</v>
      </c>
      <c r="T23" s="86" t="s">
        <v>1010</v>
      </c>
      <c r="U23" s="92">
        <v>193.4700012207031</v>
      </c>
      <c r="V23" s="92">
        <v>168.95237731933591</v>
      </c>
      <c r="W23" s="104">
        <v>4677300</v>
      </c>
      <c r="X23" s="92">
        <v>4704.5400390625</v>
      </c>
    </row>
    <row r="24" spans="2:24" ht="16.5">
      <c r="F24" s="86" t="s">
        <v>1011</v>
      </c>
      <c r="G24" s="92">
        <v>173.88</v>
      </c>
      <c r="H24" s="92">
        <v>158.46180000000001</v>
      </c>
      <c r="I24" s="92">
        <v>4179.8301000000001</v>
      </c>
      <c r="J24" s="92">
        <v>106.64149999999999</v>
      </c>
      <c r="L24" s="86" t="s">
        <v>1011</v>
      </c>
      <c r="N24" s="128">
        <v>19.51515206316639</v>
      </c>
      <c r="O24" s="128">
        <v>10.35379242645566</v>
      </c>
      <c r="P24" s="98">
        <v>2.7490222370430171E-2</v>
      </c>
      <c r="Q24" s="128">
        <v>15.084645077274891</v>
      </c>
      <c r="R24" s="128">
        <v>173.8800048828125</v>
      </c>
      <c r="T24" s="86" t="s">
        <v>1012</v>
      </c>
      <c r="U24" s="92">
        <v>195.16000366210929</v>
      </c>
      <c r="V24" s="92">
        <v>170.4281921386719</v>
      </c>
      <c r="W24" s="104">
        <v>5129100</v>
      </c>
      <c r="X24" s="92">
        <v>4697.9599609375</v>
      </c>
    </row>
    <row r="25" spans="2:24" ht="16.5">
      <c r="F25" s="86" t="s">
        <v>1013</v>
      </c>
      <c r="G25" s="92">
        <v>180.02</v>
      </c>
      <c r="H25" s="92">
        <v>164.0574</v>
      </c>
      <c r="I25" s="92">
        <v>4450.3798999999999</v>
      </c>
      <c r="J25" s="92">
        <v>103.6952</v>
      </c>
      <c r="L25" s="86" t="s">
        <v>1013</v>
      </c>
      <c r="N25" s="128">
        <v>20.204265350444551</v>
      </c>
      <c r="O25" s="128">
        <v>10.71940248738146</v>
      </c>
      <c r="P25" s="98">
        <v>2.6552604635901759E-2</v>
      </c>
      <c r="Q25" s="128">
        <v>15.615355881835599</v>
      </c>
      <c r="R25" s="128">
        <v>180.02000427246091</v>
      </c>
      <c r="T25" s="86" t="s">
        <v>1014</v>
      </c>
      <c r="U25" s="92">
        <v>192.5</v>
      </c>
      <c r="V25" s="92">
        <v>168.10527038574219</v>
      </c>
      <c r="W25" s="104">
        <v>4712300</v>
      </c>
      <c r="X25" s="92">
        <v>4682.93994140625</v>
      </c>
    </row>
    <row r="26" spans="2:24" ht="16.5">
      <c r="F26" s="86" t="s">
        <v>1015</v>
      </c>
      <c r="G26" s="92">
        <v>180</v>
      </c>
      <c r="H26" s="92">
        <v>165.1917</v>
      </c>
      <c r="I26" s="92">
        <v>4588.96</v>
      </c>
      <c r="J26" s="92">
        <v>101.2591</v>
      </c>
      <c r="L26" s="86" t="s">
        <v>1015</v>
      </c>
      <c r="N26" s="128">
        <v>21.60864345738295</v>
      </c>
      <c r="O26" s="128">
        <v>10.25307019196989</v>
      </c>
      <c r="P26" s="98">
        <v>2.7055555555555558E-2</v>
      </c>
      <c r="Q26" s="128">
        <v>16.83329311378467</v>
      </c>
      <c r="R26" s="128">
        <v>180</v>
      </c>
      <c r="T26" s="86" t="s">
        <v>1016</v>
      </c>
      <c r="U26" s="92">
        <v>192.63999938964841</v>
      </c>
      <c r="V26" s="92">
        <v>168.22758483886719</v>
      </c>
      <c r="W26" s="104">
        <v>4881400</v>
      </c>
      <c r="X26" s="92">
        <v>4690.7001953125</v>
      </c>
    </row>
    <row r="27" spans="2:24" ht="16.5">
      <c r="F27" s="86" t="s">
        <v>1017</v>
      </c>
      <c r="G27" s="92">
        <v>168.06</v>
      </c>
      <c r="H27" s="92">
        <v>154.23400000000001</v>
      </c>
      <c r="I27" s="92">
        <v>4507.6602000000003</v>
      </c>
      <c r="J27" s="92">
        <v>96.247399999999999</v>
      </c>
      <c r="L27" s="86" t="s">
        <v>1017</v>
      </c>
      <c r="N27" s="128">
        <v>20.175269814957229</v>
      </c>
      <c r="O27" s="128">
        <v>9.5729497301697197</v>
      </c>
      <c r="P27" s="98">
        <v>2.897774646403934E-2</v>
      </c>
      <c r="Q27" s="128">
        <v>15.727958676478931</v>
      </c>
      <c r="R27" s="128">
        <v>168.05999755859381</v>
      </c>
      <c r="T27" s="86" t="s">
        <v>1018</v>
      </c>
      <c r="U27" s="92">
        <v>193.6000061035156</v>
      </c>
      <c r="V27" s="92">
        <v>169.06587219238281</v>
      </c>
      <c r="W27" s="104">
        <v>6494000</v>
      </c>
      <c r="X27" s="92">
        <v>4701.4599609375</v>
      </c>
    </row>
    <row r="28" spans="2:24" ht="16.5">
      <c r="F28" s="86" t="s">
        <v>1019</v>
      </c>
      <c r="G28" s="92">
        <v>159.01</v>
      </c>
      <c r="H28" s="92">
        <v>145.92850000000001</v>
      </c>
      <c r="I28" s="92">
        <v>4288.0497999999998</v>
      </c>
      <c r="J28" s="92">
        <v>95.728300000000004</v>
      </c>
      <c r="L28" s="86" t="s">
        <v>1019</v>
      </c>
      <c r="N28" s="128">
        <v>19.088834874770221</v>
      </c>
      <c r="O28" s="128">
        <v>9.0574479716851943</v>
      </c>
      <c r="P28" s="98">
        <v>3.0627005648947658E-2</v>
      </c>
      <c r="Q28" s="128">
        <v>14.890163200312189</v>
      </c>
      <c r="R28" s="128">
        <v>159.00999450683591</v>
      </c>
      <c r="T28" s="86" t="s">
        <v>1020</v>
      </c>
      <c r="U28" s="92">
        <v>188.25999450683599</v>
      </c>
      <c r="V28" s="92">
        <v>164.402587890625</v>
      </c>
      <c r="W28" s="104">
        <v>3324900</v>
      </c>
      <c r="X28" s="92">
        <v>4594.6201171875</v>
      </c>
    </row>
    <row r="29" spans="2:24" ht="16.5">
      <c r="F29" s="86" t="s">
        <v>1021</v>
      </c>
      <c r="G29" s="92">
        <v>142.01</v>
      </c>
      <c r="H29" s="92">
        <v>131.52180000000001</v>
      </c>
      <c r="I29" s="92">
        <v>4193.7997999999998</v>
      </c>
      <c r="J29" s="92">
        <v>88.216499999999996</v>
      </c>
      <c r="L29" s="86" t="s">
        <v>1021</v>
      </c>
      <c r="N29" s="128">
        <v>18.418935733701161</v>
      </c>
      <c r="O29" s="128">
        <v>7.7550392795391687</v>
      </c>
      <c r="P29" s="98">
        <v>3.492711915963944E-2</v>
      </c>
      <c r="Q29" s="128">
        <v>14.46100245240369</v>
      </c>
      <c r="R29" s="128">
        <v>142.00999450683591</v>
      </c>
      <c r="T29" s="86" t="s">
        <v>1022</v>
      </c>
      <c r="U29" s="92">
        <v>194.3800048828125</v>
      </c>
      <c r="V29" s="92">
        <v>169.7470397949219</v>
      </c>
      <c r="W29" s="104">
        <v>4576200</v>
      </c>
      <c r="X29" s="92">
        <v>4655.27001953125</v>
      </c>
    </row>
    <row r="30" spans="2:24" ht="16.5">
      <c r="F30" s="86" t="s">
        <v>1023</v>
      </c>
      <c r="G30" s="92">
        <v>152.71</v>
      </c>
      <c r="H30" s="92">
        <v>141.4315</v>
      </c>
      <c r="I30" s="92">
        <v>4567.7997999999998</v>
      </c>
      <c r="J30" s="92">
        <v>87.096199999999996</v>
      </c>
      <c r="L30" s="86" t="s">
        <v>1023</v>
      </c>
      <c r="N30" s="128">
        <v>19.806745358478231</v>
      </c>
      <c r="O30" s="128">
        <v>8.3393574132398331</v>
      </c>
      <c r="P30" s="98">
        <v>3.2479862366148367E-2</v>
      </c>
      <c r="Q30" s="128">
        <v>15.531715859364439</v>
      </c>
      <c r="R30" s="128">
        <v>152.71000671386719</v>
      </c>
      <c r="T30" s="86" t="s">
        <v>1024</v>
      </c>
      <c r="U30" s="92">
        <v>192.3699951171875</v>
      </c>
      <c r="V30" s="92">
        <v>167.99174499511719</v>
      </c>
      <c r="W30" s="104">
        <v>8775600</v>
      </c>
      <c r="X30" s="92">
        <v>4567</v>
      </c>
    </row>
    <row r="31" spans="2:24" ht="16.5">
      <c r="F31" s="86" t="s">
        <v>1025</v>
      </c>
      <c r="G31" s="92">
        <v>170.46</v>
      </c>
      <c r="H31" s="92">
        <v>157.8706</v>
      </c>
      <c r="I31" s="92">
        <v>4769.8301000000001</v>
      </c>
      <c r="J31" s="92">
        <v>93.101799999999997</v>
      </c>
      <c r="L31" s="86" t="s">
        <v>1025</v>
      </c>
      <c r="N31" s="128">
        <v>22.108950287142299</v>
      </c>
      <c r="O31" s="128">
        <v>9.3086690992929864</v>
      </c>
      <c r="P31" s="98">
        <v>2.9097734393063929E-2</v>
      </c>
      <c r="Q31" s="128">
        <v>17.307897288490711</v>
      </c>
      <c r="R31" s="128">
        <v>170.46000671386719</v>
      </c>
      <c r="T31" s="86" t="s">
        <v>1026</v>
      </c>
      <c r="U31" s="92">
        <v>191.75999450683599</v>
      </c>
      <c r="V31" s="92">
        <v>167.4590759277344</v>
      </c>
      <c r="W31" s="104">
        <v>7279100</v>
      </c>
      <c r="X31" s="92">
        <v>4513.0400390625</v>
      </c>
    </row>
    <row r="32" spans="2:24" ht="16.5">
      <c r="F32" s="86" t="s">
        <v>1027</v>
      </c>
      <c r="G32" s="92">
        <v>160.12</v>
      </c>
      <c r="H32" s="92">
        <v>149.46440000000001</v>
      </c>
      <c r="I32" s="92">
        <v>4845.6499000000003</v>
      </c>
      <c r="J32" s="92">
        <v>86.765199999999993</v>
      </c>
      <c r="L32" s="86" t="s">
        <v>1027</v>
      </c>
      <c r="N32" s="128">
        <v>20.767833348532751</v>
      </c>
      <c r="O32" s="128">
        <v>8.7440102781895082</v>
      </c>
      <c r="P32" s="98">
        <v>3.097676836905916E-2</v>
      </c>
      <c r="Q32" s="128">
        <v>16.273207903985199</v>
      </c>
      <c r="R32" s="128">
        <v>160.1199951171875</v>
      </c>
      <c r="T32" s="86" t="s">
        <v>1028</v>
      </c>
      <c r="U32" s="92">
        <v>193.58000183105469</v>
      </c>
      <c r="V32" s="92">
        <v>169.04840087890619</v>
      </c>
      <c r="W32" s="104">
        <v>4236700</v>
      </c>
      <c r="X32" s="92">
        <v>4577.10009765625</v>
      </c>
    </row>
    <row r="33" spans="6:24" ht="16.5">
      <c r="F33" s="86" t="s">
        <v>1029</v>
      </c>
      <c r="G33" s="92">
        <v>167.33</v>
      </c>
      <c r="H33" s="92">
        <v>156.19460000000001</v>
      </c>
      <c r="I33" s="92">
        <v>5096.2700000000004</v>
      </c>
      <c r="J33" s="92">
        <v>86.213200000000001</v>
      </c>
      <c r="L33" s="86" t="s">
        <v>1029</v>
      </c>
      <c r="N33" s="128">
        <v>23.70113340383211</v>
      </c>
      <c r="O33" s="128">
        <v>9.0046225950195566</v>
      </c>
      <c r="P33" s="98">
        <v>3.0000597293176751E-2</v>
      </c>
      <c r="Q33" s="128">
        <v>18.198813541975721</v>
      </c>
      <c r="R33" s="128">
        <v>167.33000183105469</v>
      </c>
      <c r="T33" s="86" t="s">
        <v>1030</v>
      </c>
      <c r="U33" s="92">
        <v>193.3800048828125</v>
      </c>
      <c r="V33" s="92">
        <v>168.87379455566409</v>
      </c>
      <c r="W33" s="104">
        <v>4901000</v>
      </c>
      <c r="X33" s="92">
        <v>4538.43017578125</v>
      </c>
    </row>
    <row r="34" spans="6:24" ht="16.5">
      <c r="F34" s="86" t="s">
        <v>1031</v>
      </c>
      <c r="G34" s="92">
        <v>174.21</v>
      </c>
      <c r="H34" s="92">
        <v>162.61680000000001</v>
      </c>
      <c r="I34" s="92">
        <v>5254.3500999999997</v>
      </c>
      <c r="J34" s="92">
        <v>87.057500000000005</v>
      </c>
      <c r="L34" s="86" t="s">
        <v>1031</v>
      </c>
      <c r="N34" s="128">
        <v>24.675638344740388</v>
      </c>
      <c r="O34" s="128">
        <v>9.3748601300921273</v>
      </c>
      <c r="P34" s="98">
        <v>2.8815795916047139E-2</v>
      </c>
      <c r="Q34" s="128">
        <v>18.934283049396509</v>
      </c>
      <c r="R34" s="128">
        <v>174.21000671386719</v>
      </c>
      <c r="T34" s="86" t="s">
        <v>1032</v>
      </c>
      <c r="U34" s="92">
        <v>194.61000061035159</v>
      </c>
      <c r="V34" s="92">
        <v>169.94789123535159</v>
      </c>
      <c r="W34" s="104">
        <v>4084600</v>
      </c>
      <c r="X34" s="92">
        <v>4591.669921875</v>
      </c>
    </row>
    <row r="35" spans="6:24" ht="16.5">
      <c r="F35" s="86" t="s">
        <v>1033</v>
      </c>
      <c r="G35" s="92">
        <v>176.42</v>
      </c>
      <c r="H35" s="92">
        <v>164.6797</v>
      </c>
      <c r="I35" s="92">
        <v>5035.6899000000003</v>
      </c>
      <c r="J35" s="92">
        <v>91.990099999999998</v>
      </c>
      <c r="L35" s="86" t="s">
        <v>1033</v>
      </c>
      <c r="N35" s="128">
        <v>27.522620619180231</v>
      </c>
      <c r="O35" s="128">
        <v>9.4581203868678916</v>
      </c>
      <c r="P35" s="98">
        <v>2.879492150960819E-2</v>
      </c>
      <c r="Q35" s="128">
        <v>20.710827375006598</v>
      </c>
      <c r="R35" s="128">
        <v>176.41999816894531</v>
      </c>
      <c r="T35" s="86" t="s">
        <v>1034</v>
      </c>
      <c r="U35" s="92">
        <v>199.0299987792969</v>
      </c>
      <c r="V35" s="92">
        <v>173.80778503417969</v>
      </c>
      <c r="W35" s="104">
        <v>5815600</v>
      </c>
      <c r="X35" s="92">
        <v>4686.75</v>
      </c>
    </row>
    <row r="36" spans="6:24" ht="16.5">
      <c r="F36" s="86" t="s">
        <v>1035</v>
      </c>
      <c r="G36" s="92">
        <v>195.01</v>
      </c>
      <c r="H36" s="92">
        <v>183.34460000000001</v>
      </c>
      <c r="I36" s="92">
        <v>5277.5097999999998</v>
      </c>
      <c r="J36" s="92">
        <v>97.723500000000001</v>
      </c>
      <c r="L36" s="86" t="s">
        <v>1035</v>
      </c>
      <c r="N36" s="128">
        <v>30.422776054108571</v>
      </c>
      <c r="O36" s="128">
        <v>10.454755831715969</v>
      </c>
      <c r="P36" s="98">
        <v>2.60499468903986E-2</v>
      </c>
      <c r="Q36" s="128">
        <v>22.842816260238351</v>
      </c>
      <c r="R36" s="128">
        <v>195.00999450683599</v>
      </c>
      <c r="T36" s="86" t="s">
        <v>1036</v>
      </c>
      <c r="U36" s="92">
        <v>196.38999938964841</v>
      </c>
      <c r="V36" s="92">
        <v>171.50230407714841</v>
      </c>
      <c r="W36" s="104">
        <v>4255900</v>
      </c>
      <c r="X36" s="92">
        <v>4701.2099609375</v>
      </c>
    </row>
    <row r="37" spans="6:24" ht="16.5">
      <c r="F37" s="86" t="s">
        <v>1037</v>
      </c>
      <c r="G37" s="92">
        <v>194.53</v>
      </c>
      <c r="H37" s="92">
        <v>182.89330000000001</v>
      </c>
      <c r="I37" s="92">
        <v>5460.48</v>
      </c>
      <c r="J37" s="92">
        <v>94.216499999999996</v>
      </c>
      <c r="L37" s="86" t="s">
        <v>1037</v>
      </c>
      <c r="N37" s="128">
        <v>30.34789372531932</v>
      </c>
      <c r="O37" s="128">
        <v>10.429022596122691</v>
      </c>
      <c r="P37" s="98">
        <v>2.611422419101277E-2</v>
      </c>
      <c r="Q37" s="128">
        <v>22.787768075318251</v>
      </c>
      <c r="R37" s="128">
        <v>194.5299987792969</v>
      </c>
      <c r="T37" s="86" t="s">
        <v>1038</v>
      </c>
      <c r="U37" s="92">
        <v>193.3999938964844</v>
      </c>
      <c r="V37" s="92">
        <v>168.89122009277341</v>
      </c>
      <c r="W37" s="104">
        <v>3626700</v>
      </c>
      <c r="X37" s="92">
        <v>4667.4501953125</v>
      </c>
    </row>
    <row r="38" spans="6:24" ht="16.5">
      <c r="F38" s="86" t="s">
        <v>1039</v>
      </c>
      <c r="G38" s="92">
        <v>203.81</v>
      </c>
      <c r="H38" s="92">
        <v>192.8656</v>
      </c>
      <c r="I38" s="92">
        <v>5522.2997999999998</v>
      </c>
      <c r="J38" s="92">
        <v>98.241500000000002</v>
      </c>
      <c r="L38" s="86" t="s">
        <v>1039</v>
      </c>
      <c r="N38" s="128">
        <v>35.383680131700302</v>
      </c>
      <c r="O38" s="128">
        <v>10.8102646386612</v>
      </c>
      <c r="P38" s="98">
        <v>2.521956754610279E-2</v>
      </c>
      <c r="Q38" s="128">
        <v>26.092265938559422</v>
      </c>
      <c r="R38" s="128">
        <v>203.80999755859369</v>
      </c>
      <c r="T38" s="86" t="s">
        <v>1040</v>
      </c>
      <c r="U38" s="92">
        <v>196</v>
      </c>
      <c r="V38" s="92">
        <v>171.1617431640625</v>
      </c>
      <c r="W38" s="104">
        <v>3264200</v>
      </c>
      <c r="X38" s="92">
        <v>4712.02001953125</v>
      </c>
    </row>
    <row r="39" spans="6:24" ht="16.5">
      <c r="F39" s="86" t="s">
        <v>1041</v>
      </c>
      <c r="G39" s="92">
        <v>214.34</v>
      </c>
      <c r="H39" s="92">
        <v>202.83019999999999</v>
      </c>
      <c r="I39" s="92">
        <v>5648.3999000000003</v>
      </c>
      <c r="J39" s="92">
        <v>101.0107</v>
      </c>
      <c r="L39" s="86" t="s">
        <v>1041</v>
      </c>
      <c r="N39" s="128">
        <v>37.211804919772682</v>
      </c>
      <c r="O39" s="128">
        <v>11.368785196104669</v>
      </c>
      <c r="P39" s="98">
        <v>2.3980591993186289E-2</v>
      </c>
      <c r="Q39" s="128">
        <v>27.410567443541179</v>
      </c>
      <c r="R39" s="128">
        <v>214.33999633789071</v>
      </c>
      <c r="T39" s="86" t="s">
        <v>1042</v>
      </c>
      <c r="U39" s="92">
        <v>193.24000549316409</v>
      </c>
      <c r="V39" s="92">
        <v>168.75154113769531</v>
      </c>
      <c r="W39" s="104">
        <v>6178300</v>
      </c>
      <c r="X39" s="92">
        <v>4668.97021484375</v>
      </c>
    </row>
    <row r="40" spans="6:24" ht="16.5">
      <c r="F40" s="86" t="s">
        <v>1043</v>
      </c>
      <c r="G40" s="92">
        <v>206.57</v>
      </c>
      <c r="H40" s="92">
        <v>195.47739999999999</v>
      </c>
      <c r="I40" s="92">
        <v>5762.48</v>
      </c>
      <c r="J40" s="92">
        <v>95.421700000000001</v>
      </c>
      <c r="L40" s="86" t="s">
        <v>1043</v>
      </c>
      <c r="N40" s="128">
        <v>35.862848493787979</v>
      </c>
      <c r="O40" s="128">
        <v>10.956658026272709</v>
      </c>
      <c r="P40" s="98">
        <v>2.4882605498157299E-2</v>
      </c>
      <c r="Q40" s="128">
        <v>26.437804917627641</v>
      </c>
      <c r="R40" s="128">
        <v>206.57000732421881</v>
      </c>
      <c r="T40" s="86" t="s">
        <v>1044</v>
      </c>
      <c r="U40" s="92">
        <v>190.27000427246091</v>
      </c>
      <c r="V40" s="92">
        <v>166.1578674316406</v>
      </c>
      <c r="W40" s="104">
        <v>6130400</v>
      </c>
      <c r="X40" s="92">
        <v>4634.08984375</v>
      </c>
    </row>
    <row r="41" spans="6:24" ht="16.5">
      <c r="F41" s="86" t="s">
        <v>1045</v>
      </c>
      <c r="G41" s="92">
        <v>203.16</v>
      </c>
      <c r="H41" s="92">
        <v>193.5163</v>
      </c>
      <c r="I41" s="92">
        <v>5705.4502000000002</v>
      </c>
      <c r="J41" s="92">
        <v>95.408600000000007</v>
      </c>
      <c r="L41" s="86" t="s">
        <v>1045</v>
      </c>
      <c r="N41" s="128">
        <v>37.762082465076091</v>
      </c>
      <c r="O41" s="128">
        <v>10.73233325462572</v>
      </c>
      <c r="P41" s="98">
        <v>2.559558922162903E-2</v>
      </c>
      <c r="Q41" s="128">
        <v>27.074190567288841</v>
      </c>
      <c r="R41" s="128">
        <v>203.16000366210929</v>
      </c>
      <c r="T41" s="86" t="s">
        <v>1046</v>
      </c>
      <c r="U41" s="92">
        <v>193.44000244140619</v>
      </c>
      <c r="V41" s="92">
        <v>168.9261474609375</v>
      </c>
      <c r="W41" s="104">
        <v>6342000</v>
      </c>
      <c r="X41" s="92">
        <v>4709.85009765625</v>
      </c>
    </row>
    <row r="42" spans="6:24" ht="16.5">
      <c r="F42" s="86" t="s">
        <v>1047</v>
      </c>
      <c r="G42" s="92">
        <v>201.03</v>
      </c>
      <c r="H42" s="92">
        <v>191.48740000000001</v>
      </c>
      <c r="I42" s="92">
        <v>6032.3798999999999</v>
      </c>
      <c r="J42" s="92">
        <v>89.291799999999995</v>
      </c>
      <c r="L42" s="86" t="s">
        <v>1047</v>
      </c>
      <c r="N42" s="128">
        <v>37.366170776820979</v>
      </c>
      <c r="O42" s="128">
        <v>10.61981148939509</v>
      </c>
      <c r="P42" s="98">
        <v>2.5866786208902488E-2</v>
      </c>
      <c r="Q42" s="128">
        <v>26.79799641775044</v>
      </c>
      <c r="R42" s="128">
        <v>201.0299987792969</v>
      </c>
      <c r="T42" s="86" t="s">
        <v>1048</v>
      </c>
      <c r="U42" s="92">
        <v>188.24000549316409</v>
      </c>
      <c r="V42" s="92">
        <v>164.3851318359375</v>
      </c>
      <c r="W42" s="104">
        <v>5452300</v>
      </c>
      <c r="X42" s="92">
        <v>4668.669921875</v>
      </c>
    </row>
    <row r="43" spans="6:24" ht="16.5">
      <c r="F43" s="86" t="s">
        <v>1049</v>
      </c>
      <c r="G43" s="92">
        <v>187.51</v>
      </c>
      <c r="H43" s="92">
        <v>178.60910000000001</v>
      </c>
      <c r="I43" s="92">
        <v>5881.6298999999999</v>
      </c>
      <c r="J43" s="92">
        <v>85.421300000000002</v>
      </c>
      <c r="L43" s="86" t="s">
        <v>1049</v>
      </c>
      <c r="N43" s="128">
        <v>34.853158830266914</v>
      </c>
      <c r="O43" s="128">
        <v>9.9055902409187233</v>
      </c>
      <c r="P43" s="98">
        <v>2.7731855113517299E-2</v>
      </c>
      <c r="Q43" s="128">
        <v>25.044880210402919</v>
      </c>
      <c r="R43" s="128">
        <v>187.50999450683599</v>
      </c>
      <c r="T43" s="86" t="s">
        <v>1050</v>
      </c>
      <c r="U43" s="92">
        <v>186.30000305175781</v>
      </c>
      <c r="V43" s="92">
        <v>162.69099426269531</v>
      </c>
      <c r="W43" s="104">
        <v>8427700</v>
      </c>
      <c r="X43" s="92">
        <v>4620.64013671875</v>
      </c>
    </row>
    <row r="44" spans="6:24" ht="16.5">
      <c r="F44" s="86" t="s">
        <v>1051</v>
      </c>
      <c r="G44" s="92">
        <v>184.61</v>
      </c>
      <c r="H44" s="92">
        <v>177.1472</v>
      </c>
      <c r="I44" s="92">
        <v>6040.5298000000003</v>
      </c>
      <c r="J44" s="92">
        <v>82.493399999999994</v>
      </c>
      <c r="L44" s="86" t="s">
        <v>1051</v>
      </c>
      <c r="N44" s="128">
        <v>34.314126507500298</v>
      </c>
      <c r="O44" s="128">
        <v>9.752392267043831</v>
      </c>
      <c r="P44" s="98">
        <v>2.816748812527994E-2</v>
      </c>
      <c r="Q44" s="128">
        <v>24.66884288092578</v>
      </c>
      <c r="R44" s="128">
        <v>184.61000061035159</v>
      </c>
      <c r="T44" s="86" t="s">
        <v>1052</v>
      </c>
      <c r="U44" s="92">
        <v>184.24000549316409</v>
      </c>
      <c r="V44" s="92">
        <v>160.89202880859381</v>
      </c>
      <c r="W44" s="104">
        <v>4474300</v>
      </c>
      <c r="X44" s="92">
        <v>4568.02001953125</v>
      </c>
    </row>
    <row r="45" spans="6:24" ht="16.5">
      <c r="F45" s="86" t="s">
        <v>1053</v>
      </c>
      <c r="G45" s="92">
        <v>195.99</v>
      </c>
      <c r="H45" s="92">
        <v>188.06710000000001</v>
      </c>
      <c r="I45" s="92">
        <v>5954.5</v>
      </c>
      <c r="J45" s="92">
        <v>88.843900000000005</v>
      </c>
      <c r="L45" s="86" t="s">
        <v>1053</v>
      </c>
      <c r="N45" s="128">
        <v>37.690385671762321</v>
      </c>
      <c r="O45" s="128">
        <v>10.55529574554212</v>
      </c>
      <c r="P45" s="98">
        <v>2.6838103232684801E-2</v>
      </c>
      <c r="Q45" s="128">
        <v>26.44947138776687</v>
      </c>
      <c r="R45" s="128">
        <v>195.99000549316409</v>
      </c>
      <c r="T45" s="86" t="s">
        <v>1054</v>
      </c>
      <c r="U45" s="92">
        <v>186.3699951171875</v>
      </c>
      <c r="V45" s="92">
        <v>162.7520751953125</v>
      </c>
      <c r="W45" s="104">
        <v>6089400</v>
      </c>
      <c r="X45" s="92">
        <v>4649.22998046875</v>
      </c>
    </row>
    <row r="46" spans="6:24" ht="16.5">
      <c r="F46" s="86" t="s">
        <v>1055</v>
      </c>
      <c r="G46" s="92">
        <v>179.7</v>
      </c>
      <c r="H46" s="92">
        <v>172.4357</v>
      </c>
      <c r="I46" s="92">
        <v>5611.8500999999997</v>
      </c>
      <c r="J46" s="92">
        <v>86.433300000000003</v>
      </c>
      <c r="L46" s="86" t="s">
        <v>1055</v>
      </c>
      <c r="N46" s="128">
        <v>34.557691720815797</v>
      </c>
      <c r="O46" s="128">
        <v>9.6779762237818279</v>
      </c>
      <c r="P46" s="98">
        <v>2.927100773137466E-2</v>
      </c>
      <c r="Q46" s="128">
        <v>24.322792501159359</v>
      </c>
      <c r="R46" s="128">
        <v>179.69999694824219</v>
      </c>
      <c r="T46" s="86" t="s">
        <v>1056</v>
      </c>
      <c r="U46" s="92">
        <v>186.92999267578119</v>
      </c>
      <c r="V46" s="92">
        <v>163.2411193847656</v>
      </c>
      <c r="W46" s="104">
        <v>3375500</v>
      </c>
      <c r="X46" s="92">
        <v>4696.56005859375</v>
      </c>
    </row>
    <row r="47" spans="6:24" ht="16.5">
      <c r="F47" s="86" t="s">
        <v>1057</v>
      </c>
      <c r="G47" s="92">
        <v>160.05000000000001</v>
      </c>
      <c r="H47" s="92">
        <v>154.8903</v>
      </c>
      <c r="I47" s="92">
        <v>5569.0600999999997</v>
      </c>
      <c r="J47" s="92">
        <v>78.235200000000006</v>
      </c>
      <c r="L47" s="86" t="s">
        <v>1057</v>
      </c>
      <c r="N47" s="128">
        <v>30.31250057798443</v>
      </c>
      <c r="O47" s="128">
        <v>8.8626696950132118</v>
      </c>
      <c r="P47" s="98">
        <v>3.3239611987258687E-2</v>
      </c>
      <c r="Q47" s="128">
        <v>21.61714755485778</v>
      </c>
      <c r="R47" s="128">
        <v>160.05000305175781</v>
      </c>
      <c r="T47" s="86" t="s">
        <v>1058</v>
      </c>
      <c r="U47" s="92">
        <v>187.3999938964844</v>
      </c>
      <c r="V47" s="92">
        <v>163.6515808105469</v>
      </c>
      <c r="W47" s="104">
        <v>3266500</v>
      </c>
      <c r="X47" s="92">
        <v>4725.7900390625</v>
      </c>
    </row>
    <row r="48" spans="6:24" ht="16.5">
      <c r="F48" s="86" t="s">
        <v>1059</v>
      </c>
      <c r="G48" s="92">
        <v>182.85</v>
      </c>
      <c r="H48" s="92">
        <v>176.95519999999999</v>
      </c>
      <c r="I48" s="92">
        <v>5911.6899000000003</v>
      </c>
      <c r="J48" s="92">
        <v>84.1999</v>
      </c>
      <c r="L48" s="86" t="s">
        <v>1059</v>
      </c>
      <c r="N48" s="128">
        <v>34.63068297415068</v>
      </c>
      <c r="O48" s="128">
        <v>10.125205729003021</v>
      </c>
      <c r="P48" s="98">
        <v>2.909488554782013E-2</v>
      </c>
      <c r="Q48" s="128">
        <v>24.539021750602831</v>
      </c>
      <c r="R48" s="128">
        <v>182.8500061035156</v>
      </c>
      <c r="T48" s="86" t="s">
        <v>1060</v>
      </c>
      <c r="U48" s="92">
        <v>191.83999633789071</v>
      </c>
      <c r="V48" s="92">
        <v>167.5289001464844</v>
      </c>
      <c r="W48" s="104">
        <v>3405600</v>
      </c>
      <c r="X48" s="92">
        <v>4791.18994140625</v>
      </c>
    </row>
    <row r="49" spans="6:24" ht="16.5">
      <c r="F49" s="86" t="s">
        <v>1061</v>
      </c>
      <c r="G49" s="92">
        <v>207.62</v>
      </c>
      <c r="H49" s="92">
        <v>200.92670000000001</v>
      </c>
      <c r="I49" s="92">
        <v>6204.9502000000002</v>
      </c>
      <c r="J49" s="92">
        <v>91.087599999999995</v>
      </c>
      <c r="L49" s="86" t="s">
        <v>1061</v>
      </c>
      <c r="N49" s="128">
        <v>39.321968772194602</v>
      </c>
      <c r="O49" s="128">
        <v>11.496828514328969</v>
      </c>
      <c r="P49" s="98">
        <v>2.562373627355698E-2</v>
      </c>
      <c r="Q49" s="128">
        <v>27.713354296245051</v>
      </c>
      <c r="R49" s="128">
        <v>207.6199951171875</v>
      </c>
      <c r="T49" s="86" t="s">
        <v>1062</v>
      </c>
      <c r="U49" s="92">
        <v>191.1000061035156</v>
      </c>
      <c r="V49" s="92">
        <v>166.8826904296875</v>
      </c>
      <c r="W49" s="104">
        <v>2806900</v>
      </c>
      <c r="X49" s="92">
        <v>4786.35009765625</v>
      </c>
    </row>
    <row r="50" spans="6:24" ht="16.5">
      <c r="F50" s="86" t="s">
        <v>1063</v>
      </c>
      <c r="G50" s="92">
        <v>181.06</v>
      </c>
      <c r="H50" s="92">
        <v>176.48939999999999</v>
      </c>
      <c r="I50" s="92">
        <v>6339.3900999999996</v>
      </c>
      <c r="J50" s="92">
        <v>78.3125</v>
      </c>
      <c r="L50" s="86" t="s">
        <v>1063</v>
      </c>
      <c r="N50" s="128">
        <v>33.100547999742908</v>
      </c>
      <c r="O50" s="128">
        <v>10.035260232857819</v>
      </c>
      <c r="P50" s="98">
        <v>2.9713907392818512E-2</v>
      </c>
      <c r="Q50" s="128">
        <v>23.10256947067948</v>
      </c>
      <c r="R50" s="128">
        <v>181.05999755859369</v>
      </c>
      <c r="T50" s="86" t="s">
        <v>1064</v>
      </c>
      <c r="U50" s="92">
        <v>190.80999755859369</v>
      </c>
      <c r="V50" s="92">
        <v>166.62944030761719</v>
      </c>
      <c r="W50" s="104">
        <v>2754900</v>
      </c>
      <c r="X50" s="92">
        <v>4793.06005859375</v>
      </c>
    </row>
    <row r="51" spans="6:24" ht="16.5">
      <c r="F51" s="86" t="s">
        <v>1065</v>
      </c>
      <c r="G51" s="92">
        <v>202.48</v>
      </c>
      <c r="H51" s="92">
        <v>197.36869999999999</v>
      </c>
      <c r="I51" s="92">
        <v>6460.2597999999998</v>
      </c>
      <c r="J51" s="92">
        <v>85.938599999999994</v>
      </c>
      <c r="L51" s="86" t="s">
        <v>1065</v>
      </c>
      <c r="N51" s="128">
        <v>37.016452601012617</v>
      </c>
      <c r="O51" s="128">
        <v>11.222464798809179</v>
      </c>
      <c r="P51" s="98">
        <v>2.6570526044653969E-2</v>
      </c>
      <c r="Q51" s="128">
        <v>25.69871885013557</v>
      </c>
      <c r="R51" s="128">
        <v>202.47999572753901</v>
      </c>
      <c r="T51" s="86" t="s">
        <v>1066</v>
      </c>
      <c r="U51" s="92">
        <v>189.41000366210929</v>
      </c>
      <c r="V51" s="92">
        <v>165.4068908691406</v>
      </c>
      <c r="W51" s="104">
        <v>2109200</v>
      </c>
      <c r="X51" s="92">
        <v>4778.72998046875</v>
      </c>
    </row>
    <row r="52" spans="6:24" ht="16.5">
      <c r="F52" s="86" t="s">
        <v>1067</v>
      </c>
      <c r="G52" s="92">
        <v>183.73</v>
      </c>
      <c r="H52" s="92">
        <v>179.09200000000001</v>
      </c>
      <c r="I52" s="92">
        <v>6688.46</v>
      </c>
      <c r="J52" s="92">
        <v>75.319999999999993</v>
      </c>
      <c r="L52" s="86" t="s">
        <v>1067</v>
      </c>
      <c r="N52" s="128">
        <v>33.588664666826148</v>
      </c>
      <c r="O52" s="128">
        <v>10.183245026892459</v>
      </c>
      <c r="P52" s="98">
        <v>2.9282099412761262E-2</v>
      </c>
      <c r="Q52" s="128">
        <v>23.42617893295786</v>
      </c>
      <c r="R52" s="128">
        <v>183.72999572753901</v>
      </c>
      <c r="T52" s="86" t="s">
        <v>1068</v>
      </c>
      <c r="U52" s="92">
        <v>188.4700012207031</v>
      </c>
      <c r="V52" s="92">
        <v>164.58598327636719</v>
      </c>
      <c r="W52" s="104">
        <v>2813900</v>
      </c>
      <c r="X52" s="92">
        <v>4766.18017578125</v>
      </c>
    </row>
    <row r="53" spans="6:24" ht="16.5">
      <c r="F53" s="86" t="s">
        <v>278</v>
      </c>
      <c r="G53" s="92">
        <v>161.46</v>
      </c>
      <c r="H53" s="92">
        <v>158.78899999999999</v>
      </c>
      <c r="I53" s="92">
        <v>6840.2002000000002</v>
      </c>
      <c r="J53" s="92">
        <v>65.299800000000005</v>
      </c>
      <c r="L53" s="86" t="s">
        <v>278</v>
      </c>
      <c r="N53" s="128">
        <v>29.46350487479328</v>
      </c>
      <c r="O53" s="128">
        <v>8.8233763703358576</v>
      </c>
      <c r="P53" s="98">
        <v>3.3692554030674261E-2</v>
      </c>
      <c r="Q53" s="128">
        <v>20.140636834486571</v>
      </c>
      <c r="R53" s="128">
        <v>161.46000671386719</v>
      </c>
      <c r="T53" s="86" t="s">
        <v>1069</v>
      </c>
      <c r="U53" s="92">
        <v>190.6000061035156</v>
      </c>
      <c r="V53" s="92">
        <v>166.4460754394531</v>
      </c>
      <c r="W53" s="104">
        <v>3781500</v>
      </c>
      <c r="X53" s="92">
        <v>4796.56005859375</v>
      </c>
    </row>
    <row r="54" spans="6:24" ht="16.5">
      <c r="F54" s="86" t="s">
        <v>1070</v>
      </c>
      <c r="G54" s="92">
        <v>168.27</v>
      </c>
      <c r="H54" s="92">
        <v>165.4863</v>
      </c>
      <c r="I54" s="92">
        <v>6849.0897999999997</v>
      </c>
      <c r="J54" s="92">
        <v>67.965599999999995</v>
      </c>
      <c r="L54" s="86" t="s">
        <v>1070</v>
      </c>
      <c r="N54" s="128">
        <v>30.706205159208199</v>
      </c>
      <c r="O54" s="128">
        <v>9.1955253177035168</v>
      </c>
      <c r="P54" s="98">
        <v>3.2328994246601503E-2</v>
      </c>
      <c r="Q54" s="128">
        <v>20.941739960830709</v>
      </c>
      <c r="R54" s="128">
        <v>168.27000427246091</v>
      </c>
      <c r="T54" s="86" t="s">
        <v>1071</v>
      </c>
      <c r="U54" s="92">
        <v>190.80000305175781</v>
      </c>
      <c r="V54" s="92">
        <v>166.62071228027341</v>
      </c>
      <c r="W54" s="104">
        <v>4137500</v>
      </c>
      <c r="X54" s="92">
        <v>4793.5400390625</v>
      </c>
    </row>
    <row r="55" spans="6:24" ht="16.5">
      <c r="F55" s="86" t="s">
        <v>1072</v>
      </c>
      <c r="G55" s="92">
        <v>173.49</v>
      </c>
      <c r="H55" s="92">
        <v>170.62</v>
      </c>
      <c r="I55" s="92">
        <v>6845.5</v>
      </c>
      <c r="J55" s="92">
        <v>70.110799999999998</v>
      </c>
      <c r="L55" s="86" t="s">
        <v>1072</v>
      </c>
      <c r="N55" s="128">
        <v>31.658760126489788</v>
      </c>
      <c r="O55" s="128">
        <v>9.4807850322376463</v>
      </c>
      <c r="P55" s="98">
        <v>3.135627314401318E-2</v>
      </c>
      <c r="Q55" s="128">
        <v>21.555801751814521</v>
      </c>
      <c r="R55" s="128">
        <v>173.49000549316409</v>
      </c>
      <c r="T55" s="86" t="s">
        <v>1073</v>
      </c>
      <c r="U55" s="92">
        <v>186.82000732421881</v>
      </c>
      <c r="V55" s="92">
        <v>163.1451110839844</v>
      </c>
      <c r="W55" s="104">
        <v>5047400</v>
      </c>
      <c r="X55" s="92">
        <v>4700.580078125</v>
      </c>
    </row>
    <row r="56" spans="6:24" ht="16.5">
      <c r="F56" s="86" t="s">
        <v>1074</v>
      </c>
      <c r="G56" s="92">
        <v>215.55</v>
      </c>
      <c r="H56" s="92">
        <v>213.36789999999999</v>
      </c>
      <c r="I56" s="92">
        <v>6939.0298000000003</v>
      </c>
      <c r="J56" s="92">
        <v>86.494900000000001</v>
      </c>
      <c r="L56" s="86" t="s">
        <v>1074</v>
      </c>
      <c r="N56" s="128">
        <v>39.333942162729528</v>
      </c>
      <c r="O56" s="128">
        <v>11.77925631406131</v>
      </c>
      <c r="P56" s="98">
        <v>2.5237763502576931E-2</v>
      </c>
      <c r="Q56" s="128">
        <v>26.503585542969631</v>
      </c>
      <c r="R56" s="128">
        <v>215.55000305175781</v>
      </c>
      <c r="T56" s="86" t="s">
        <v>1075</v>
      </c>
      <c r="U56" s="92">
        <v>186.75999450683599</v>
      </c>
      <c r="V56" s="92">
        <v>163.09266662597659</v>
      </c>
      <c r="W56" s="104">
        <v>4502600</v>
      </c>
      <c r="X56" s="92">
        <v>4696.0498046875</v>
      </c>
    </row>
    <row r="57" spans="6:24" ht="16.5">
      <c r="F57" s="86" t="s">
        <v>281</v>
      </c>
      <c r="G57" s="92">
        <v>212.11</v>
      </c>
      <c r="H57" s="92">
        <v>209.96270000000001</v>
      </c>
      <c r="I57" s="92">
        <v>6878.8798999999999</v>
      </c>
      <c r="J57" s="92">
        <v>85.858699999999999</v>
      </c>
      <c r="L57" s="86" t="s">
        <v>281</v>
      </c>
      <c r="N57" s="128">
        <v>38.990808935726392</v>
      </c>
      <c r="O57" s="128">
        <v>11.829447257854429</v>
      </c>
      <c r="P57" s="98">
        <v>2.5929941936606561E-2</v>
      </c>
      <c r="Q57" s="128">
        <v>25.39574300806763</v>
      </c>
      <c r="R57" s="128">
        <v>212.11000061035159</v>
      </c>
      <c r="T57" s="86" t="s">
        <v>1076</v>
      </c>
      <c r="U57" s="92">
        <v>179.44000244140619</v>
      </c>
      <c r="V57" s="92">
        <v>156.70033264160159</v>
      </c>
      <c r="W57" s="104">
        <v>7414200</v>
      </c>
      <c r="X57" s="92">
        <v>4677.02978515625</v>
      </c>
    </row>
    <row r="58" spans="6:24" ht="16.5">
      <c r="F58" s="86" t="s">
        <v>1077</v>
      </c>
      <c r="G58" s="92">
        <v>194.14</v>
      </c>
      <c r="H58" s="92">
        <v>192.1746</v>
      </c>
      <c r="I58" s="92">
        <v>6528.52</v>
      </c>
      <c r="J58" s="92">
        <v>82.802099999999996</v>
      </c>
      <c r="L58" s="86" t="s">
        <v>1077</v>
      </c>
      <c r="N58" s="128">
        <v>35.687499887803021</v>
      </c>
      <c r="O58" s="128">
        <v>10.82725414554384</v>
      </c>
      <c r="P58" s="98">
        <v>2.8330071171789959E-2</v>
      </c>
      <c r="Q58" s="128">
        <v>23.342010667477009</v>
      </c>
      <c r="R58" s="128">
        <v>194.13999938964841</v>
      </c>
      <c r="T58" s="86" t="s">
        <v>1078</v>
      </c>
      <c r="U58" s="92">
        <v>182.96000671386719</v>
      </c>
      <c r="V58" s="92">
        <v>159.77424621582031</v>
      </c>
      <c r="W58" s="104">
        <v>7195800</v>
      </c>
      <c r="X58" s="92">
        <v>4670.2900390625</v>
      </c>
    </row>
    <row r="59" spans="6:24" ht="16.5">
      <c r="F59" s="86" t="s">
        <v>284</v>
      </c>
      <c r="G59" s="92">
        <v>281.08</v>
      </c>
      <c r="H59" s="92">
        <v>278.23439999999999</v>
      </c>
      <c r="I59" s="92">
        <v>7209.0097999999998</v>
      </c>
      <c r="J59" s="92">
        <v>108.5664</v>
      </c>
      <c r="L59" s="86" t="s">
        <v>284</v>
      </c>
      <c r="N59" s="128">
        <v>48.130134687031777</v>
      </c>
      <c r="O59" s="128">
        <v>15.246684317188921</v>
      </c>
      <c r="P59" s="98">
        <v>1.978084625591273E-2</v>
      </c>
      <c r="Q59" s="128">
        <v>30.994599563778479</v>
      </c>
      <c r="R59" s="128">
        <v>281.07998657226563</v>
      </c>
      <c r="T59" s="86" t="s">
        <v>1079</v>
      </c>
      <c r="U59" s="92">
        <v>184.63999938964841</v>
      </c>
      <c r="V59" s="92">
        <v>161.2413330078125</v>
      </c>
      <c r="W59" s="104">
        <v>5239300</v>
      </c>
      <c r="X59" s="92">
        <v>4713.06982421875</v>
      </c>
    </row>
    <row r="60" spans="6:24" ht="16.5">
      <c r="F60" s="86" t="s">
        <v>1080</v>
      </c>
      <c r="G60" s="92">
        <v>305.68</v>
      </c>
      <c r="H60" s="92">
        <v>304.12290000000002</v>
      </c>
      <c r="I60" s="92">
        <v>7580.0600999999997</v>
      </c>
      <c r="J60" s="92">
        <v>112.8591</v>
      </c>
      <c r="L60" s="86" t="s">
        <v>1080</v>
      </c>
      <c r="N60" s="128">
        <v>52.342464499277611</v>
      </c>
      <c r="O60" s="128">
        <v>16.581067927474152</v>
      </c>
      <c r="P60" s="98">
        <v>1.8188956206555529E-2</v>
      </c>
      <c r="Q60" s="128">
        <v>33.615565170587843</v>
      </c>
      <c r="R60" s="128">
        <v>305.67999267578119</v>
      </c>
      <c r="T60" s="86" t="s">
        <v>1081</v>
      </c>
      <c r="U60" s="92">
        <v>186.0299987792969</v>
      </c>
      <c r="V60" s="92">
        <v>162.4552001953125</v>
      </c>
      <c r="W60" s="104">
        <v>4240100</v>
      </c>
      <c r="X60" s="92">
        <v>4726.35009765625</v>
      </c>
    </row>
    <row r="61" spans="6:24" ht="16.5">
      <c r="F61" s="86" t="s">
        <v>1082</v>
      </c>
      <c r="G61" s="92">
        <v>298.07</v>
      </c>
      <c r="H61" s="92">
        <v>296.55160000000001</v>
      </c>
      <c r="I61" s="92">
        <v>7499.3599000000004</v>
      </c>
      <c r="J61" s="92">
        <v>111.2336</v>
      </c>
      <c r="L61" s="86" t="s">
        <v>1082</v>
      </c>
      <c r="N61" s="128">
        <v>51.039384815790882</v>
      </c>
      <c r="O61" s="128">
        <v>16.168277797060959</v>
      </c>
      <c r="P61" s="98">
        <v>1.865333600623641E-2</v>
      </c>
      <c r="Q61" s="128">
        <v>32.804772287413797</v>
      </c>
      <c r="R61" s="128">
        <v>298.07000732421881</v>
      </c>
      <c r="T61" s="86" t="s">
        <v>1083</v>
      </c>
      <c r="U61" s="92">
        <v>184.1499938964844</v>
      </c>
      <c r="V61" s="92">
        <v>160.8134460449219</v>
      </c>
      <c r="W61" s="104">
        <v>5361100</v>
      </c>
      <c r="X61" s="92">
        <v>4659.02978515625</v>
      </c>
    </row>
    <row r="62" spans="6:24" ht="16.5">
      <c r="F62" s="86" t="s">
        <v>1084</v>
      </c>
      <c r="G62" s="92">
        <v>275.74</v>
      </c>
      <c r="H62" s="92">
        <v>275.74</v>
      </c>
      <c r="I62" s="92">
        <v>7489.7201999999997</v>
      </c>
      <c r="J62" s="92">
        <v>103.5605</v>
      </c>
      <c r="L62" s="86" t="s">
        <v>1084</v>
      </c>
      <c r="N62" s="128">
        <v>41.969557113299082</v>
      </c>
      <c r="O62" s="128">
        <v>13.984500917376881</v>
      </c>
      <c r="P62" s="98">
        <v>2.038151954391193E-2</v>
      </c>
      <c r="Q62" s="128">
        <v>27.609845138567149</v>
      </c>
      <c r="R62" s="128">
        <v>275.739990234375</v>
      </c>
      <c r="T62" s="86" t="s">
        <v>1085</v>
      </c>
      <c r="U62" s="92">
        <v>187.00999450683599</v>
      </c>
      <c r="V62" s="92">
        <v>163.31101989746091</v>
      </c>
      <c r="W62" s="104">
        <v>4731400</v>
      </c>
      <c r="X62" s="92">
        <v>4662.85009765625</v>
      </c>
    </row>
    <row r="63" spans="6:24" ht="16.5">
      <c r="F63" s="86" t="s">
        <v>287</v>
      </c>
      <c r="G63" s="92">
        <v>260.91000000000003</v>
      </c>
      <c r="H63" s="92">
        <v>260.91000000000003</v>
      </c>
      <c r="I63" s="92">
        <v>7686.1400999999996</v>
      </c>
      <c r="J63" s="92">
        <v>95.486599999999996</v>
      </c>
      <c r="L63" s="86" t="s">
        <v>287</v>
      </c>
      <c r="N63" s="128">
        <v>39.712329324521967</v>
      </c>
      <c r="O63" s="128">
        <v>13.23237946902165</v>
      </c>
      <c r="P63" s="98">
        <v>2.1539994331831611E-2</v>
      </c>
      <c r="Q63" s="128">
        <v>26.165364451650269</v>
      </c>
      <c r="R63" s="128">
        <v>260.91000366210938</v>
      </c>
      <c r="T63" s="86" t="s">
        <v>1086</v>
      </c>
      <c r="U63" s="92">
        <v>182.2799987792969</v>
      </c>
      <c r="V63" s="92">
        <v>159.18046569824219</v>
      </c>
      <c r="W63" s="104">
        <v>7382800</v>
      </c>
      <c r="X63" s="92">
        <v>4577.10986328125</v>
      </c>
    </row>
    <row r="64" spans="6:24" ht="16.5">
      <c r="F64" s="86" t="s">
        <v>1087</v>
      </c>
      <c r="G64" s="92">
        <v>280.08999999999997</v>
      </c>
      <c r="H64" s="92">
        <v>280.08999999999997</v>
      </c>
      <c r="I64" s="92">
        <v>7651.54</v>
      </c>
      <c r="J64" s="92">
        <v>102.9695</v>
      </c>
      <c r="L64" s="86" t="s">
        <v>1087</v>
      </c>
      <c r="N64" s="128">
        <v>42.631658498917901</v>
      </c>
      <c r="O64" s="128">
        <v>14.205116956035271</v>
      </c>
      <c r="P64" s="98">
        <v>2.0064979376201039E-2</v>
      </c>
      <c r="Q64" s="128">
        <v>28.033547464518669</v>
      </c>
      <c r="R64" s="128">
        <v>280.08999633789063</v>
      </c>
      <c r="T64" s="86" t="s">
        <v>1088</v>
      </c>
      <c r="U64" s="92">
        <v>178.30000305175781</v>
      </c>
      <c r="V64" s="92">
        <v>155.70478820800781</v>
      </c>
      <c r="W64" s="104">
        <v>5207300</v>
      </c>
      <c r="X64" s="92">
        <v>4532.759765625</v>
      </c>
    </row>
    <row r="65" spans="6:24" ht="16.5">
      <c r="F65" s="101" t="s">
        <v>1089</v>
      </c>
      <c r="G65" s="130">
        <v>279.5</v>
      </c>
      <c r="H65" s="130">
        <v>279.5</v>
      </c>
      <c r="I65" s="130">
        <v>7663.4301999999998</v>
      </c>
      <c r="J65" s="130">
        <v>102.5932</v>
      </c>
      <c r="L65" s="101" t="s">
        <v>1089</v>
      </c>
      <c r="M65" s="21"/>
      <c r="N65" s="129">
        <v>36.251621271076523</v>
      </c>
      <c r="O65" s="129">
        <v>13.30480730972114</v>
      </c>
      <c r="P65" s="131">
        <v>2.0322003577817532E-2</v>
      </c>
      <c r="Q65" s="129">
        <v>24.48715154880226</v>
      </c>
      <c r="R65" s="129">
        <v>279.5</v>
      </c>
      <c r="T65" s="86" t="s">
        <v>1090</v>
      </c>
      <c r="U65" s="92">
        <v>173.44999694824219</v>
      </c>
      <c r="V65" s="92">
        <v>151.46940612792969</v>
      </c>
      <c r="W65" s="104">
        <v>6057800</v>
      </c>
      <c r="X65" s="92">
        <v>4482.72998046875</v>
      </c>
    </row>
    <row r="66" spans="6:24" ht="16.5">
      <c r="T66" s="86" t="s">
        <v>1091</v>
      </c>
      <c r="U66" s="92">
        <v>175.63999938964841</v>
      </c>
      <c r="V66" s="92">
        <v>153.3818664550781</v>
      </c>
      <c r="W66" s="104">
        <v>11527900</v>
      </c>
      <c r="X66" s="92">
        <v>4397.93994140625</v>
      </c>
    </row>
    <row r="67" spans="6:24" ht="16.5">
      <c r="T67" s="86" t="s">
        <v>1092</v>
      </c>
      <c r="U67" s="92">
        <v>178.3399963378906</v>
      </c>
      <c r="V67" s="92">
        <v>155.7397155761719</v>
      </c>
      <c r="W67" s="104">
        <v>11717600</v>
      </c>
      <c r="X67" s="92">
        <v>4410.1298828125</v>
      </c>
    </row>
    <row r="68" spans="6:24" ht="16.5">
      <c r="T68" s="86" t="s">
        <v>1093</v>
      </c>
      <c r="U68" s="92">
        <v>173.96000671386719</v>
      </c>
      <c r="V68" s="92">
        <v>151.91477966308591</v>
      </c>
      <c r="W68" s="104">
        <v>8157600</v>
      </c>
      <c r="X68" s="92">
        <v>4356.4501953125</v>
      </c>
    </row>
    <row r="69" spans="6:24" ht="16.5">
      <c r="T69" s="86" t="s">
        <v>1094</v>
      </c>
      <c r="U69" s="92">
        <v>178.33000183105469</v>
      </c>
      <c r="V69" s="92">
        <v>155.73097229003909</v>
      </c>
      <c r="W69" s="104">
        <v>12852700</v>
      </c>
      <c r="X69" s="92">
        <v>4349.93017578125</v>
      </c>
    </row>
    <row r="70" spans="6:24" ht="16.5">
      <c r="T70" s="86" t="s">
        <v>1095</v>
      </c>
      <c r="U70" s="92">
        <v>174.80999755859381</v>
      </c>
      <c r="V70" s="92">
        <v>152.65705871582031</v>
      </c>
      <c r="W70" s="104">
        <v>6752900</v>
      </c>
      <c r="X70" s="92">
        <v>4326.509765625</v>
      </c>
    </row>
    <row r="71" spans="6:24" ht="16.5">
      <c r="T71" s="86" t="s">
        <v>1096</v>
      </c>
      <c r="U71" s="92">
        <v>177.28999328613281</v>
      </c>
      <c r="V71" s="92">
        <v>155.8480224609375</v>
      </c>
      <c r="W71" s="104">
        <v>7322100</v>
      </c>
      <c r="X71" s="92">
        <v>4431.85009765625</v>
      </c>
    </row>
    <row r="72" spans="6:24" ht="16.5">
      <c r="T72" s="86" t="s">
        <v>1097</v>
      </c>
      <c r="U72" s="92">
        <v>179.49000549316409</v>
      </c>
      <c r="V72" s="92">
        <v>157.781982421875</v>
      </c>
      <c r="W72" s="104">
        <v>6980800</v>
      </c>
      <c r="X72" s="92">
        <v>4515.5498046875</v>
      </c>
    </row>
    <row r="73" spans="6:24" ht="16.5">
      <c r="T73" s="86" t="s">
        <v>1098</v>
      </c>
      <c r="U73" s="92">
        <v>181.28999328613281</v>
      </c>
      <c r="V73" s="92">
        <v>159.3642578125</v>
      </c>
      <c r="W73" s="104">
        <v>6233700</v>
      </c>
      <c r="X73" s="92">
        <v>4546.5400390625</v>
      </c>
    </row>
    <row r="74" spans="6:24" ht="16.5">
      <c r="T74" s="86" t="s">
        <v>1099</v>
      </c>
      <c r="U74" s="92">
        <v>187.83999633789071</v>
      </c>
      <c r="V74" s="92">
        <v>165.12205505371091</v>
      </c>
      <c r="W74" s="104">
        <v>8993800</v>
      </c>
      <c r="X74" s="92">
        <v>4589.3798828125</v>
      </c>
    </row>
    <row r="75" spans="6:24" ht="16.5">
      <c r="T75" s="86" t="s">
        <v>1100</v>
      </c>
      <c r="U75" s="92">
        <v>175.5899963378906</v>
      </c>
      <c r="V75" s="92">
        <v>154.3536071777344</v>
      </c>
      <c r="W75" s="104">
        <v>11691400</v>
      </c>
      <c r="X75" s="92">
        <v>4477.43994140625</v>
      </c>
    </row>
    <row r="76" spans="6:24" ht="16.5">
      <c r="T76" s="86" t="s">
        <v>1101</v>
      </c>
      <c r="U76" s="92">
        <v>171.41999816894531</v>
      </c>
      <c r="V76" s="92">
        <v>150.6879577636719</v>
      </c>
      <c r="W76" s="104">
        <v>11408600</v>
      </c>
      <c r="X76" s="92">
        <v>4500.52978515625</v>
      </c>
    </row>
    <row r="77" spans="6:24" ht="16.5">
      <c r="T77" s="86" t="s">
        <v>1102</v>
      </c>
      <c r="U77" s="92">
        <v>169.94999694824219</v>
      </c>
      <c r="V77" s="92">
        <v>149.39576721191409</v>
      </c>
      <c r="W77" s="104">
        <v>6418900</v>
      </c>
      <c r="X77" s="92">
        <v>4483.8701171875</v>
      </c>
    </row>
    <row r="78" spans="6:24" ht="16.5">
      <c r="T78" s="86" t="s">
        <v>1103</v>
      </c>
      <c r="U78" s="92">
        <v>172.6300048828125</v>
      </c>
      <c r="V78" s="92">
        <v>151.75163269042969</v>
      </c>
      <c r="W78" s="104">
        <v>4622000</v>
      </c>
      <c r="X78" s="92">
        <v>4521.5400390625</v>
      </c>
    </row>
    <row r="79" spans="6:24" ht="16.5">
      <c r="T79" s="86" t="s">
        <v>1104</v>
      </c>
      <c r="U79" s="92">
        <v>176.71000671386719</v>
      </c>
      <c r="V79" s="92">
        <v>155.33821105957031</v>
      </c>
      <c r="W79" s="104">
        <v>7140600</v>
      </c>
      <c r="X79" s="92">
        <v>4587.18017578125</v>
      </c>
    </row>
    <row r="80" spans="6:24" ht="16.5">
      <c r="T80" s="86" t="s">
        <v>1105</v>
      </c>
      <c r="U80" s="92">
        <v>170.6600036621094</v>
      </c>
      <c r="V80" s="92">
        <v>150.0198669433594</v>
      </c>
      <c r="W80" s="104">
        <v>7583400</v>
      </c>
      <c r="X80" s="92">
        <v>4504.080078125</v>
      </c>
    </row>
    <row r="81" spans="20:24" ht="16.5">
      <c r="T81" s="86" t="s">
        <v>1106</v>
      </c>
      <c r="U81" s="92">
        <v>164.3999938964844</v>
      </c>
      <c r="V81" s="92">
        <v>144.5169982910156</v>
      </c>
      <c r="W81" s="104">
        <v>7564200</v>
      </c>
      <c r="X81" s="92">
        <v>4418.64013671875</v>
      </c>
    </row>
    <row r="82" spans="20:24" ht="16.5">
      <c r="T82" s="86" t="s">
        <v>1107</v>
      </c>
      <c r="U82" s="92">
        <v>162.4700012207031</v>
      </c>
      <c r="V82" s="92">
        <v>142.82038879394531</v>
      </c>
      <c r="W82" s="104">
        <v>7468000</v>
      </c>
      <c r="X82" s="92">
        <v>4401.669921875</v>
      </c>
    </row>
    <row r="83" spans="20:24" ht="16.5">
      <c r="T83" s="86" t="s">
        <v>1108</v>
      </c>
      <c r="U83" s="92">
        <v>166.16999816894531</v>
      </c>
      <c r="V83" s="92">
        <v>146.0729064941406</v>
      </c>
      <c r="W83" s="104">
        <v>6969700</v>
      </c>
      <c r="X83" s="92">
        <v>4471.06982421875</v>
      </c>
    </row>
    <row r="84" spans="20:24" ht="16.5">
      <c r="T84" s="86" t="s">
        <v>1109</v>
      </c>
      <c r="U84" s="92">
        <v>168.24000549316409</v>
      </c>
      <c r="V84" s="92">
        <v>147.892578125</v>
      </c>
      <c r="W84" s="104">
        <v>4594300</v>
      </c>
      <c r="X84" s="92">
        <v>4475.009765625</v>
      </c>
    </row>
    <row r="85" spans="20:24" ht="16.5">
      <c r="T85" s="86" t="s">
        <v>1110</v>
      </c>
      <c r="U85" s="92">
        <v>164.6499938964844</v>
      </c>
      <c r="V85" s="92">
        <v>144.7367248535156</v>
      </c>
      <c r="W85" s="104">
        <v>6807700</v>
      </c>
      <c r="X85" s="92">
        <v>4380.259765625</v>
      </c>
    </row>
    <row r="86" spans="20:24" ht="16.5">
      <c r="T86" s="86" t="s">
        <v>1111</v>
      </c>
      <c r="U86" s="92">
        <v>166.74000549316409</v>
      </c>
      <c r="V86" s="92">
        <v>146.57398986816409</v>
      </c>
      <c r="W86" s="104">
        <v>6359100</v>
      </c>
      <c r="X86" s="92">
        <v>4348.8701171875</v>
      </c>
    </row>
    <row r="87" spans="20:24" ht="16.5">
      <c r="T87" s="86" t="s">
        <v>1112</v>
      </c>
      <c r="U87" s="92">
        <v>166.69000244140619</v>
      </c>
      <c r="V87" s="92">
        <v>146.53004455566409</v>
      </c>
      <c r="W87" s="104">
        <v>7293800</v>
      </c>
      <c r="X87" s="92">
        <v>4304.759765625</v>
      </c>
    </row>
    <row r="88" spans="20:24" ht="16.5">
      <c r="T88" s="86" t="s">
        <v>1113</v>
      </c>
      <c r="U88" s="92">
        <v>165.63999938964841</v>
      </c>
      <c r="V88" s="92">
        <v>145.6070251464844</v>
      </c>
      <c r="W88" s="104">
        <v>5893900</v>
      </c>
      <c r="X88" s="92">
        <v>4225.5</v>
      </c>
    </row>
    <row r="89" spans="20:24" ht="16.5">
      <c r="T89" s="86" t="s">
        <v>1114</v>
      </c>
      <c r="U89" s="92">
        <v>169.5899963378906</v>
      </c>
      <c r="V89" s="92">
        <v>149.07929992675781</v>
      </c>
      <c r="W89" s="104">
        <v>7754800</v>
      </c>
      <c r="X89" s="92">
        <v>4288.7001953125</v>
      </c>
    </row>
    <row r="90" spans="20:24" ht="16.5">
      <c r="T90" s="86" t="s">
        <v>1115</v>
      </c>
      <c r="U90" s="92">
        <v>170.82000732421881</v>
      </c>
      <c r="V90" s="92">
        <v>150.16053771972659</v>
      </c>
      <c r="W90" s="104">
        <v>4830100</v>
      </c>
      <c r="X90" s="92">
        <v>4384.64990234375</v>
      </c>
    </row>
    <row r="91" spans="20:24" ht="16.5">
      <c r="T91" s="86" t="s">
        <v>1116</v>
      </c>
      <c r="U91" s="92">
        <v>169.99000549316409</v>
      </c>
      <c r="V91" s="92">
        <v>149.4309387207031</v>
      </c>
      <c r="W91" s="104">
        <v>5656600</v>
      </c>
      <c r="X91" s="92">
        <v>4373.93994140625</v>
      </c>
    </row>
    <row r="92" spans="20:24" ht="16.5">
      <c r="T92" s="86" t="s">
        <v>1117</v>
      </c>
      <c r="U92" s="92">
        <v>167.28999328613281</v>
      </c>
      <c r="V92" s="92">
        <v>147.0574645996094</v>
      </c>
      <c r="W92" s="104">
        <v>6049600</v>
      </c>
      <c r="X92" s="92">
        <v>4306.259765625</v>
      </c>
    </row>
    <row r="93" spans="20:24" ht="16.5">
      <c r="T93" s="86" t="s">
        <v>1118</v>
      </c>
      <c r="U93" s="92">
        <v>170.1000061035156</v>
      </c>
      <c r="V93" s="92">
        <v>149.52760314941409</v>
      </c>
      <c r="W93" s="104">
        <v>5304100</v>
      </c>
      <c r="X93" s="92">
        <v>4386.5400390625</v>
      </c>
    </row>
    <row r="94" spans="20:24" ht="16.5">
      <c r="T94" s="86" t="s">
        <v>1119</v>
      </c>
      <c r="U94" s="92">
        <v>171</v>
      </c>
      <c r="V94" s="92">
        <v>150.31874084472659</v>
      </c>
      <c r="W94" s="104">
        <v>5154200</v>
      </c>
      <c r="X94" s="92">
        <v>4363.490234375</v>
      </c>
    </row>
    <row r="95" spans="20:24" ht="16.5">
      <c r="T95" s="86" t="s">
        <v>1120</v>
      </c>
      <c r="U95" s="92">
        <v>169.97999572753909</v>
      </c>
      <c r="V95" s="92">
        <v>149.42213439941409</v>
      </c>
      <c r="W95" s="104">
        <v>6804700</v>
      </c>
      <c r="X95" s="92">
        <v>4328.8701171875</v>
      </c>
    </row>
    <row r="96" spans="20:24" ht="16.5">
      <c r="T96" s="86" t="s">
        <v>1121</v>
      </c>
      <c r="U96" s="92">
        <v>164.88999938964841</v>
      </c>
      <c r="V96" s="92">
        <v>144.9477233886719</v>
      </c>
      <c r="W96" s="104">
        <v>7064800</v>
      </c>
      <c r="X96" s="92">
        <v>4201.08984375</v>
      </c>
    </row>
    <row r="97" spans="20:24" ht="16.5">
      <c r="T97" s="86" t="s">
        <v>1122</v>
      </c>
      <c r="U97" s="92">
        <v>167.3399963378906</v>
      </c>
      <c r="V97" s="92">
        <v>147.1014099121094</v>
      </c>
      <c r="W97" s="104">
        <v>7486500</v>
      </c>
      <c r="X97" s="92">
        <v>4170.7001953125</v>
      </c>
    </row>
    <row r="98" spans="20:24" ht="16.5">
      <c r="T98" s="86" t="s">
        <v>1123</v>
      </c>
      <c r="U98" s="92">
        <v>172.46000671386719</v>
      </c>
      <c r="V98" s="92">
        <v>151.60218811035159</v>
      </c>
      <c r="W98" s="104">
        <v>6047300</v>
      </c>
      <c r="X98" s="92">
        <v>4277.8798828125</v>
      </c>
    </row>
    <row r="99" spans="20:24" ht="16.5">
      <c r="T99" s="86" t="s">
        <v>1124</v>
      </c>
      <c r="U99" s="92">
        <v>172.75</v>
      </c>
      <c r="V99" s="92">
        <v>151.85713195800781</v>
      </c>
      <c r="W99" s="104">
        <v>6079100</v>
      </c>
      <c r="X99" s="92">
        <v>4259.52001953125</v>
      </c>
    </row>
    <row r="100" spans="20:24" ht="16.5">
      <c r="T100" s="86" t="s">
        <v>1125</v>
      </c>
      <c r="U100" s="92">
        <v>170.36000061035159</v>
      </c>
      <c r="V100" s="92">
        <v>149.7561950683594</v>
      </c>
      <c r="W100" s="104">
        <v>4869700</v>
      </c>
      <c r="X100" s="92">
        <v>4204.31005859375</v>
      </c>
    </row>
    <row r="101" spans="20:24" ht="16.5">
      <c r="T101" s="86" t="s">
        <v>1126</v>
      </c>
      <c r="U101" s="92">
        <v>166.7200012207031</v>
      </c>
      <c r="V101" s="92">
        <v>146.5564270019531</v>
      </c>
      <c r="W101" s="104">
        <v>4863200</v>
      </c>
      <c r="X101" s="92">
        <v>4173.10986328125</v>
      </c>
    </row>
    <row r="102" spans="20:24" ht="16.5">
      <c r="T102" s="86" t="s">
        <v>1127</v>
      </c>
      <c r="U102" s="92">
        <v>172.32000732421881</v>
      </c>
      <c r="V102" s="92">
        <v>151.47911071777341</v>
      </c>
      <c r="W102" s="104">
        <v>5138600</v>
      </c>
      <c r="X102" s="92">
        <v>4262.4501953125</v>
      </c>
    </row>
    <row r="103" spans="20:24" ht="16.5">
      <c r="T103" s="86" t="s">
        <v>1128</v>
      </c>
      <c r="U103" s="92">
        <v>176.33000183105469</v>
      </c>
      <c r="V103" s="92">
        <v>155.004150390625</v>
      </c>
      <c r="W103" s="104">
        <v>5660400</v>
      </c>
      <c r="X103" s="92">
        <v>4357.85986328125</v>
      </c>
    </row>
    <row r="104" spans="20:24" ht="16.5">
      <c r="T104" s="86" t="s">
        <v>1129</v>
      </c>
      <c r="U104" s="92">
        <v>178.4700012207031</v>
      </c>
      <c r="V104" s="92">
        <v>156.88531494140619</v>
      </c>
      <c r="W104" s="104">
        <v>4930700</v>
      </c>
      <c r="X104" s="92">
        <v>4411.669921875</v>
      </c>
    </row>
    <row r="105" spans="20:24" ht="16.5">
      <c r="T105" s="86" t="s">
        <v>1130</v>
      </c>
      <c r="U105" s="92">
        <v>180.1000061035156</v>
      </c>
      <c r="V105" s="92">
        <v>158.3182067871094</v>
      </c>
      <c r="W105" s="104">
        <v>9031500</v>
      </c>
      <c r="X105" s="92">
        <v>4463.1201171875</v>
      </c>
    </row>
    <row r="106" spans="20:24" ht="16.5">
      <c r="T106" s="86" t="s">
        <v>1131</v>
      </c>
      <c r="U106" s="92">
        <v>180.46000671386719</v>
      </c>
      <c r="V106" s="92">
        <v>158.6346435546875</v>
      </c>
      <c r="W106" s="104">
        <v>5030600</v>
      </c>
      <c r="X106" s="92">
        <v>4461.18017578125</v>
      </c>
    </row>
    <row r="107" spans="20:24" ht="16.5">
      <c r="T107" s="86" t="s">
        <v>1132</v>
      </c>
      <c r="U107" s="92">
        <v>182.3500061035156</v>
      </c>
      <c r="V107" s="92">
        <v>160.2960510253906</v>
      </c>
      <c r="W107" s="104">
        <v>3802900</v>
      </c>
      <c r="X107" s="92">
        <v>4511.60986328125</v>
      </c>
    </row>
    <row r="108" spans="20:24" ht="16.5">
      <c r="T108" s="86" t="s">
        <v>1133</v>
      </c>
      <c r="U108" s="92">
        <v>179.08000183105469</v>
      </c>
      <c r="V108" s="92">
        <v>157.42156982421881</v>
      </c>
      <c r="W108" s="104">
        <v>4821100</v>
      </c>
      <c r="X108" s="92">
        <v>4456.240234375</v>
      </c>
    </row>
    <row r="109" spans="20:24" ht="16.5">
      <c r="T109" s="86" t="s">
        <v>1134</v>
      </c>
      <c r="U109" s="92">
        <v>184.21000671386719</v>
      </c>
      <c r="V109" s="92">
        <v>161.93110656738281</v>
      </c>
      <c r="W109" s="104">
        <v>4169400</v>
      </c>
      <c r="X109" s="92">
        <v>4520.16015625</v>
      </c>
    </row>
    <row r="110" spans="20:24" ht="16.5">
      <c r="T110" s="86" t="s">
        <v>1135</v>
      </c>
      <c r="U110" s="92">
        <v>184.8999938964844</v>
      </c>
      <c r="V110" s="92">
        <v>162.5376281738281</v>
      </c>
      <c r="W110" s="104">
        <v>3738800</v>
      </c>
      <c r="X110" s="92">
        <v>4543.06005859375</v>
      </c>
    </row>
    <row r="111" spans="20:24" ht="16.5">
      <c r="T111" s="86" t="s">
        <v>1136</v>
      </c>
      <c r="U111" s="92">
        <v>185.67999267578119</v>
      </c>
      <c r="V111" s="92">
        <v>163.22332763671881</v>
      </c>
      <c r="W111" s="104">
        <v>3117000</v>
      </c>
      <c r="X111" s="92">
        <v>4575.52001953125</v>
      </c>
    </row>
    <row r="112" spans="20:24" ht="16.5">
      <c r="T112" s="86" t="s">
        <v>1137</v>
      </c>
      <c r="U112" s="92">
        <v>191.00999450683599</v>
      </c>
      <c r="V112" s="92">
        <v>167.90869140625</v>
      </c>
      <c r="W112" s="104">
        <v>5835700</v>
      </c>
      <c r="X112" s="92">
        <v>4631.60009765625</v>
      </c>
    </row>
    <row r="113" spans="20:24" ht="16.5">
      <c r="T113" s="86" t="s">
        <v>1138</v>
      </c>
      <c r="U113" s="92">
        <v>187.44999694824219</v>
      </c>
      <c r="V113" s="92">
        <v>164.77922058105469</v>
      </c>
      <c r="W113" s="104">
        <v>3865700</v>
      </c>
      <c r="X113" s="92">
        <v>4602.4501953125</v>
      </c>
    </row>
    <row r="114" spans="20:24" ht="16.5">
      <c r="T114" s="86" t="s">
        <v>1139</v>
      </c>
      <c r="U114" s="92">
        <v>183.47999572753901</v>
      </c>
      <c r="V114" s="92">
        <v>161.28938293457031</v>
      </c>
      <c r="W114" s="104">
        <v>7170700</v>
      </c>
      <c r="X114" s="92">
        <v>4530.41015625</v>
      </c>
    </row>
    <row r="115" spans="20:24" ht="16.5">
      <c r="T115" s="86" t="s">
        <v>1140</v>
      </c>
      <c r="U115" s="92">
        <v>182.08000183105469</v>
      </c>
      <c r="V115" s="92">
        <v>160.0587158203125</v>
      </c>
      <c r="W115" s="104">
        <v>4631700</v>
      </c>
      <c r="X115" s="92">
        <v>4545.85986328125</v>
      </c>
    </row>
    <row r="116" spans="20:24" ht="16.5">
      <c r="T116" s="86" t="s">
        <v>1141</v>
      </c>
      <c r="U116" s="92">
        <v>182.71000671386719</v>
      </c>
      <c r="V116" s="92">
        <v>160.61253356933591</v>
      </c>
      <c r="W116" s="104">
        <v>4644800</v>
      </c>
      <c r="X116" s="92">
        <v>4582.64013671875</v>
      </c>
    </row>
    <row r="117" spans="20:24" ht="16.5">
      <c r="T117" s="86" t="s">
        <v>1142</v>
      </c>
      <c r="U117" s="92">
        <v>177.17999267578119</v>
      </c>
      <c r="V117" s="92">
        <v>155.7513427734375</v>
      </c>
      <c r="W117" s="104">
        <v>6956500</v>
      </c>
      <c r="X117" s="92">
        <v>4525.1201171875</v>
      </c>
    </row>
    <row r="118" spans="20:24" ht="16.5">
      <c r="T118" s="86" t="s">
        <v>1143</v>
      </c>
      <c r="U118" s="92">
        <v>177.25</v>
      </c>
      <c r="V118" s="92">
        <v>155.81288146972659</v>
      </c>
      <c r="W118" s="104">
        <v>6932900</v>
      </c>
      <c r="X118" s="92">
        <v>4481.14990234375</v>
      </c>
    </row>
    <row r="119" spans="20:24" ht="16.5">
      <c r="T119" s="86" t="s">
        <v>1144</v>
      </c>
      <c r="U119" s="92">
        <v>177.6000061035156</v>
      </c>
      <c r="V119" s="92">
        <v>156.1205749511719</v>
      </c>
      <c r="W119" s="104">
        <v>4178500</v>
      </c>
      <c r="X119" s="92">
        <v>4500.2099609375</v>
      </c>
    </row>
    <row r="120" spans="20:24" ht="16.5">
      <c r="T120" s="86" t="s">
        <v>1145</v>
      </c>
      <c r="U120" s="92">
        <v>174.11000061035159</v>
      </c>
      <c r="V120" s="92">
        <v>153.05262756347659</v>
      </c>
      <c r="W120" s="104">
        <v>4504500</v>
      </c>
      <c r="X120" s="92">
        <v>4488.27978515625</v>
      </c>
    </row>
    <row r="121" spans="20:24" ht="16.5">
      <c r="T121" s="86" t="s">
        <v>1146</v>
      </c>
      <c r="U121" s="92">
        <v>171.94000244140619</v>
      </c>
      <c r="V121" s="92">
        <v>151.14508056640619</v>
      </c>
      <c r="W121" s="104">
        <v>4347800</v>
      </c>
      <c r="X121" s="92">
        <v>4412.52978515625</v>
      </c>
    </row>
    <row r="122" spans="20:24" ht="16.5">
      <c r="T122" s="86" t="s">
        <v>1147</v>
      </c>
      <c r="U122" s="92">
        <v>173</v>
      </c>
      <c r="V122" s="92">
        <v>152.0768737792969</v>
      </c>
      <c r="W122" s="104">
        <v>4550800</v>
      </c>
      <c r="X122" s="92">
        <v>4397.4501953125</v>
      </c>
    </row>
    <row r="123" spans="20:24" ht="16.5">
      <c r="T123" s="86" t="s">
        <v>1148</v>
      </c>
      <c r="U123" s="92">
        <v>175.11000061035159</v>
      </c>
      <c r="V123" s="92">
        <v>153.9316711425781</v>
      </c>
      <c r="W123" s="104">
        <v>5229100</v>
      </c>
      <c r="X123" s="92">
        <v>4446.58984375</v>
      </c>
    </row>
    <row r="124" spans="20:24" ht="16.5">
      <c r="T124" s="86" t="s">
        <v>1149</v>
      </c>
      <c r="U124" s="92">
        <v>173.6600036621094</v>
      </c>
      <c r="V124" s="92">
        <v>152.65705871582031</v>
      </c>
      <c r="W124" s="104">
        <v>4578500</v>
      </c>
      <c r="X124" s="92">
        <v>4392.58984375</v>
      </c>
    </row>
    <row r="125" spans="20:24" ht="16.5">
      <c r="T125" s="86" t="s">
        <v>1150</v>
      </c>
      <c r="U125" s="92">
        <v>176.55999755859381</v>
      </c>
      <c r="V125" s="92">
        <v>155.20631408691409</v>
      </c>
      <c r="W125" s="104">
        <v>3564000</v>
      </c>
      <c r="X125" s="92">
        <v>4391.68994140625</v>
      </c>
    </row>
    <row r="126" spans="20:24" ht="16.5">
      <c r="T126" s="86" t="s">
        <v>1151</v>
      </c>
      <c r="U126" s="92">
        <v>179.05999755859381</v>
      </c>
      <c r="V126" s="92">
        <v>157.4039611816406</v>
      </c>
      <c r="W126" s="104">
        <v>4671900</v>
      </c>
      <c r="X126" s="92">
        <v>4462.2099609375</v>
      </c>
    </row>
    <row r="127" spans="20:24" ht="16.5">
      <c r="T127" s="86" t="s">
        <v>1152</v>
      </c>
      <c r="U127" s="92">
        <v>179.41999816894531</v>
      </c>
      <c r="V127" s="92">
        <v>157.72044372558591</v>
      </c>
      <c r="W127" s="104">
        <v>4553700</v>
      </c>
      <c r="X127" s="92">
        <v>4459.4501953125</v>
      </c>
    </row>
    <row r="128" spans="20:24" ht="16.5">
      <c r="T128" s="86" t="s">
        <v>1153</v>
      </c>
      <c r="U128" s="92">
        <v>177.22999572753909</v>
      </c>
      <c r="V128" s="92">
        <v>155.79530334472659</v>
      </c>
      <c r="W128" s="104">
        <v>4735000</v>
      </c>
      <c r="X128" s="92">
        <v>4393.66015625</v>
      </c>
    </row>
    <row r="129" spans="20:24" ht="16.5">
      <c r="T129" s="86" t="s">
        <v>1154</v>
      </c>
      <c r="U129" s="92">
        <v>173.30999755859381</v>
      </c>
      <c r="V129" s="92">
        <v>152.34938049316409</v>
      </c>
      <c r="W129" s="104">
        <v>6355900</v>
      </c>
      <c r="X129" s="92">
        <v>4271.77978515625</v>
      </c>
    </row>
    <row r="130" spans="20:24" ht="16.5">
      <c r="T130" s="86" t="s">
        <v>1155</v>
      </c>
      <c r="U130" s="92">
        <v>173.9100036621094</v>
      </c>
      <c r="V130" s="92">
        <v>152.87681579589841</v>
      </c>
      <c r="W130" s="104">
        <v>8737600</v>
      </c>
      <c r="X130" s="92">
        <v>4296.1201171875</v>
      </c>
    </row>
    <row r="131" spans="20:24" ht="16.5">
      <c r="T131" s="86" t="s">
        <v>1156</v>
      </c>
      <c r="U131" s="92">
        <v>168.44000244140619</v>
      </c>
      <c r="V131" s="92">
        <v>148.06837463378909</v>
      </c>
      <c r="W131" s="104">
        <v>9591700</v>
      </c>
      <c r="X131" s="92">
        <v>4175.2001953125</v>
      </c>
    </row>
    <row r="132" spans="20:24" ht="16.5">
      <c r="T132" s="86" t="s">
        <v>1157</v>
      </c>
      <c r="U132" s="92">
        <v>169.38999938964841</v>
      </c>
      <c r="V132" s="92">
        <v>148.9034729003906</v>
      </c>
      <c r="W132" s="104">
        <v>12570400</v>
      </c>
      <c r="X132" s="92">
        <v>4183.9599609375</v>
      </c>
    </row>
    <row r="133" spans="20:24" ht="16.5">
      <c r="T133" s="86" t="s">
        <v>1158</v>
      </c>
      <c r="U133" s="92">
        <v>175.8500061035156</v>
      </c>
      <c r="V133" s="92">
        <v>154.58216857910159</v>
      </c>
      <c r="W133" s="104">
        <v>8233600</v>
      </c>
      <c r="X133" s="92">
        <v>4287.5</v>
      </c>
    </row>
    <row r="134" spans="20:24" ht="16.5">
      <c r="T134" s="86" t="s">
        <v>1159</v>
      </c>
      <c r="U134" s="92">
        <v>170.25</v>
      </c>
      <c r="V134" s="92">
        <v>149.65946960449219</v>
      </c>
      <c r="W134" s="104">
        <v>6698600</v>
      </c>
      <c r="X134" s="92">
        <v>4131.93017578125</v>
      </c>
    </row>
    <row r="135" spans="20:24" ht="16.5">
      <c r="T135" s="86" t="s">
        <v>1160</v>
      </c>
      <c r="U135" s="92">
        <v>174</v>
      </c>
      <c r="V135" s="92">
        <v>152.95594787597659</v>
      </c>
      <c r="W135" s="104">
        <v>5851500</v>
      </c>
      <c r="X135" s="92">
        <v>4155.3798828125</v>
      </c>
    </row>
    <row r="136" spans="20:24" ht="16.5">
      <c r="T136" s="86" t="s">
        <v>1161</v>
      </c>
      <c r="U136" s="92">
        <v>172.53999328613281</v>
      </c>
      <c r="V136" s="92">
        <v>151.6725158691406</v>
      </c>
      <c r="W136" s="104">
        <v>5438600</v>
      </c>
      <c r="X136" s="92">
        <v>4175.47998046875</v>
      </c>
    </row>
    <row r="137" spans="20:24" ht="16.5">
      <c r="T137" s="86" t="s">
        <v>1162</v>
      </c>
      <c r="U137" s="92">
        <v>176.22999572753909</v>
      </c>
      <c r="V137" s="92">
        <v>154.91624450683591</v>
      </c>
      <c r="W137" s="104">
        <v>10311500</v>
      </c>
      <c r="X137" s="92">
        <v>4300.169921875</v>
      </c>
    </row>
    <row r="138" spans="20:24" ht="16.5">
      <c r="T138" s="86" t="s">
        <v>1163</v>
      </c>
      <c r="U138" s="92">
        <v>170.2799987792969</v>
      </c>
      <c r="V138" s="92">
        <v>149.68583679199219</v>
      </c>
      <c r="W138" s="104">
        <v>7740400</v>
      </c>
      <c r="X138" s="92">
        <v>4146.8701171875</v>
      </c>
    </row>
    <row r="139" spans="20:24" ht="16.5">
      <c r="T139" s="86" t="s">
        <v>1164</v>
      </c>
      <c r="U139" s="92">
        <v>167.44999694824219</v>
      </c>
      <c r="V139" s="92">
        <v>148.19895935058591</v>
      </c>
      <c r="W139" s="104">
        <v>5724800</v>
      </c>
      <c r="X139" s="92">
        <v>4123.33984375</v>
      </c>
    </row>
    <row r="140" spans="20:24" ht="16.5">
      <c r="T140" s="86" t="s">
        <v>1165</v>
      </c>
      <c r="U140" s="92">
        <v>164.94000244140619</v>
      </c>
      <c r="V140" s="92">
        <v>145.9775695800781</v>
      </c>
      <c r="W140" s="104">
        <v>7929700</v>
      </c>
      <c r="X140" s="92">
        <v>3991.239990234375</v>
      </c>
    </row>
    <row r="141" spans="20:24" ht="16.5">
      <c r="T141" s="86" t="s">
        <v>1166</v>
      </c>
      <c r="U141" s="92">
        <v>168.24000549316409</v>
      </c>
      <c r="V141" s="92">
        <v>148.8981628417969</v>
      </c>
      <c r="W141" s="104">
        <v>7033300</v>
      </c>
      <c r="X141" s="92">
        <v>4001.050048828125</v>
      </c>
    </row>
    <row r="142" spans="20:24" ht="16.5">
      <c r="T142" s="86" t="s">
        <v>1167</v>
      </c>
      <c r="U142" s="92">
        <v>164.69000244140619</v>
      </c>
      <c r="V142" s="92">
        <v>145.75628662109381</v>
      </c>
      <c r="W142" s="104">
        <v>5892800</v>
      </c>
      <c r="X142" s="92">
        <v>3935.179931640625</v>
      </c>
    </row>
    <row r="143" spans="20:24" ht="16.5">
      <c r="T143" s="86" t="s">
        <v>1168</v>
      </c>
      <c r="U143" s="92">
        <v>165.8999938964844</v>
      </c>
      <c r="V143" s="92">
        <v>146.8271789550781</v>
      </c>
      <c r="W143" s="104">
        <v>5936100</v>
      </c>
      <c r="X143" s="92">
        <v>3930.080078125</v>
      </c>
    </row>
    <row r="144" spans="20:24" ht="16.5">
      <c r="T144" s="86" t="s">
        <v>1169</v>
      </c>
      <c r="U144" s="92">
        <v>169.74000549316409</v>
      </c>
      <c r="V144" s="92">
        <v>150.22569274902341</v>
      </c>
      <c r="W144" s="104">
        <v>5329900</v>
      </c>
      <c r="X144" s="92">
        <v>4023.889892578125</v>
      </c>
    </row>
    <row r="145" spans="20:24" ht="16.5">
      <c r="T145" s="86" t="s">
        <v>1170</v>
      </c>
      <c r="U145" s="92">
        <v>168.5</v>
      </c>
      <c r="V145" s="92">
        <v>149.12825012207031</v>
      </c>
      <c r="W145" s="104">
        <v>3648900</v>
      </c>
      <c r="X145" s="92">
        <v>4008.010009765625</v>
      </c>
    </row>
    <row r="146" spans="20:24" ht="16.5">
      <c r="T146" s="86" t="s">
        <v>1171</v>
      </c>
      <c r="U146" s="92">
        <v>174.97999572753909</v>
      </c>
      <c r="V146" s="92">
        <v>154.86329650878909</v>
      </c>
      <c r="W146" s="104">
        <v>5851300</v>
      </c>
      <c r="X146" s="92">
        <v>4088.85009765625</v>
      </c>
    </row>
    <row r="147" spans="20:24" ht="16.5">
      <c r="T147" s="86" t="s">
        <v>1172</v>
      </c>
      <c r="U147" s="92">
        <v>170.30000305175781</v>
      </c>
      <c r="V147" s="92">
        <v>150.72129821777341</v>
      </c>
      <c r="W147" s="104">
        <v>5747200</v>
      </c>
      <c r="X147" s="92">
        <v>3923.679931640625</v>
      </c>
    </row>
    <row r="148" spans="20:24" ht="16.5">
      <c r="T148" s="86" t="s">
        <v>1173</v>
      </c>
      <c r="U148" s="92">
        <v>167.6199951171875</v>
      </c>
      <c r="V148" s="92">
        <v>148.34944152832031</v>
      </c>
      <c r="W148" s="104">
        <v>5399600</v>
      </c>
      <c r="X148" s="92">
        <v>3900.7900390625</v>
      </c>
    </row>
    <row r="149" spans="20:24" ht="16.5">
      <c r="T149" s="86" t="s">
        <v>1174</v>
      </c>
      <c r="U149" s="92">
        <v>169.80999755859381</v>
      </c>
      <c r="V149" s="92">
        <v>150.28765869140619</v>
      </c>
      <c r="W149" s="104">
        <v>6278300</v>
      </c>
      <c r="X149" s="92">
        <v>3901.360107421875</v>
      </c>
    </row>
    <row r="150" spans="20:24" ht="16.5">
      <c r="T150" s="86" t="s">
        <v>1175</v>
      </c>
      <c r="U150" s="92">
        <v>169.92999267578119</v>
      </c>
      <c r="V150" s="92">
        <v>150.39390563964841</v>
      </c>
      <c r="W150" s="104">
        <v>5384100</v>
      </c>
      <c r="X150" s="92">
        <v>3973.75</v>
      </c>
    </row>
    <row r="151" spans="20:24" ht="16.5">
      <c r="T151" s="86" t="s">
        <v>1176</v>
      </c>
      <c r="U151" s="92">
        <v>167.86000061035159</v>
      </c>
      <c r="V151" s="92">
        <v>148.56182861328119</v>
      </c>
      <c r="W151" s="104">
        <v>5121700</v>
      </c>
      <c r="X151" s="92">
        <v>3941.47998046875</v>
      </c>
    </row>
    <row r="152" spans="20:24" ht="16.5">
      <c r="T152" s="86" t="s">
        <v>1177</v>
      </c>
      <c r="U152" s="92">
        <v>170.00999450683591</v>
      </c>
      <c r="V152" s="92">
        <v>150.46466064453119</v>
      </c>
      <c r="W152" s="104">
        <v>4712100</v>
      </c>
      <c r="X152" s="92">
        <v>3978.72998046875</v>
      </c>
    </row>
    <row r="153" spans="20:24" ht="16.5">
      <c r="T153" s="86" t="s">
        <v>1178</v>
      </c>
      <c r="U153" s="92">
        <v>174.1300048828125</v>
      </c>
      <c r="V153" s="92">
        <v>154.11103820800781</v>
      </c>
      <c r="W153" s="104">
        <v>4536600</v>
      </c>
      <c r="X153" s="92">
        <v>4057.840087890625</v>
      </c>
    </row>
    <row r="154" spans="20:24" ht="16.5">
      <c r="T154" s="86" t="s">
        <v>1179</v>
      </c>
      <c r="U154" s="92">
        <v>177.9700012207031</v>
      </c>
      <c r="V154" s="92">
        <v>157.5095520019531</v>
      </c>
      <c r="W154" s="104">
        <v>5857900</v>
      </c>
      <c r="X154" s="92">
        <v>4158.240234375</v>
      </c>
    </row>
    <row r="155" spans="20:24" ht="16.5">
      <c r="T155" s="86" t="s">
        <v>1180</v>
      </c>
      <c r="U155" s="92">
        <v>176.75999450683591</v>
      </c>
      <c r="V155" s="92">
        <v>156.43865966796881</v>
      </c>
      <c r="W155" s="104">
        <v>9408000</v>
      </c>
      <c r="X155" s="92">
        <v>4132.14990234375</v>
      </c>
    </row>
    <row r="156" spans="20:24" ht="16.5">
      <c r="T156" s="86" t="s">
        <v>1181</v>
      </c>
      <c r="U156" s="92">
        <v>174.41999816894531</v>
      </c>
      <c r="V156" s="92">
        <v>154.36769104003909</v>
      </c>
      <c r="W156" s="104">
        <v>4681600</v>
      </c>
      <c r="X156" s="92">
        <v>4101.22998046875</v>
      </c>
    </row>
    <row r="157" spans="20:24" ht="16.5">
      <c r="T157" s="86" t="s">
        <v>1182</v>
      </c>
      <c r="U157" s="92">
        <v>176.7200012207031</v>
      </c>
      <c r="V157" s="92">
        <v>156.40321350097659</v>
      </c>
      <c r="W157" s="104">
        <v>6521600</v>
      </c>
      <c r="X157" s="92">
        <v>4176.81982421875</v>
      </c>
    </row>
    <row r="158" spans="20:24" ht="16.5">
      <c r="T158" s="86" t="s">
        <v>1183</v>
      </c>
      <c r="U158" s="92">
        <v>172.33000183105469</v>
      </c>
      <c r="V158" s="92">
        <v>152.51795959472659</v>
      </c>
      <c r="W158" s="104">
        <v>4485500</v>
      </c>
      <c r="X158" s="92">
        <v>4108.5400390625</v>
      </c>
    </row>
    <row r="159" spans="20:24" ht="16.5">
      <c r="T159" s="86" t="s">
        <v>1184</v>
      </c>
      <c r="U159" s="92">
        <v>167.75999450683591</v>
      </c>
      <c r="V159" s="92">
        <v>148.47332763671881</v>
      </c>
      <c r="W159" s="104">
        <v>5603800</v>
      </c>
      <c r="X159" s="92">
        <v>4121.43017578125</v>
      </c>
    </row>
    <row r="160" spans="20:24" ht="16.5">
      <c r="T160" s="86" t="s">
        <v>1185</v>
      </c>
      <c r="U160" s="92">
        <v>169.8500061035156</v>
      </c>
      <c r="V160" s="92">
        <v>150.32305908203119</v>
      </c>
      <c r="W160" s="104">
        <v>4416100</v>
      </c>
      <c r="X160" s="92">
        <v>4160.68017578125</v>
      </c>
    </row>
    <row r="161" spans="20:24" ht="16.5">
      <c r="T161" s="86" t="s">
        <v>1186</v>
      </c>
      <c r="U161" s="92">
        <v>165.3699951171875</v>
      </c>
      <c r="V161" s="92">
        <v>146.3581237792969</v>
      </c>
      <c r="W161" s="104">
        <v>5112600</v>
      </c>
      <c r="X161" s="92">
        <v>4115.77001953125</v>
      </c>
    </row>
    <row r="162" spans="20:24" ht="16.5">
      <c r="T162" s="86" t="s">
        <v>1187</v>
      </c>
      <c r="U162" s="92">
        <v>161.58000183105469</v>
      </c>
      <c r="V162" s="92">
        <v>143.00384521484381</v>
      </c>
      <c r="W162" s="104">
        <v>5353200</v>
      </c>
      <c r="X162" s="92">
        <v>4017.820068359375</v>
      </c>
    </row>
    <row r="163" spans="20:24" ht="16.5">
      <c r="T163" s="86" t="s">
        <v>1188</v>
      </c>
      <c r="U163" s="92">
        <v>157.7799987792969</v>
      </c>
      <c r="V163" s="92">
        <v>139.64073181152341</v>
      </c>
      <c r="W163" s="104">
        <v>6511000</v>
      </c>
      <c r="X163" s="92">
        <v>3900.860107421875</v>
      </c>
    </row>
    <row r="164" spans="20:24" ht="16.5">
      <c r="T164" s="86" t="s">
        <v>1189</v>
      </c>
      <c r="U164" s="92">
        <v>153.5299987792969</v>
      </c>
      <c r="V164" s="92">
        <v>135.87931823730469</v>
      </c>
      <c r="W164" s="104">
        <v>7765000</v>
      </c>
      <c r="X164" s="92">
        <v>3749.6298828125</v>
      </c>
    </row>
    <row r="165" spans="20:24" ht="16.5">
      <c r="T165" s="86" t="s">
        <v>1190</v>
      </c>
      <c r="U165" s="92">
        <v>154.08000183105469</v>
      </c>
      <c r="V165" s="92">
        <v>136.3660583496094</v>
      </c>
      <c r="W165" s="104">
        <v>4772600</v>
      </c>
      <c r="X165" s="92">
        <v>3735.47998046875</v>
      </c>
    </row>
    <row r="166" spans="20:24" ht="16.5">
      <c r="T166" s="86" t="s">
        <v>1191</v>
      </c>
      <c r="U166" s="92">
        <v>155.91999816894531</v>
      </c>
      <c r="V166" s="92">
        <v>137.9945373535156</v>
      </c>
      <c r="W166" s="104">
        <v>5442100</v>
      </c>
      <c r="X166" s="92">
        <v>3789.989990234375</v>
      </c>
    </row>
    <row r="167" spans="20:24" ht="16.5">
      <c r="T167" s="86" t="s">
        <v>1192</v>
      </c>
      <c r="U167" s="92">
        <v>151.3699951171875</v>
      </c>
      <c r="V167" s="92">
        <v>133.9676208496094</v>
      </c>
      <c r="W167" s="104">
        <v>6843700</v>
      </c>
      <c r="X167" s="92">
        <v>3666.77001953125</v>
      </c>
    </row>
    <row r="168" spans="20:24" ht="16.5">
      <c r="T168" s="86" t="s">
        <v>1193</v>
      </c>
      <c r="U168" s="92">
        <v>150.19999694824219</v>
      </c>
      <c r="V168" s="92">
        <v>132.93214416503909</v>
      </c>
      <c r="W168" s="104">
        <v>11262500</v>
      </c>
      <c r="X168" s="92">
        <v>3674.840087890625</v>
      </c>
    </row>
    <row r="169" spans="20:24" ht="16.5">
      <c r="T169" s="86" t="s">
        <v>1194</v>
      </c>
      <c r="U169" s="92">
        <v>153.46000671386719</v>
      </c>
      <c r="V169" s="92">
        <v>135.8173522949219</v>
      </c>
      <c r="W169" s="104">
        <v>6283100</v>
      </c>
      <c r="X169" s="92">
        <v>3764.7900390625</v>
      </c>
    </row>
    <row r="170" spans="20:24" ht="16.5">
      <c r="T170" s="86" t="s">
        <v>1195</v>
      </c>
      <c r="U170" s="92">
        <v>152.6000061035156</v>
      </c>
      <c r="V170" s="92">
        <v>135.05621337890619</v>
      </c>
      <c r="W170" s="104">
        <v>4242900</v>
      </c>
      <c r="X170" s="92">
        <v>3759.889892578125</v>
      </c>
    </row>
    <row r="171" spans="20:24" ht="16.5">
      <c r="T171" s="86" t="s">
        <v>1196</v>
      </c>
      <c r="U171" s="92">
        <v>151.13999938964841</v>
      </c>
      <c r="V171" s="92">
        <v>133.76409912109381</v>
      </c>
      <c r="W171" s="104">
        <v>4318200</v>
      </c>
      <c r="X171" s="92">
        <v>3795.72998046875</v>
      </c>
    </row>
    <row r="172" spans="20:24" ht="16.5">
      <c r="T172" s="86" t="s">
        <v>1197</v>
      </c>
      <c r="U172" s="92">
        <v>155.94999694824219</v>
      </c>
      <c r="V172" s="92">
        <v>138.02107238769531</v>
      </c>
      <c r="W172" s="104">
        <v>6425900</v>
      </c>
      <c r="X172" s="92">
        <v>3911.739990234375</v>
      </c>
    </row>
    <row r="173" spans="20:24" ht="16.5">
      <c r="T173" s="86" t="s">
        <v>1198</v>
      </c>
      <c r="U173" s="92">
        <v>155.6199951171875</v>
      </c>
      <c r="V173" s="92">
        <v>137.72898864746091</v>
      </c>
      <c r="W173" s="104">
        <v>5762300</v>
      </c>
      <c r="X173" s="92">
        <v>3900.110107421875</v>
      </c>
    </row>
    <row r="174" spans="20:24" ht="16.5">
      <c r="T174" s="86" t="s">
        <v>1199</v>
      </c>
      <c r="U174" s="92">
        <v>154.1600036621094</v>
      </c>
      <c r="V174" s="92">
        <v>136.43687438964841</v>
      </c>
      <c r="W174" s="104">
        <v>4687500</v>
      </c>
      <c r="X174" s="92">
        <v>3821.550048828125</v>
      </c>
    </row>
    <row r="175" spans="20:24" ht="16.5">
      <c r="T175" s="86" t="s">
        <v>1200</v>
      </c>
      <c r="U175" s="92">
        <v>152.7799987792969</v>
      </c>
      <c r="V175" s="92">
        <v>135.21553039550781</v>
      </c>
      <c r="W175" s="104">
        <v>4348300</v>
      </c>
      <c r="X175" s="92">
        <v>3818.830078125</v>
      </c>
    </row>
    <row r="176" spans="20:24" ht="16.5">
      <c r="T176" s="86" t="s">
        <v>1201</v>
      </c>
      <c r="U176" s="92">
        <v>153.6499938964844</v>
      </c>
      <c r="V176" s="92">
        <v>135.9855041503906</v>
      </c>
      <c r="W176" s="104">
        <v>6807900</v>
      </c>
      <c r="X176" s="92">
        <v>3785.3798828125</v>
      </c>
    </row>
    <row r="177" spans="20:24" ht="16.5">
      <c r="T177" s="86" t="s">
        <v>1202</v>
      </c>
      <c r="U177" s="92">
        <v>148.53999328613281</v>
      </c>
      <c r="V177" s="92">
        <v>131.46293640136719</v>
      </c>
      <c r="W177" s="104">
        <v>8740200</v>
      </c>
      <c r="X177" s="92">
        <v>3825.330078125</v>
      </c>
    </row>
    <row r="178" spans="20:24" ht="16.5">
      <c r="T178" s="86" t="s">
        <v>1203</v>
      </c>
      <c r="U178" s="92">
        <v>149.1000061035156</v>
      </c>
      <c r="V178" s="92">
        <v>131.95860290527341</v>
      </c>
      <c r="W178" s="104">
        <v>8486400</v>
      </c>
      <c r="X178" s="92">
        <v>3831.389892578125</v>
      </c>
    </row>
    <row r="179" spans="20:24" ht="16.5">
      <c r="T179" s="86" t="s">
        <v>1204</v>
      </c>
      <c r="U179" s="92">
        <v>150.80999755859381</v>
      </c>
      <c r="V179" s="92">
        <v>133.47203063964841</v>
      </c>
      <c r="W179" s="104">
        <v>5238200</v>
      </c>
      <c r="X179" s="92">
        <v>3845.080078125</v>
      </c>
    </row>
    <row r="180" spans="20:24" ht="16.5">
      <c r="T180" s="86" t="s">
        <v>1205</v>
      </c>
      <c r="U180" s="92">
        <v>154.69000244140619</v>
      </c>
      <c r="V180" s="92">
        <v>136.90594482421881</v>
      </c>
      <c r="W180" s="104">
        <v>5169400</v>
      </c>
      <c r="X180" s="92">
        <v>3902.6201171875</v>
      </c>
    </row>
    <row r="181" spans="20:24" ht="16.5">
      <c r="T181" s="86" t="s">
        <v>1206</v>
      </c>
      <c r="U181" s="92">
        <v>155.5299987792969</v>
      </c>
      <c r="V181" s="92">
        <v>137.6493835449219</v>
      </c>
      <c r="W181" s="104">
        <v>3467500</v>
      </c>
      <c r="X181" s="92">
        <v>3899.3798828125</v>
      </c>
    </row>
    <row r="182" spans="20:24" ht="16.5">
      <c r="T182" s="86" t="s">
        <v>1207</v>
      </c>
      <c r="U182" s="92">
        <v>153.55999755859381</v>
      </c>
      <c r="V182" s="92">
        <v>135.90586853027341</v>
      </c>
      <c r="W182" s="104">
        <v>4051100</v>
      </c>
      <c r="X182" s="92">
        <v>3854.429931640625</v>
      </c>
    </row>
    <row r="183" spans="20:24" ht="16.5">
      <c r="T183" s="86" t="s">
        <v>1208</v>
      </c>
      <c r="U183" s="92">
        <v>154.46000671386719</v>
      </c>
      <c r="V183" s="92">
        <v>136.70243835449219</v>
      </c>
      <c r="W183" s="104">
        <v>4085100</v>
      </c>
      <c r="X183" s="92">
        <v>3818.800048828125</v>
      </c>
    </row>
    <row r="184" spans="20:24" ht="16.5">
      <c r="T184" s="86" t="s">
        <v>1209</v>
      </c>
      <c r="U184" s="92">
        <v>154.28999328613281</v>
      </c>
      <c r="V184" s="92">
        <v>136.55195617675781</v>
      </c>
      <c r="W184" s="104">
        <v>3755400</v>
      </c>
      <c r="X184" s="92">
        <v>3801.780029296875</v>
      </c>
    </row>
    <row r="185" spans="20:24" ht="16.5">
      <c r="T185" s="86" t="s">
        <v>1210</v>
      </c>
      <c r="U185" s="92">
        <v>157.8500061035156</v>
      </c>
      <c r="V185" s="92">
        <v>139.70263671875</v>
      </c>
      <c r="W185" s="104">
        <v>4758800</v>
      </c>
      <c r="X185" s="92">
        <v>3790.3798828125</v>
      </c>
    </row>
    <row r="186" spans="20:24" ht="16.5">
      <c r="T186" s="86" t="s">
        <v>1211</v>
      </c>
      <c r="U186" s="92">
        <v>160.53999328613281</v>
      </c>
      <c r="V186" s="92">
        <v>142.0834045410156</v>
      </c>
      <c r="W186" s="104">
        <v>7466100</v>
      </c>
      <c r="X186" s="92">
        <v>3863.159912109375</v>
      </c>
    </row>
    <row r="187" spans="20:24" ht="16.5">
      <c r="T187" s="86" t="s">
        <v>1212</v>
      </c>
      <c r="U187" s="92">
        <v>159.66999816894531</v>
      </c>
      <c r="V187" s="92">
        <v>141.31343078613281</v>
      </c>
      <c r="W187" s="104">
        <v>4088700</v>
      </c>
      <c r="X187" s="92">
        <v>3830.85009765625</v>
      </c>
    </row>
    <row r="188" spans="20:24" ht="16.5">
      <c r="T188" s="86" t="s">
        <v>1213</v>
      </c>
      <c r="U188" s="92">
        <v>164.63999938964841</v>
      </c>
      <c r="V188" s="92">
        <v>145.7120056152344</v>
      </c>
      <c r="W188" s="104">
        <v>5390800</v>
      </c>
      <c r="X188" s="92">
        <v>3936.68994140625</v>
      </c>
    </row>
    <row r="189" spans="20:24" ht="16.5">
      <c r="T189" s="86" t="s">
        <v>1214</v>
      </c>
      <c r="U189" s="92">
        <v>165.33000183105469</v>
      </c>
      <c r="V189" s="92">
        <v>146.3227233886719</v>
      </c>
      <c r="W189" s="104">
        <v>5889100</v>
      </c>
      <c r="X189" s="92">
        <v>3959.89990234375</v>
      </c>
    </row>
    <row r="190" spans="20:24" ht="16.5">
      <c r="T190" s="86" t="s">
        <v>1215</v>
      </c>
      <c r="U190" s="92">
        <v>166.53999328613281</v>
      </c>
      <c r="V190" s="92">
        <v>147.39360046386719</v>
      </c>
      <c r="W190" s="104">
        <v>5466700</v>
      </c>
      <c r="X190" s="92">
        <v>3998.949951171875</v>
      </c>
    </row>
    <row r="191" spans="20:24" ht="16.5">
      <c r="T191" s="86" t="s">
        <v>1216</v>
      </c>
      <c r="U191" s="92">
        <v>163.8999938964844</v>
      </c>
      <c r="V191" s="92">
        <v>145.05711364746091</v>
      </c>
      <c r="W191" s="104">
        <v>5269700</v>
      </c>
      <c r="X191" s="92">
        <v>3961.6298828125</v>
      </c>
    </row>
    <row r="192" spans="20:24" ht="16.5">
      <c r="T192" s="86" t="s">
        <v>1217</v>
      </c>
      <c r="U192" s="92">
        <v>163.19999694824219</v>
      </c>
      <c r="V192" s="92">
        <v>144.4375915527344</v>
      </c>
      <c r="W192" s="104">
        <v>4201400</v>
      </c>
      <c r="X192" s="92">
        <v>3966.840087890625</v>
      </c>
    </row>
    <row r="193" spans="20:24" ht="16.5">
      <c r="T193" s="86" t="s">
        <v>1218</v>
      </c>
      <c r="U193" s="92">
        <v>160.8399963378906</v>
      </c>
      <c r="V193" s="92">
        <v>142.34892272949219</v>
      </c>
      <c r="W193" s="104">
        <v>6080600</v>
      </c>
      <c r="X193" s="92">
        <v>3921.050048828125</v>
      </c>
    </row>
    <row r="194" spans="20:24" ht="16.5">
      <c r="T194" s="86" t="s">
        <v>1219</v>
      </c>
      <c r="U194" s="92">
        <v>171.53999328613281</v>
      </c>
      <c r="V194" s="92">
        <v>151.8187561035156</v>
      </c>
      <c r="W194" s="104">
        <v>11623100</v>
      </c>
      <c r="X194" s="92">
        <v>4023.610107421875</v>
      </c>
    </row>
    <row r="195" spans="20:24" ht="16.5">
      <c r="T195" s="86" t="s">
        <v>1220</v>
      </c>
      <c r="U195" s="92">
        <v>175.75</v>
      </c>
      <c r="V195" s="92">
        <v>155.5447692871094</v>
      </c>
      <c r="W195" s="104">
        <v>6468800</v>
      </c>
      <c r="X195" s="92">
        <v>4072.429931640625</v>
      </c>
    </row>
    <row r="196" spans="20:24" ht="16.5">
      <c r="T196" s="86" t="s">
        <v>1221</v>
      </c>
      <c r="U196" s="92">
        <v>178.88999938964841</v>
      </c>
      <c r="V196" s="92">
        <v>159.36656188964841</v>
      </c>
      <c r="W196" s="104">
        <v>6624000</v>
      </c>
      <c r="X196" s="92">
        <v>4130.2900390625</v>
      </c>
    </row>
    <row r="197" spans="20:24" ht="16.5">
      <c r="T197" s="86" t="s">
        <v>1222</v>
      </c>
      <c r="U197" s="92">
        <v>178.80000305175781</v>
      </c>
      <c r="V197" s="92">
        <v>159.28642272949219</v>
      </c>
      <c r="W197" s="104">
        <v>4865700</v>
      </c>
      <c r="X197" s="92">
        <v>4118.6298828125</v>
      </c>
    </row>
    <row r="198" spans="20:24" ht="16.5">
      <c r="T198" s="86" t="s">
        <v>1223</v>
      </c>
      <c r="U198" s="92">
        <v>177.2200012207031</v>
      </c>
      <c r="V198" s="92">
        <v>157.87884521484381</v>
      </c>
      <c r="W198" s="104">
        <v>4442500</v>
      </c>
      <c r="X198" s="92">
        <v>4091.18994140625</v>
      </c>
    </row>
    <row r="199" spans="20:24" ht="16.5">
      <c r="T199" s="86" t="s">
        <v>1224</v>
      </c>
      <c r="U199" s="92">
        <v>183.4700012207031</v>
      </c>
      <c r="V199" s="92">
        <v>163.44670104980469</v>
      </c>
      <c r="W199" s="104">
        <v>6201100</v>
      </c>
      <c r="X199" s="92">
        <v>4155.169921875</v>
      </c>
    </row>
    <row r="200" spans="20:24" ht="16.5">
      <c r="T200" s="86" t="s">
        <v>1225</v>
      </c>
      <c r="U200" s="92">
        <v>184.91000366210929</v>
      </c>
      <c r="V200" s="92">
        <v>164.7295837402344</v>
      </c>
      <c r="W200" s="104">
        <v>4533900</v>
      </c>
      <c r="X200" s="92">
        <v>4151.93994140625</v>
      </c>
    </row>
    <row r="201" spans="20:24" ht="16.5">
      <c r="T201" s="86" t="s">
        <v>1226</v>
      </c>
      <c r="U201" s="92">
        <v>184.30000305175781</v>
      </c>
      <c r="V201" s="92">
        <v>164.1861572265625</v>
      </c>
      <c r="W201" s="104">
        <v>3690100</v>
      </c>
      <c r="X201" s="92">
        <v>4145.18994140625</v>
      </c>
    </row>
    <row r="202" spans="20:24" ht="16.5">
      <c r="T202" s="86" t="s">
        <v>1227</v>
      </c>
      <c r="U202" s="92">
        <v>182.80000305175781</v>
      </c>
      <c r="V202" s="92">
        <v>162.849853515625</v>
      </c>
      <c r="W202" s="104">
        <v>3547300</v>
      </c>
      <c r="X202" s="92">
        <v>4140.06005859375</v>
      </c>
    </row>
    <row r="203" spans="20:24" ht="16.5">
      <c r="T203" s="86" t="s">
        <v>1228</v>
      </c>
      <c r="U203" s="92">
        <v>177.71000671386719</v>
      </c>
      <c r="V203" s="92">
        <v>158.31536865234381</v>
      </c>
      <c r="W203" s="104">
        <v>5306400</v>
      </c>
      <c r="X203" s="92">
        <v>4122.47021484375</v>
      </c>
    </row>
    <row r="204" spans="20:24" ht="16.5">
      <c r="T204" s="86" t="s">
        <v>1229</v>
      </c>
      <c r="U204" s="92">
        <v>183.1199951171875</v>
      </c>
      <c r="V204" s="92">
        <v>163.13493347167969</v>
      </c>
      <c r="W204" s="104">
        <v>4276500</v>
      </c>
      <c r="X204" s="92">
        <v>4210.240234375</v>
      </c>
    </row>
    <row r="205" spans="20:24" ht="16.5">
      <c r="T205" s="86" t="s">
        <v>1230</v>
      </c>
      <c r="U205" s="92">
        <v>182.05999755859369</v>
      </c>
      <c r="V205" s="92">
        <v>162.19059753417969</v>
      </c>
      <c r="W205" s="104">
        <v>3858300</v>
      </c>
      <c r="X205" s="92">
        <v>4207.27001953125</v>
      </c>
    </row>
    <row r="206" spans="20:24" ht="16.5">
      <c r="T206" s="86" t="s">
        <v>1231</v>
      </c>
      <c r="U206" s="92">
        <v>185.3800048828125</v>
      </c>
      <c r="V206" s="92">
        <v>165.1482849121094</v>
      </c>
      <c r="W206" s="104">
        <v>4160900</v>
      </c>
      <c r="X206" s="92">
        <v>4280.14990234375</v>
      </c>
    </row>
    <row r="207" spans="20:24" ht="16.5">
      <c r="T207" s="86" t="s">
        <v>1232</v>
      </c>
      <c r="U207" s="92">
        <v>185.3999938964844</v>
      </c>
      <c r="V207" s="92">
        <v>165.16606140136719</v>
      </c>
      <c r="W207" s="104">
        <v>2863400</v>
      </c>
      <c r="X207" s="92">
        <v>4297.14013671875</v>
      </c>
    </row>
    <row r="208" spans="20:24" ht="16.5">
      <c r="T208" s="86" t="s">
        <v>1233</v>
      </c>
      <c r="U208" s="92">
        <v>183.36000061035159</v>
      </c>
      <c r="V208" s="92">
        <v>163.3487243652344</v>
      </c>
      <c r="W208" s="104">
        <v>4541600</v>
      </c>
      <c r="X208" s="92">
        <v>4305.2001953125</v>
      </c>
    </row>
    <row r="209" spans="20:24" ht="16.5">
      <c r="T209" s="86" t="s">
        <v>1234</v>
      </c>
      <c r="U209" s="92">
        <v>176.71000671386719</v>
      </c>
      <c r="V209" s="92">
        <v>157.4244689941406</v>
      </c>
      <c r="W209" s="104">
        <v>6869000</v>
      </c>
      <c r="X209" s="92">
        <v>4274.0400390625</v>
      </c>
    </row>
    <row r="210" spans="20:24" ht="16.5">
      <c r="T210" s="86" t="s">
        <v>1235</v>
      </c>
      <c r="U210" s="92">
        <v>178.46000671386719</v>
      </c>
      <c r="V210" s="92">
        <v>158.98350524902341</v>
      </c>
      <c r="W210" s="104">
        <v>4390400</v>
      </c>
      <c r="X210" s="92">
        <v>4283.740234375</v>
      </c>
    </row>
    <row r="211" spans="20:24" ht="16.5">
      <c r="T211" s="86" t="s">
        <v>1236</v>
      </c>
      <c r="U211" s="92">
        <v>176.44999694824219</v>
      </c>
      <c r="V211" s="92">
        <v>157.1928405761719</v>
      </c>
      <c r="W211" s="104">
        <v>4569500</v>
      </c>
      <c r="X211" s="92">
        <v>4228.47998046875</v>
      </c>
    </row>
    <row r="212" spans="20:24" ht="16.5">
      <c r="T212" s="86" t="s">
        <v>1237</v>
      </c>
      <c r="U212" s="92">
        <v>171.44000244140619</v>
      </c>
      <c r="V212" s="92">
        <v>152.7296447753906</v>
      </c>
      <c r="W212" s="104">
        <v>4919000</v>
      </c>
      <c r="X212" s="92">
        <v>4137.990234375</v>
      </c>
    </row>
    <row r="213" spans="20:24" ht="16.5">
      <c r="T213" s="86" t="s">
        <v>1238</v>
      </c>
      <c r="U213" s="92">
        <v>172.52000427246091</v>
      </c>
      <c r="V213" s="92">
        <v>153.69175720214841</v>
      </c>
      <c r="W213" s="104">
        <v>3663900</v>
      </c>
      <c r="X213" s="92">
        <v>4128.72998046875</v>
      </c>
    </row>
    <row r="214" spans="20:24" ht="16.5">
      <c r="T214" s="86" t="s">
        <v>1239</v>
      </c>
      <c r="U214" s="92">
        <v>172.19000244140619</v>
      </c>
      <c r="V214" s="92">
        <v>153.39775085449219</v>
      </c>
      <c r="W214" s="104">
        <v>3037800</v>
      </c>
      <c r="X214" s="92">
        <v>4140.77001953125</v>
      </c>
    </row>
    <row r="215" spans="20:24" ht="16.5">
      <c r="T215" s="86" t="s">
        <v>1240</v>
      </c>
      <c r="U215" s="92">
        <v>177.30999755859381</v>
      </c>
      <c r="V215" s="92">
        <v>157.9590148925781</v>
      </c>
      <c r="W215" s="104">
        <v>4350000</v>
      </c>
      <c r="X215" s="92">
        <v>4199.1201171875</v>
      </c>
    </row>
    <row r="216" spans="20:24" ht="16.5">
      <c r="T216" s="86" t="s">
        <v>1241</v>
      </c>
      <c r="U216" s="92">
        <v>169.49000549316409</v>
      </c>
      <c r="V216" s="92">
        <v>150.992431640625</v>
      </c>
      <c r="W216" s="104">
        <v>6583500</v>
      </c>
      <c r="X216" s="92">
        <v>4057.659912109375</v>
      </c>
    </row>
    <row r="217" spans="20:24" ht="16.5">
      <c r="T217" s="86" t="s">
        <v>1242</v>
      </c>
      <c r="U217" s="92">
        <v>167.94000244140619</v>
      </c>
      <c r="V217" s="92">
        <v>149.61163330078119</v>
      </c>
      <c r="W217" s="104">
        <v>4625800</v>
      </c>
      <c r="X217" s="92">
        <v>4030.610107421875</v>
      </c>
    </row>
    <row r="218" spans="20:24" ht="16.5">
      <c r="T218" s="86" t="s">
        <v>1243</v>
      </c>
      <c r="U218" s="92">
        <v>166.74000549316409</v>
      </c>
      <c r="V218" s="92">
        <v>148.54258728027341</v>
      </c>
      <c r="W218" s="104">
        <v>5343300</v>
      </c>
      <c r="X218" s="92">
        <v>3986.159912109375</v>
      </c>
    </row>
    <row r="219" spans="20:24" ht="16.5">
      <c r="T219" s="86" t="s">
        <v>1244</v>
      </c>
      <c r="U219" s="92">
        <v>165.21000671386719</v>
      </c>
      <c r="V219" s="92">
        <v>147.17958068847659</v>
      </c>
      <c r="W219" s="104">
        <v>6489900</v>
      </c>
      <c r="X219" s="92">
        <v>3955</v>
      </c>
    </row>
    <row r="220" spans="20:24" ht="16.5">
      <c r="T220" s="86" t="s">
        <v>1245</v>
      </c>
      <c r="U220" s="92">
        <v>166.1600036621094</v>
      </c>
      <c r="V220" s="92">
        <v>148.02589416503909</v>
      </c>
      <c r="W220" s="104">
        <v>5593800</v>
      </c>
      <c r="X220" s="92">
        <v>3966.85009765625</v>
      </c>
    </row>
    <row r="221" spans="20:24" ht="16.5">
      <c r="T221" s="86" t="s">
        <v>1246</v>
      </c>
      <c r="U221" s="92">
        <v>163</v>
      </c>
      <c r="V221" s="92">
        <v>145.21073913574219</v>
      </c>
      <c r="W221" s="104">
        <v>4466200</v>
      </c>
      <c r="X221" s="92">
        <v>3924.260009765625</v>
      </c>
    </row>
    <row r="222" spans="20:24" ht="16.5">
      <c r="T222" s="86" t="s">
        <v>1247</v>
      </c>
      <c r="U222" s="92">
        <v>163.1000061035156</v>
      </c>
      <c r="V222" s="92">
        <v>145.2998352050781</v>
      </c>
      <c r="W222" s="104">
        <v>5057000</v>
      </c>
      <c r="X222" s="92">
        <v>3908.18994140625</v>
      </c>
    </row>
    <row r="223" spans="20:24" ht="16.5">
      <c r="T223" s="86" t="s">
        <v>1248</v>
      </c>
      <c r="U223" s="92">
        <v>165.82000732421881</v>
      </c>
      <c r="V223" s="92">
        <v>147.72297668457031</v>
      </c>
      <c r="W223" s="104">
        <v>5332400</v>
      </c>
      <c r="X223" s="92">
        <v>3979.8701171875</v>
      </c>
    </row>
    <row r="224" spans="20:24" ht="16.5">
      <c r="T224" s="86" t="s">
        <v>1249</v>
      </c>
      <c r="U224" s="92">
        <v>168.4100036621094</v>
      </c>
      <c r="V224" s="92">
        <v>150.03031921386719</v>
      </c>
      <c r="W224" s="104">
        <v>5473200</v>
      </c>
      <c r="X224" s="92">
        <v>4006.179931640625</v>
      </c>
    </row>
    <row r="225" spans="20:24" ht="16.5">
      <c r="T225" s="86" t="s">
        <v>1250</v>
      </c>
      <c r="U225" s="92">
        <v>170.74000549316409</v>
      </c>
      <c r="V225" s="92">
        <v>152.10603332519531</v>
      </c>
      <c r="W225" s="104">
        <v>5196200</v>
      </c>
      <c r="X225" s="92">
        <v>4067.360107421875</v>
      </c>
    </row>
    <row r="226" spans="20:24" ht="16.5">
      <c r="T226" s="86" t="s">
        <v>1251</v>
      </c>
      <c r="U226" s="92">
        <v>170.58000183105469</v>
      </c>
      <c r="V226" s="92">
        <v>151.9634704589844</v>
      </c>
      <c r="W226" s="104">
        <v>5216800</v>
      </c>
      <c r="X226" s="92">
        <v>4110.41015625</v>
      </c>
    </row>
    <row r="227" spans="20:24" ht="16.5">
      <c r="T227" s="86" t="s">
        <v>1252</v>
      </c>
      <c r="U227" s="92">
        <v>162.6499938964844</v>
      </c>
      <c r="V227" s="92">
        <v>144.89892578125</v>
      </c>
      <c r="W227" s="104">
        <v>7928700</v>
      </c>
      <c r="X227" s="92">
        <v>3932.68994140625</v>
      </c>
    </row>
    <row r="228" spans="20:24" ht="16.5">
      <c r="T228" s="86" t="s">
        <v>1253</v>
      </c>
      <c r="U228" s="92">
        <v>165.25999450683591</v>
      </c>
      <c r="V228" s="92">
        <v>147.22412109375</v>
      </c>
      <c r="W228" s="104">
        <v>4792600</v>
      </c>
      <c r="X228" s="92">
        <v>3946.010009765625</v>
      </c>
    </row>
    <row r="229" spans="20:24" ht="16.5">
      <c r="T229" s="86" t="s">
        <v>1254</v>
      </c>
      <c r="U229" s="92">
        <v>162.66999816894531</v>
      </c>
      <c r="V229" s="92">
        <v>144.916748046875</v>
      </c>
      <c r="W229" s="104">
        <v>6105400</v>
      </c>
      <c r="X229" s="92">
        <v>3901.35009765625</v>
      </c>
    </row>
    <row r="230" spans="20:24" ht="16.5">
      <c r="T230" s="86" t="s">
        <v>1255</v>
      </c>
      <c r="U230" s="92">
        <v>165.25999450683591</v>
      </c>
      <c r="V230" s="92">
        <v>147.22412109375</v>
      </c>
      <c r="W230" s="104">
        <v>13417800</v>
      </c>
      <c r="X230" s="92">
        <v>3873.330078125</v>
      </c>
    </row>
    <row r="231" spans="20:24" ht="16.5">
      <c r="T231" s="86" t="s">
        <v>1256</v>
      </c>
      <c r="U231" s="92">
        <v>166.25</v>
      </c>
      <c r="V231" s="92">
        <v>148.1060791015625</v>
      </c>
      <c r="W231" s="104">
        <v>4929500</v>
      </c>
      <c r="X231" s="92">
        <v>3899.889892578125</v>
      </c>
    </row>
    <row r="232" spans="20:24" ht="16.5">
      <c r="T232" s="86" t="s">
        <v>1257</v>
      </c>
      <c r="U232" s="92">
        <v>166.05999755859381</v>
      </c>
      <c r="V232" s="92">
        <v>147.93681335449219</v>
      </c>
      <c r="W232" s="104">
        <v>5220200</v>
      </c>
      <c r="X232" s="92">
        <v>3855.929931640625</v>
      </c>
    </row>
    <row r="233" spans="20:24" ht="16.5">
      <c r="T233" s="86" t="s">
        <v>1258</v>
      </c>
      <c r="U233" s="92">
        <v>163.30000305175781</v>
      </c>
      <c r="V233" s="92">
        <v>145.4779968261719</v>
      </c>
      <c r="W233" s="104">
        <v>6639800</v>
      </c>
      <c r="X233" s="92">
        <v>3789.929931640625</v>
      </c>
    </row>
    <row r="234" spans="20:24" ht="16.5">
      <c r="T234" s="86" t="s">
        <v>1259</v>
      </c>
      <c r="U234" s="92">
        <v>162.6199951171875</v>
      </c>
      <c r="V234" s="92">
        <v>144.87223815917969</v>
      </c>
      <c r="W234" s="104">
        <v>5696200</v>
      </c>
      <c r="X234" s="92">
        <v>3757.989990234375</v>
      </c>
    </row>
    <row r="235" spans="20:24" ht="16.5">
      <c r="T235" s="86" t="s">
        <v>1260</v>
      </c>
      <c r="U235" s="92">
        <v>161.28999328613281</v>
      </c>
      <c r="V235" s="92">
        <v>143.6873779296875</v>
      </c>
      <c r="W235" s="104">
        <v>6936100</v>
      </c>
      <c r="X235" s="92">
        <v>3693.22998046875</v>
      </c>
    </row>
    <row r="236" spans="20:24" ht="16.5">
      <c r="T236" s="86" t="s">
        <v>1261</v>
      </c>
      <c r="U236" s="92">
        <v>160.46000671386719</v>
      </c>
      <c r="V236" s="92">
        <v>142.94793701171881</v>
      </c>
      <c r="W236" s="104">
        <v>4605800</v>
      </c>
      <c r="X236" s="92">
        <v>3655.0400390625</v>
      </c>
    </row>
    <row r="237" spans="20:24" ht="16.5">
      <c r="T237" s="86" t="s">
        <v>1262</v>
      </c>
      <c r="U237" s="92">
        <v>160.71000671386719</v>
      </c>
      <c r="V237" s="92">
        <v>143.1706848144531</v>
      </c>
      <c r="W237" s="104">
        <v>4261500</v>
      </c>
      <c r="X237" s="92">
        <v>3647.2900390625</v>
      </c>
    </row>
    <row r="238" spans="20:24" ht="16.5">
      <c r="T238" s="86" t="s">
        <v>1263</v>
      </c>
      <c r="U238" s="92">
        <v>162.80000305175781</v>
      </c>
      <c r="V238" s="92">
        <v>145.0325927734375</v>
      </c>
      <c r="W238" s="104">
        <v>4881500</v>
      </c>
      <c r="X238" s="92">
        <v>3719.0400390625</v>
      </c>
    </row>
    <row r="239" spans="20:24" ht="16.5">
      <c r="T239" s="86" t="s">
        <v>1264</v>
      </c>
      <c r="U239" s="92">
        <v>158.44999694824219</v>
      </c>
      <c r="V239" s="92">
        <v>141.1573181152344</v>
      </c>
      <c r="W239" s="104">
        <v>6699000</v>
      </c>
      <c r="X239" s="92">
        <v>3640.469970703125</v>
      </c>
    </row>
    <row r="240" spans="20:24" ht="16.5">
      <c r="T240" s="86" t="s">
        <v>1265</v>
      </c>
      <c r="U240" s="92">
        <v>154.7799987792969</v>
      </c>
      <c r="V240" s="92">
        <v>137.8878479003906</v>
      </c>
      <c r="W240" s="104">
        <v>6074700</v>
      </c>
      <c r="X240" s="92">
        <v>3585.6201171875</v>
      </c>
    </row>
    <row r="241" spans="20:24" ht="16.5">
      <c r="T241" s="86" t="s">
        <v>1266</v>
      </c>
      <c r="U241" s="92">
        <v>159.8399963378906</v>
      </c>
      <c r="V241" s="92">
        <v>142.39564514160159</v>
      </c>
      <c r="W241" s="104">
        <v>6668500</v>
      </c>
      <c r="X241" s="92">
        <v>3678.429931640625</v>
      </c>
    </row>
    <row r="242" spans="20:24" ht="16.5">
      <c r="T242" s="86" t="s">
        <v>1267</v>
      </c>
      <c r="U242" s="92">
        <v>165.1499938964844</v>
      </c>
      <c r="V242" s="92">
        <v>147.12611389160159</v>
      </c>
      <c r="W242" s="104">
        <v>7233100</v>
      </c>
      <c r="X242" s="92">
        <v>3790.929931640625</v>
      </c>
    </row>
    <row r="243" spans="20:24" ht="16.5">
      <c r="T243" s="86" t="s">
        <v>1268</v>
      </c>
      <c r="U243" s="92">
        <v>167.80000305175781</v>
      </c>
      <c r="V243" s="92">
        <v>149.48686218261719</v>
      </c>
      <c r="W243" s="104">
        <v>5262600</v>
      </c>
      <c r="X243" s="92">
        <v>3783.280029296875</v>
      </c>
    </row>
    <row r="244" spans="20:24" ht="16.5">
      <c r="T244" s="86" t="s">
        <v>1269</v>
      </c>
      <c r="U244" s="92">
        <v>166.53999328613281</v>
      </c>
      <c r="V244" s="92">
        <v>148.3644104003906</v>
      </c>
      <c r="W244" s="104">
        <v>4171000</v>
      </c>
      <c r="X244" s="92">
        <v>3744.52001953125</v>
      </c>
    </row>
    <row r="245" spans="20:24" ht="16.5">
      <c r="T245" s="86" t="s">
        <v>1270</v>
      </c>
      <c r="U245" s="92">
        <v>159.2799987792969</v>
      </c>
      <c r="V245" s="92">
        <v>141.896728515625</v>
      </c>
      <c r="W245" s="104">
        <v>8306400</v>
      </c>
      <c r="X245" s="92">
        <v>3639.659912109375</v>
      </c>
    </row>
    <row r="246" spans="20:24" ht="16.5">
      <c r="T246" s="86" t="s">
        <v>1271</v>
      </c>
      <c r="U246" s="92">
        <v>156.78999328613281</v>
      </c>
      <c r="V246" s="92">
        <v>139.67848205566409</v>
      </c>
      <c r="W246" s="104">
        <v>6573600</v>
      </c>
      <c r="X246" s="92">
        <v>3612.389892578125</v>
      </c>
    </row>
    <row r="247" spans="20:24" ht="16.5">
      <c r="T247" s="86" t="s">
        <v>1272</v>
      </c>
      <c r="U247" s="92">
        <v>153.44999694824219</v>
      </c>
      <c r="V247" s="92">
        <v>136.7030029296875</v>
      </c>
      <c r="W247" s="104">
        <v>9526900</v>
      </c>
      <c r="X247" s="92">
        <v>3588.840087890625</v>
      </c>
    </row>
    <row r="248" spans="20:24" ht="16.5">
      <c r="T248" s="86" t="s">
        <v>1273</v>
      </c>
      <c r="U248" s="92">
        <v>151.55000305175781</v>
      </c>
      <c r="V248" s="92">
        <v>135.0103454589844</v>
      </c>
      <c r="W248" s="104">
        <v>4526100</v>
      </c>
      <c r="X248" s="92">
        <v>3577.030029296875</v>
      </c>
    </row>
    <row r="249" spans="20:24" ht="16.5">
      <c r="T249" s="86" t="s">
        <v>1274</v>
      </c>
      <c r="U249" s="92">
        <v>154.3399963378906</v>
      </c>
      <c r="V249" s="92">
        <v>137.495849609375</v>
      </c>
      <c r="W249" s="104">
        <v>7913800</v>
      </c>
      <c r="X249" s="92">
        <v>3669.909912109375</v>
      </c>
    </row>
    <row r="250" spans="20:24" ht="16.5">
      <c r="T250" s="86" t="s">
        <v>1275</v>
      </c>
      <c r="U250" s="92">
        <v>148.3399963378906</v>
      </c>
      <c r="V250" s="92">
        <v>132.1506652832031</v>
      </c>
      <c r="W250" s="104">
        <v>7470600</v>
      </c>
      <c r="X250" s="92">
        <v>3583.070068359375</v>
      </c>
    </row>
    <row r="251" spans="20:24" ht="16.5">
      <c r="T251" s="86" t="s">
        <v>1276</v>
      </c>
      <c r="U251" s="92">
        <v>150.99000549316409</v>
      </c>
      <c r="V251" s="92">
        <v>134.511474609375</v>
      </c>
      <c r="W251" s="104">
        <v>5936100</v>
      </c>
      <c r="X251" s="92">
        <v>3677.949951171875</v>
      </c>
    </row>
    <row r="252" spans="20:24" ht="16.5">
      <c r="T252" s="86" t="s">
        <v>1277</v>
      </c>
      <c r="U252" s="92">
        <v>151.50999450683591</v>
      </c>
      <c r="V252" s="92">
        <v>134.97471618652341</v>
      </c>
      <c r="W252" s="104">
        <v>4866600</v>
      </c>
      <c r="X252" s="92">
        <v>3719.97998046875</v>
      </c>
    </row>
    <row r="253" spans="20:24" ht="16.5">
      <c r="T253" s="86" t="s">
        <v>1278</v>
      </c>
      <c r="U253" s="92">
        <v>152.6499938964844</v>
      </c>
      <c r="V253" s="92">
        <v>135.9903259277344</v>
      </c>
      <c r="W253" s="104">
        <v>5060100</v>
      </c>
      <c r="X253" s="92">
        <v>3695.159912109375</v>
      </c>
    </row>
    <row r="254" spans="20:24" ht="16.5">
      <c r="T254" s="86" t="s">
        <v>1279</v>
      </c>
      <c r="U254" s="92">
        <v>153.7200012207031</v>
      </c>
      <c r="V254" s="92">
        <v>136.94352722167969</v>
      </c>
      <c r="W254" s="104">
        <v>6506200</v>
      </c>
      <c r="X254" s="92">
        <v>3665.780029296875</v>
      </c>
    </row>
    <row r="255" spans="20:24" ht="16.5">
      <c r="T255" s="86" t="s">
        <v>1280</v>
      </c>
      <c r="U255" s="92">
        <v>159.7200012207031</v>
      </c>
      <c r="V255" s="92">
        <v>142.28871154785159</v>
      </c>
      <c r="W255" s="104">
        <v>7706200</v>
      </c>
      <c r="X255" s="92">
        <v>3752.75</v>
      </c>
    </row>
    <row r="256" spans="20:24" ht="16.5">
      <c r="T256" s="86" t="s">
        <v>1281</v>
      </c>
      <c r="U256" s="92">
        <v>161.6499938964844</v>
      </c>
      <c r="V256" s="92">
        <v>144.008056640625</v>
      </c>
      <c r="W256" s="104">
        <v>5467600</v>
      </c>
      <c r="X256" s="92">
        <v>3797.340087890625</v>
      </c>
    </row>
    <row r="257" spans="20:24" ht="16.5">
      <c r="T257" s="86" t="s">
        <v>1282</v>
      </c>
      <c r="U257" s="92">
        <v>162.1600036621094</v>
      </c>
      <c r="V257" s="92">
        <v>144.4624328613281</v>
      </c>
      <c r="W257" s="104">
        <v>8611200</v>
      </c>
      <c r="X257" s="92">
        <v>3859.110107421875</v>
      </c>
    </row>
    <row r="258" spans="20:24" ht="16.5">
      <c r="T258" s="86" t="s">
        <v>1283</v>
      </c>
      <c r="U258" s="92">
        <v>157.8699951171875</v>
      </c>
      <c r="V258" s="92">
        <v>140.640625</v>
      </c>
      <c r="W258" s="104">
        <v>12964700</v>
      </c>
      <c r="X258" s="92">
        <v>3830.60009765625</v>
      </c>
    </row>
    <row r="259" spans="20:24" ht="16.5">
      <c r="T259" s="86" t="s">
        <v>1284</v>
      </c>
      <c r="U259" s="92">
        <v>156.75999450683591</v>
      </c>
      <c r="V259" s="92">
        <v>139.65177917480469</v>
      </c>
      <c r="W259" s="104">
        <v>7050500</v>
      </c>
      <c r="X259" s="92">
        <v>3807.300048828125</v>
      </c>
    </row>
    <row r="260" spans="20:24" ht="16.5">
      <c r="T260" s="86" t="s">
        <v>1285</v>
      </c>
      <c r="U260" s="92">
        <v>161.36000061035159</v>
      </c>
      <c r="V260" s="92">
        <v>144.8959045410156</v>
      </c>
      <c r="W260" s="104">
        <v>6776100</v>
      </c>
      <c r="X260" s="92">
        <v>3901.06005859375</v>
      </c>
    </row>
    <row r="261" spans="20:24" ht="16.5">
      <c r="T261" s="86" t="s">
        <v>1286</v>
      </c>
      <c r="U261" s="92">
        <v>160.6300048828125</v>
      </c>
      <c r="V261" s="92">
        <v>144.24037170410159</v>
      </c>
      <c r="W261" s="104">
        <v>6298800</v>
      </c>
      <c r="X261" s="92">
        <v>3871.97998046875</v>
      </c>
    </row>
    <row r="262" spans="20:24" ht="16.5">
      <c r="T262" s="86" t="s">
        <v>1287</v>
      </c>
      <c r="U262" s="92">
        <v>162.8999938964844</v>
      </c>
      <c r="V262" s="92">
        <v>146.27874755859381</v>
      </c>
      <c r="W262" s="104">
        <v>4972300</v>
      </c>
      <c r="X262" s="92">
        <v>3856.10009765625</v>
      </c>
    </row>
    <row r="263" spans="20:24" ht="16.5">
      <c r="T263" s="86" t="s">
        <v>1288</v>
      </c>
      <c r="U263" s="92">
        <v>158.49000549316409</v>
      </c>
      <c r="V263" s="92">
        <v>142.31874084472659</v>
      </c>
      <c r="W263" s="104">
        <v>6923900</v>
      </c>
      <c r="X263" s="92">
        <v>3759.68994140625</v>
      </c>
    </row>
    <row r="264" spans="20:24" ht="16.5">
      <c r="T264" s="86" t="s">
        <v>1289</v>
      </c>
      <c r="U264" s="92">
        <v>156.52000427246091</v>
      </c>
      <c r="V264" s="92">
        <v>140.54972839355469</v>
      </c>
      <c r="W264" s="104">
        <v>4555400</v>
      </c>
      <c r="X264" s="92">
        <v>3719.889892578125</v>
      </c>
    </row>
    <row r="265" spans="20:24" ht="16.5">
      <c r="T265" s="86" t="s">
        <v>1290</v>
      </c>
      <c r="U265" s="92">
        <v>162.6499938964844</v>
      </c>
      <c r="V265" s="92">
        <v>146.0542907714844</v>
      </c>
      <c r="W265" s="104">
        <v>6689900</v>
      </c>
      <c r="X265" s="92">
        <v>3770.550048828125</v>
      </c>
    </row>
    <row r="266" spans="20:24" ht="16.5">
      <c r="T266" s="86" t="s">
        <v>1291</v>
      </c>
      <c r="U266" s="92">
        <v>165.69000244140619</v>
      </c>
      <c r="V266" s="92">
        <v>148.78410339355469</v>
      </c>
      <c r="W266" s="104">
        <v>4928300</v>
      </c>
      <c r="X266" s="92">
        <v>3806.800048828125</v>
      </c>
    </row>
    <row r="267" spans="20:24" ht="16.5">
      <c r="T267" s="86" t="s">
        <v>1292</v>
      </c>
      <c r="U267" s="92">
        <v>168.11000061035159</v>
      </c>
      <c r="V267" s="92">
        <v>150.95716857910159</v>
      </c>
      <c r="W267" s="104">
        <v>5112300</v>
      </c>
      <c r="X267" s="92">
        <v>3828.110107421875</v>
      </c>
    </row>
    <row r="268" spans="20:24" ht="16.5">
      <c r="T268" s="86" t="s">
        <v>1293</v>
      </c>
      <c r="U268" s="92">
        <v>164.99000549316409</v>
      </c>
      <c r="V268" s="92">
        <v>148.155517578125</v>
      </c>
      <c r="W268" s="104">
        <v>4800400</v>
      </c>
      <c r="X268" s="92">
        <v>3748.570068359375</v>
      </c>
    </row>
    <row r="269" spans="20:24" ht="16.5">
      <c r="T269" s="86" t="s">
        <v>1294</v>
      </c>
      <c r="U269" s="92">
        <v>174.69000244140619</v>
      </c>
      <c r="V269" s="92">
        <v>156.86579895019531</v>
      </c>
      <c r="W269" s="104">
        <v>9898200</v>
      </c>
      <c r="X269" s="92">
        <v>3956.3701171875</v>
      </c>
    </row>
    <row r="270" spans="20:24" ht="16.5">
      <c r="T270" s="86" t="s">
        <v>1295</v>
      </c>
      <c r="U270" s="92">
        <v>179.49000549316409</v>
      </c>
      <c r="V270" s="92">
        <v>161.176025390625</v>
      </c>
      <c r="W270" s="104">
        <v>6911900</v>
      </c>
      <c r="X270" s="92">
        <v>3992.929931640625</v>
      </c>
    </row>
    <row r="271" spans="20:24" ht="16.5">
      <c r="T271" s="86" t="s">
        <v>1296</v>
      </c>
      <c r="U271" s="92">
        <v>177.44000244140619</v>
      </c>
      <c r="V271" s="92">
        <v>159.33518981933591</v>
      </c>
      <c r="W271" s="104">
        <v>5447300</v>
      </c>
      <c r="X271" s="92">
        <v>3957.25</v>
      </c>
    </row>
    <row r="272" spans="20:24" ht="16.5">
      <c r="T272" s="86" t="s">
        <v>1297</v>
      </c>
      <c r="U272" s="92">
        <v>177.57000732421881</v>
      </c>
      <c r="V272" s="92">
        <v>159.451904296875</v>
      </c>
      <c r="W272" s="104">
        <v>6601000</v>
      </c>
      <c r="X272" s="92">
        <v>3991.72998046875</v>
      </c>
    </row>
    <row r="273" spans="20:24" ht="16.5">
      <c r="T273" s="86" t="s">
        <v>1298</v>
      </c>
      <c r="U273" s="92">
        <v>173.46000671386719</v>
      </c>
      <c r="V273" s="92">
        <v>155.76127624511719</v>
      </c>
      <c r="W273" s="104">
        <v>7664800</v>
      </c>
      <c r="X273" s="92">
        <v>3958.7900390625</v>
      </c>
    </row>
    <row r="274" spans="20:24" ht="16.5">
      <c r="T274" s="86" t="s">
        <v>1299</v>
      </c>
      <c r="U274" s="92">
        <v>175.36000061035159</v>
      </c>
      <c r="V274" s="92">
        <v>157.4674072265625</v>
      </c>
      <c r="W274" s="104">
        <v>5339800</v>
      </c>
      <c r="X274" s="92">
        <v>3946.56005859375</v>
      </c>
    </row>
    <row r="275" spans="20:24" ht="16.5">
      <c r="T275" s="86" t="s">
        <v>1300</v>
      </c>
      <c r="U275" s="92">
        <v>175.17999267578119</v>
      </c>
      <c r="V275" s="92">
        <v>157.30577087402341</v>
      </c>
      <c r="W275" s="104">
        <v>5474800</v>
      </c>
      <c r="X275" s="92">
        <v>3965.340087890625</v>
      </c>
    </row>
    <row r="276" spans="20:24" ht="16.5">
      <c r="T276" s="86" t="s">
        <v>1301</v>
      </c>
      <c r="U276" s="92">
        <v>172.3999938964844</v>
      </c>
      <c r="V276" s="92">
        <v>154.8094482421875</v>
      </c>
      <c r="W276" s="104">
        <v>4702700</v>
      </c>
      <c r="X276" s="92">
        <v>3949.93994140625</v>
      </c>
    </row>
    <row r="277" spans="20:24" ht="16.5">
      <c r="T277" s="86" t="s">
        <v>1302</v>
      </c>
      <c r="U277" s="92">
        <v>177.2200012207031</v>
      </c>
      <c r="V277" s="92">
        <v>159.13763427734381</v>
      </c>
      <c r="W277" s="104">
        <v>4673500</v>
      </c>
      <c r="X277" s="92">
        <v>4003.580078125</v>
      </c>
    </row>
    <row r="278" spans="20:24" ht="16.5">
      <c r="T278" s="86" t="s">
        <v>1303</v>
      </c>
      <c r="U278" s="92">
        <v>178.97999572753909</v>
      </c>
      <c r="V278" s="92">
        <v>160.71803283691409</v>
      </c>
      <c r="W278" s="104">
        <v>3939100</v>
      </c>
      <c r="X278" s="92">
        <v>4027.260009765625</v>
      </c>
    </row>
    <row r="279" spans="20:24" ht="16.5">
      <c r="T279" s="86" t="s">
        <v>1304</v>
      </c>
      <c r="U279" s="92">
        <v>177.07000732421881</v>
      </c>
      <c r="V279" s="92">
        <v>159.0029602050781</v>
      </c>
      <c r="W279" s="104">
        <v>1586400</v>
      </c>
      <c r="X279" s="92">
        <v>4026.1201171875</v>
      </c>
    </row>
    <row r="280" spans="20:24" ht="16.5">
      <c r="T280" s="86" t="s">
        <v>1305</v>
      </c>
      <c r="U280" s="92">
        <v>173</v>
      </c>
      <c r="V280" s="92">
        <v>155.3482360839844</v>
      </c>
      <c r="W280" s="104">
        <v>5358800</v>
      </c>
      <c r="X280" s="92">
        <v>3963.93994140625</v>
      </c>
    </row>
    <row r="281" spans="20:24" ht="16.5">
      <c r="T281" s="86" t="s">
        <v>1306</v>
      </c>
      <c r="U281" s="92">
        <v>172.97999572753909</v>
      </c>
      <c r="V281" s="92">
        <v>155.33024597167969</v>
      </c>
      <c r="W281" s="104">
        <v>3134000</v>
      </c>
      <c r="X281" s="92">
        <v>3957.6298828125</v>
      </c>
    </row>
    <row r="282" spans="20:24" ht="16.5">
      <c r="T282" s="86" t="s">
        <v>1307</v>
      </c>
      <c r="U282" s="92">
        <v>180.46000671386719</v>
      </c>
      <c r="V282" s="92">
        <v>162.04704284667969</v>
      </c>
      <c r="W282" s="104">
        <v>9780300</v>
      </c>
      <c r="X282" s="92">
        <v>4080.110107421875</v>
      </c>
    </row>
    <row r="283" spans="20:24" ht="16.5">
      <c r="T283" s="86" t="s">
        <v>1308</v>
      </c>
      <c r="U283" s="92">
        <v>177.5</v>
      </c>
      <c r="V283" s="92">
        <v>159.38908386230469</v>
      </c>
      <c r="W283" s="104">
        <v>5479900</v>
      </c>
      <c r="X283" s="92">
        <v>4076.570068359375</v>
      </c>
    </row>
    <row r="284" spans="20:24" ht="16.5">
      <c r="T284" s="86" t="s">
        <v>1309</v>
      </c>
      <c r="U284" s="92">
        <v>177.6600036621094</v>
      </c>
      <c r="V284" s="92">
        <v>159.5327453613281</v>
      </c>
      <c r="W284" s="104">
        <v>3822900</v>
      </c>
      <c r="X284" s="92">
        <v>4071.699951171875</v>
      </c>
    </row>
    <row r="285" spans="20:24" ht="16.5">
      <c r="T285" s="86" t="s">
        <v>1310</v>
      </c>
      <c r="U285" s="92">
        <v>177.38999938964841</v>
      </c>
      <c r="V285" s="92">
        <v>159.290283203125</v>
      </c>
      <c r="W285" s="104">
        <v>4875300</v>
      </c>
      <c r="X285" s="92">
        <v>3998.840087890625</v>
      </c>
    </row>
    <row r="286" spans="20:24" ht="16.5">
      <c r="T286" s="86" t="s">
        <v>1311</v>
      </c>
      <c r="U286" s="92">
        <v>174.3399963378906</v>
      </c>
      <c r="V286" s="92">
        <v>156.55149841308591</v>
      </c>
      <c r="W286" s="104">
        <v>4417900</v>
      </c>
      <c r="X286" s="92">
        <v>3941.260009765625</v>
      </c>
    </row>
    <row r="287" spans="20:24" ht="16.5">
      <c r="T287" s="86" t="s">
        <v>1312</v>
      </c>
      <c r="U287" s="92">
        <v>173.75</v>
      </c>
      <c r="V287" s="92">
        <v>156.0216979980469</v>
      </c>
      <c r="W287" s="104">
        <v>3242800</v>
      </c>
      <c r="X287" s="92">
        <v>3933.919921875</v>
      </c>
    </row>
    <row r="288" spans="20:24" ht="16.5">
      <c r="T288" s="86" t="s">
        <v>1313</v>
      </c>
      <c r="U288" s="92">
        <v>176.36000061035159</v>
      </c>
      <c r="V288" s="92">
        <v>158.3653869628906</v>
      </c>
      <c r="W288" s="104">
        <v>3902700</v>
      </c>
      <c r="X288" s="92">
        <v>3963.510009765625</v>
      </c>
    </row>
    <row r="289" spans="20:24" ht="16.5">
      <c r="T289" s="86" t="s">
        <v>1314</v>
      </c>
      <c r="U289" s="92">
        <v>174.25999450683591</v>
      </c>
      <c r="V289" s="92">
        <v>156.4796447753906</v>
      </c>
      <c r="W289" s="104">
        <v>3966700</v>
      </c>
      <c r="X289" s="92">
        <v>3934.3798828125</v>
      </c>
    </row>
    <row r="290" spans="20:24" ht="16.5">
      <c r="T290" s="86" t="s">
        <v>1315</v>
      </c>
      <c r="U290" s="92">
        <v>177.47999572753909</v>
      </c>
      <c r="V290" s="92">
        <v>159.37110900878909</v>
      </c>
      <c r="W290" s="104">
        <v>5347000</v>
      </c>
      <c r="X290" s="92">
        <v>3990.56005859375</v>
      </c>
    </row>
    <row r="291" spans="20:24" ht="16.5">
      <c r="T291" s="86" t="s">
        <v>1316</v>
      </c>
      <c r="U291" s="92">
        <v>177.5</v>
      </c>
      <c r="V291" s="92">
        <v>159.38908386230469</v>
      </c>
      <c r="W291" s="104">
        <v>6951000</v>
      </c>
      <c r="X291" s="92">
        <v>4019.64990234375</v>
      </c>
    </row>
    <row r="292" spans="20:24" ht="16.5">
      <c r="T292" s="86" t="s">
        <v>1317</v>
      </c>
      <c r="U292" s="92">
        <v>175.82000732421881</v>
      </c>
      <c r="V292" s="92">
        <v>157.88050842285159</v>
      </c>
      <c r="W292" s="104">
        <v>5114600</v>
      </c>
      <c r="X292" s="92">
        <v>3995.320068359375</v>
      </c>
    </row>
    <row r="293" spans="20:24" ht="16.5">
      <c r="T293" s="86" t="s">
        <v>1318</v>
      </c>
      <c r="U293" s="92">
        <v>170.00999450683591</v>
      </c>
      <c r="V293" s="92">
        <v>152.66331481933591</v>
      </c>
      <c r="W293" s="104">
        <v>6007300</v>
      </c>
      <c r="X293" s="92">
        <v>3895.75</v>
      </c>
    </row>
    <row r="294" spans="20:24" ht="16.5">
      <c r="T294" s="86" t="s">
        <v>1319</v>
      </c>
      <c r="U294" s="92">
        <v>169.55000305175781</v>
      </c>
      <c r="V294" s="92">
        <v>152.250244140625</v>
      </c>
      <c r="W294" s="104">
        <v>10423600</v>
      </c>
      <c r="X294" s="92">
        <v>3852.360107421875</v>
      </c>
    </row>
    <row r="295" spans="20:24" ht="16.5">
      <c r="T295" s="86" t="s">
        <v>1320</v>
      </c>
      <c r="U295" s="92">
        <v>167.61000061035159</v>
      </c>
      <c r="V295" s="92">
        <v>150.50819396972659</v>
      </c>
      <c r="W295" s="104">
        <v>4507000</v>
      </c>
      <c r="X295" s="92">
        <v>3817.659912109375</v>
      </c>
    </row>
    <row r="296" spans="20:24" ht="16.5">
      <c r="T296" s="86" t="s">
        <v>1321</v>
      </c>
      <c r="U296" s="92">
        <v>166.0899963378906</v>
      </c>
      <c r="V296" s="92">
        <v>149.14326477050781</v>
      </c>
      <c r="W296" s="104">
        <v>3777600</v>
      </c>
      <c r="X296" s="92">
        <v>3821.6201171875</v>
      </c>
    </row>
    <row r="297" spans="20:24" ht="16.5">
      <c r="T297" s="86" t="s">
        <v>1322</v>
      </c>
      <c r="U297" s="92">
        <v>168.72999572753909</v>
      </c>
      <c r="V297" s="92">
        <v>151.5138854980469</v>
      </c>
      <c r="W297" s="104">
        <v>3632100</v>
      </c>
      <c r="X297" s="92">
        <v>3878.43994140625</v>
      </c>
    </row>
    <row r="298" spans="20:24" ht="16.5">
      <c r="T298" s="86" t="s">
        <v>1323</v>
      </c>
      <c r="U298" s="92">
        <v>164.69999694824219</v>
      </c>
      <c r="V298" s="92">
        <v>147.8951110839844</v>
      </c>
      <c r="W298" s="104">
        <v>7188700</v>
      </c>
      <c r="X298" s="92">
        <v>3822.389892578125</v>
      </c>
    </row>
    <row r="299" spans="20:24" ht="16.5">
      <c r="T299" s="86" t="s">
        <v>1324</v>
      </c>
      <c r="U299" s="92">
        <v>164.3800048828125</v>
      </c>
      <c r="V299" s="92">
        <v>147.60774230957031</v>
      </c>
      <c r="W299" s="104">
        <v>2597000</v>
      </c>
      <c r="X299" s="92">
        <v>3844.820068359375</v>
      </c>
    </row>
    <row r="300" spans="20:24" ht="16.5">
      <c r="T300" s="86" t="s">
        <v>1325</v>
      </c>
      <c r="U300" s="92">
        <v>163.7799987792969</v>
      </c>
      <c r="V300" s="92">
        <v>147.06895446777341</v>
      </c>
      <c r="W300" s="104">
        <v>3535600</v>
      </c>
      <c r="X300" s="92">
        <v>3829.25</v>
      </c>
    </row>
    <row r="301" spans="20:24" ht="16.5">
      <c r="T301" s="86" t="s">
        <v>1326</v>
      </c>
      <c r="U301" s="92">
        <v>161.19000244140619</v>
      </c>
      <c r="V301" s="92">
        <v>144.7432556152344</v>
      </c>
      <c r="W301" s="104">
        <v>2998600</v>
      </c>
      <c r="X301" s="92">
        <v>3783.219970703125</v>
      </c>
    </row>
    <row r="302" spans="20:24" ht="16.5">
      <c r="T302" s="86" t="s">
        <v>1327</v>
      </c>
      <c r="U302" s="92">
        <v>165.02000427246091</v>
      </c>
      <c r="V302" s="92">
        <v>148.1824645996094</v>
      </c>
      <c r="W302" s="104">
        <v>4081600</v>
      </c>
      <c r="X302" s="92">
        <v>3849.280029296875</v>
      </c>
    </row>
    <row r="303" spans="20:24" ht="16.5">
      <c r="T303" s="86" t="s">
        <v>1328</v>
      </c>
      <c r="U303" s="92">
        <v>165.2200012207031</v>
      </c>
      <c r="V303" s="92">
        <v>148.36204528808591</v>
      </c>
      <c r="W303" s="104">
        <v>3249000</v>
      </c>
      <c r="X303" s="92">
        <v>3839.5</v>
      </c>
    </row>
    <row r="304" spans="20:24" ht="16.5">
      <c r="T304" s="86" t="s">
        <v>1329</v>
      </c>
      <c r="U304" s="92">
        <v>163.21000671386719</v>
      </c>
      <c r="V304" s="92">
        <v>146.55714416503909</v>
      </c>
      <c r="W304" s="104">
        <v>4294100</v>
      </c>
      <c r="X304" s="92">
        <v>3824.139892578125</v>
      </c>
    </row>
    <row r="305" spans="20:24" ht="16.5">
      <c r="T305" s="86" t="s">
        <v>1330</v>
      </c>
      <c r="U305" s="92">
        <v>169.16999816894531</v>
      </c>
      <c r="V305" s="92">
        <v>151.90901184082031</v>
      </c>
      <c r="W305" s="104">
        <v>6285300</v>
      </c>
      <c r="X305" s="92">
        <v>3852.969970703125</v>
      </c>
    </row>
    <row r="306" spans="20:24" ht="16.5">
      <c r="T306" s="86" t="s">
        <v>1331</v>
      </c>
      <c r="U306" s="92">
        <v>166.92999267578119</v>
      </c>
      <c r="V306" s="92">
        <v>149.8975524902344</v>
      </c>
      <c r="W306" s="104">
        <v>6876800</v>
      </c>
      <c r="X306" s="92">
        <v>3808.10009765625</v>
      </c>
    </row>
    <row r="307" spans="20:24" ht="16.5">
      <c r="T307" s="86" t="s">
        <v>1332</v>
      </c>
      <c r="U307" s="92">
        <v>175.1600036621094</v>
      </c>
      <c r="V307" s="92">
        <v>157.28782653808591</v>
      </c>
      <c r="W307" s="104">
        <v>6725900</v>
      </c>
      <c r="X307" s="92">
        <v>3895.080078125</v>
      </c>
    </row>
    <row r="308" spans="20:24" ht="16.5">
      <c r="T308" s="86" t="s">
        <v>1333</v>
      </c>
      <c r="U308" s="92">
        <v>176.67999267578119</v>
      </c>
      <c r="V308" s="92">
        <v>158.6527099609375</v>
      </c>
      <c r="W308" s="104">
        <v>5733900</v>
      </c>
      <c r="X308" s="92">
        <v>3892.090087890625</v>
      </c>
    </row>
    <row r="309" spans="20:24" ht="16.5">
      <c r="T309" s="86" t="s">
        <v>1334</v>
      </c>
      <c r="U309" s="92">
        <v>178.3999938964844</v>
      </c>
      <c r="V309" s="92">
        <v>160.197265625</v>
      </c>
      <c r="W309" s="104">
        <v>4267700</v>
      </c>
      <c r="X309" s="92">
        <v>3919.25</v>
      </c>
    </row>
    <row r="310" spans="20:24" ht="16.5">
      <c r="T310" s="86" t="s">
        <v>1335</v>
      </c>
      <c r="U310" s="92">
        <v>178.8699951171875</v>
      </c>
      <c r="V310" s="92">
        <v>160.6192626953125</v>
      </c>
      <c r="W310" s="104">
        <v>5013900</v>
      </c>
      <c r="X310" s="92">
        <v>3969.610107421875</v>
      </c>
    </row>
    <row r="311" spans="20:24" ht="16.5">
      <c r="T311" s="86" t="s">
        <v>1336</v>
      </c>
      <c r="U311" s="92">
        <v>178.1300048828125</v>
      </c>
      <c r="V311" s="92">
        <v>159.95478820800781</v>
      </c>
      <c r="W311" s="104">
        <v>4324900</v>
      </c>
      <c r="X311" s="92">
        <v>3983.169921875</v>
      </c>
    </row>
    <row r="312" spans="20:24" ht="16.5">
      <c r="T312" s="86" t="s">
        <v>1337</v>
      </c>
      <c r="U312" s="92">
        <v>179.00999450683591</v>
      </c>
      <c r="V312" s="92">
        <v>160.74501037597659</v>
      </c>
      <c r="W312" s="104">
        <v>3736700</v>
      </c>
      <c r="X312" s="92">
        <v>3999.090087890625</v>
      </c>
    </row>
    <row r="313" spans="20:24" ht="16.5">
      <c r="T313" s="86" t="s">
        <v>1338</v>
      </c>
      <c r="U313" s="92">
        <v>175.3999938964844</v>
      </c>
      <c r="V313" s="92">
        <v>157.50335693359381</v>
      </c>
      <c r="W313" s="104">
        <v>5659400</v>
      </c>
      <c r="X313" s="92">
        <v>3990.969970703125</v>
      </c>
    </row>
    <row r="314" spans="20:24" ht="16.5">
      <c r="T314" s="86" t="s">
        <v>1339</v>
      </c>
      <c r="U314" s="92">
        <v>173.75999450683591</v>
      </c>
      <c r="V314" s="92">
        <v>156.03070068359381</v>
      </c>
      <c r="W314" s="104">
        <v>5874300</v>
      </c>
      <c r="X314" s="92">
        <v>3928.860107421875</v>
      </c>
    </row>
    <row r="315" spans="20:24" ht="16.5">
      <c r="T315" s="86" t="s">
        <v>1340</v>
      </c>
      <c r="U315" s="92">
        <v>170.92999267578119</v>
      </c>
      <c r="V315" s="92">
        <v>153.4894104003906</v>
      </c>
      <c r="W315" s="104">
        <v>5995700</v>
      </c>
      <c r="X315" s="92">
        <v>3898.85009765625</v>
      </c>
    </row>
    <row r="316" spans="20:24" ht="16.5">
      <c r="T316" s="86" t="s">
        <v>1341</v>
      </c>
      <c r="U316" s="92">
        <v>173</v>
      </c>
      <c r="V316" s="92">
        <v>155.3482360839844</v>
      </c>
      <c r="W316" s="104">
        <v>7569900</v>
      </c>
      <c r="X316" s="92">
        <v>3972.610107421875</v>
      </c>
    </row>
    <row r="317" spans="20:24" ht="16.5">
      <c r="T317" s="86" t="s">
        <v>1342</v>
      </c>
      <c r="U317" s="92">
        <v>178.16999816894531</v>
      </c>
      <c r="V317" s="92">
        <v>159.99072265625</v>
      </c>
      <c r="W317" s="104">
        <v>7847600</v>
      </c>
      <c r="X317" s="92">
        <v>4019.81005859375</v>
      </c>
    </row>
    <row r="318" spans="20:24" ht="16.5">
      <c r="T318" s="86" t="s">
        <v>1343</v>
      </c>
      <c r="U318" s="92">
        <v>177.03999328613281</v>
      </c>
      <c r="V318" s="92">
        <v>158.97602844238281</v>
      </c>
      <c r="W318" s="104">
        <v>5351600</v>
      </c>
      <c r="X318" s="92">
        <v>4016.949951171875</v>
      </c>
    </row>
    <row r="319" spans="20:24" ht="16.5">
      <c r="T319" s="86" t="s">
        <v>1344</v>
      </c>
      <c r="U319" s="92">
        <v>175.03999328613281</v>
      </c>
      <c r="V319" s="92">
        <v>157.1800842285156</v>
      </c>
      <c r="W319" s="104">
        <v>6720700</v>
      </c>
      <c r="X319" s="92">
        <v>4016.219970703125</v>
      </c>
    </row>
    <row r="320" spans="20:24" ht="16.5">
      <c r="T320" s="86" t="s">
        <v>1345</v>
      </c>
      <c r="U320" s="92">
        <v>174.1000061035156</v>
      </c>
      <c r="V320" s="92">
        <v>156.33599853515619</v>
      </c>
      <c r="W320" s="104">
        <v>6287900</v>
      </c>
      <c r="X320" s="92">
        <v>4060.429931640625</v>
      </c>
    </row>
    <row r="321" spans="20:24" ht="16.5">
      <c r="T321" s="86" t="s">
        <v>1346</v>
      </c>
      <c r="U321" s="92">
        <v>175.24000549316409</v>
      </c>
      <c r="V321" s="92">
        <v>157.35966491699219</v>
      </c>
      <c r="W321" s="104">
        <v>6074900</v>
      </c>
      <c r="X321" s="92">
        <v>4070.56005859375</v>
      </c>
    </row>
    <row r="322" spans="20:24" ht="16.5">
      <c r="T322" s="86" t="s">
        <v>1347</v>
      </c>
      <c r="U322" s="92">
        <v>173.1300048828125</v>
      </c>
      <c r="V322" s="92">
        <v>156.5728759765625</v>
      </c>
      <c r="W322" s="104">
        <v>5048900</v>
      </c>
      <c r="X322" s="92">
        <v>4017.77001953125</v>
      </c>
    </row>
    <row r="323" spans="20:24" ht="16.5">
      <c r="T323" s="86" t="s">
        <v>1348</v>
      </c>
      <c r="U323" s="92">
        <v>177.21000671386719</v>
      </c>
      <c r="V323" s="92">
        <v>160.2626953125</v>
      </c>
      <c r="W323" s="104">
        <v>5852400</v>
      </c>
      <c r="X323" s="92">
        <v>4076.60009765625</v>
      </c>
    </row>
    <row r="324" spans="20:24" ht="16.5">
      <c r="T324" s="86" t="s">
        <v>1349</v>
      </c>
      <c r="U324" s="92">
        <v>182.1000061035156</v>
      </c>
      <c r="V324" s="92">
        <v>164.6850280761719</v>
      </c>
      <c r="W324" s="104">
        <v>7835800</v>
      </c>
      <c r="X324" s="92">
        <v>4119.2099609375</v>
      </c>
    </row>
    <row r="325" spans="20:24" ht="16.5">
      <c r="T325" s="86" t="s">
        <v>1350</v>
      </c>
      <c r="U325" s="92">
        <v>184.7200012207031</v>
      </c>
      <c r="V325" s="92">
        <v>167.05448913574219</v>
      </c>
      <c r="W325" s="104">
        <v>11667100</v>
      </c>
      <c r="X325" s="92">
        <v>4179.759765625</v>
      </c>
    </row>
    <row r="326" spans="20:24" ht="16.5">
      <c r="T326" s="86" t="s">
        <v>1351</v>
      </c>
      <c r="U326" s="92">
        <v>182.28999328613281</v>
      </c>
      <c r="V326" s="92">
        <v>164.8568420410156</v>
      </c>
      <c r="W326" s="104">
        <v>5732200</v>
      </c>
      <c r="X326" s="92">
        <v>4136.47998046875</v>
      </c>
    </row>
    <row r="327" spans="20:24" ht="16.5">
      <c r="T327" s="86" t="s">
        <v>1352</v>
      </c>
      <c r="U327" s="92">
        <v>181</v>
      </c>
      <c r="V327" s="92">
        <v>163.69023132324219</v>
      </c>
      <c r="W327" s="104">
        <v>4385700</v>
      </c>
      <c r="X327" s="92">
        <v>4111.080078125</v>
      </c>
    </row>
    <row r="328" spans="20:24" ht="16.5">
      <c r="T328" s="86" t="s">
        <v>1353</v>
      </c>
      <c r="U328" s="92">
        <v>183.49000549316409</v>
      </c>
      <c r="V328" s="92">
        <v>165.94209289550781</v>
      </c>
      <c r="W328" s="104">
        <v>4799900</v>
      </c>
      <c r="X328" s="92">
        <v>4164</v>
      </c>
    </row>
    <row r="329" spans="20:24" ht="16.5">
      <c r="T329" s="86" t="s">
        <v>1354</v>
      </c>
      <c r="U329" s="92">
        <v>176.5</v>
      </c>
      <c r="V329" s="92">
        <v>159.6205749511719</v>
      </c>
      <c r="W329" s="104">
        <v>5657600</v>
      </c>
      <c r="X329" s="92">
        <v>4117.85986328125</v>
      </c>
    </row>
    <row r="330" spans="20:24" ht="16.5">
      <c r="T330" s="86" t="s">
        <v>1355</v>
      </c>
      <c r="U330" s="92">
        <v>174.99000549316409</v>
      </c>
      <c r="V330" s="92">
        <v>158.2550048828125</v>
      </c>
      <c r="W330" s="104">
        <v>5572000</v>
      </c>
      <c r="X330" s="92">
        <v>4081.5</v>
      </c>
    </row>
    <row r="331" spans="20:24" ht="16.5">
      <c r="T331" s="86" t="s">
        <v>1356</v>
      </c>
      <c r="U331" s="92">
        <v>175.78999328613281</v>
      </c>
      <c r="V331" s="92">
        <v>158.97846984863281</v>
      </c>
      <c r="W331" s="104">
        <v>5466400</v>
      </c>
      <c r="X331" s="92">
        <v>4090.4599609375</v>
      </c>
    </row>
    <row r="332" spans="20:24" ht="16.5">
      <c r="T332" s="86" t="s">
        <v>1357</v>
      </c>
      <c r="U332" s="92">
        <v>176.71000671386719</v>
      </c>
      <c r="V332" s="92">
        <v>159.81048583984381</v>
      </c>
      <c r="W332" s="104">
        <v>3443200</v>
      </c>
      <c r="X332" s="92">
        <v>4137.2900390625</v>
      </c>
    </row>
    <row r="333" spans="20:24" ht="16.5">
      <c r="T333" s="86" t="s">
        <v>1358</v>
      </c>
      <c r="U333" s="92">
        <v>176.3399963378906</v>
      </c>
      <c r="V333" s="92">
        <v>159.47589111328119</v>
      </c>
      <c r="W333" s="104">
        <v>4179200</v>
      </c>
      <c r="X333" s="92">
        <v>4136.1298828125</v>
      </c>
    </row>
    <row r="334" spans="20:24" ht="16.5">
      <c r="T334" s="86" t="s">
        <v>1359</v>
      </c>
      <c r="U334" s="92">
        <v>178.5</v>
      </c>
      <c r="V334" s="92">
        <v>161.42930603027341</v>
      </c>
      <c r="W334" s="104">
        <v>3879700</v>
      </c>
      <c r="X334" s="92">
        <v>4147.60009765625</v>
      </c>
    </row>
    <row r="335" spans="20:24" ht="16.5">
      <c r="T335" s="86" t="s">
        <v>1360</v>
      </c>
      <c r="U335" s="92">
        <v>176.08000183105469</v>
      </c>
      <c r="V335" s="92">
        <v>159.24076843261719</v>
      </c>
      <c r="W335" s="104">
        <v>4212400</v>
      </c>
      <c r="X335" s="92">
        <v>4090.409912109375</v>
      </c>
    </row>
    <row r="336" spans="20:24" ht="16.5">
      <c r="T336" s="86" t="s">
        <v>1361</v>
      </c>
      <c r="U336" s="92">
        <v>175.32000732421881</v>
      </c>
      <c r="V336" s="92">
        <v>158.5534362792969</v>
      </c>
      <c r="W336" s="104">
        <v>4060800</v>
      </c>
      <c r="X336" s="92">
        <v>4079.090087890625</v>
      </c>
    </row>
    <row r="337" spans="20:24" ht="16.5">
      <c r="T337" s="86" t="s">
        <v>1362</v>
      </c>
      <c r="U337" s="92">
        <v>170.75999450683591</v>
      </c>
      <c r="V337" s="92">
        <v>154.4295349121094</v>
      </c>
      <c r="W337" s="104">
        <v>7030300</v>
      </c>
      <c r="X337" s="92">
        <v>3997.340087890625</v>
      </c>
    </row>
    <row r="338" spans="20:24" ht="16.5">
      <c r="T338" s="86" t="s">
        <v>1363</v>
      </c>
      <c r="U338" s="92">
        <v>169.80000305175781</v>
      </c>
      <c r="V338" s="92">
        <v>153.56134033203119</v>
      </c>
      <c r="W338" s="104">
        <v>4577400</v>
      </c>
      <c r="X338" s="92">
        <v>3991.050048828125</v>
      </c>
    </row>
    <row r="339" spans="20:24" ht="16.5">
      <c r="T339" s="86" t="s">
        <v>1364</v>
      </c>
      <c r="U339" s="92">
        <v>171.82000732421881</v>
      </c>
      <c r="V339" s="92">
        <v>155.3881530761719</v>
      </c>
      <c r="W339" s="104">
        <v>4856600</v>
      </c>
      <c r="X339" s="92">
        <v>4012.320068359375</v>
      </c>
    </row>
    <row r="340" spans="20:24" ht="16.5">
      <c r="T340" s="86" t="s">
        <v>1365</v>
      </c>
      <c r="U340" s="92">
        <v>169.13999938964841</v>
      </c>
      <c r="V340" s="92">
        <v>152.96443176269531</v>
      </c>
      <c r="W340" s="104">
        <v>4118300</v>
      </c>
      <c r="X340" s="92">
        <v>3970.0400390625</v>
      </c>
    </row>
    <row r="341" spans="20:24" ht="16.5">
      <c r="T341" s="86" t="s">
        <v>1366</v>
      </c>
      <c r="U341" s="92">
        <v>170.74000549316409</v>
      </c>
      <c r="V341" s="92">
        <v>154.41143798828119</v>
      </c>
      <c r="W341" s="104">
        <v>3310100</v>
      </c>
      <c r="X341" s="92">
        <v>3982.239990234375</v>
      </c>
    </row>
    <row r="342" spans="20:24" ht="16.5">
      <c r="T342" s="86" t="s">
        <v>1367</v>
      </c>
      <c r="U342" s="92">
        <v>171.44999694824219</v>
      </c>
      <c r="V342" s="92">
        <v>155.0535583496094</v>
      </c>
      <c r="W342" s="104">
        <v>3674500</v>
      </c>
      <c r="X342" s="92">
        <v>3970.14990234375</v>
      </c>
    </row>
    <row r="343" spans="20:24" ht="16.5">
      <c r="T343" s="86" t="s">
        <v>1368</v>
      </c>
      <c r="U343" s="92">
        <v>172.16999816894531</v>
      </c>
      <c r="V343" s="92">
        <v>155.70466613769531</v>
      </c>
      <c r="W343" s="104">
        <v>4649800</v>
      </c>
      <c r="X343" s="92">
        <v>3951.389892578125</v>
      </c>
    </row>
    <row r="344" spans="20:24" ht="16.5">
      <c r="T344" s="86" t="s">
        <v>1369</v>
      </c>
      <c r="U344" s="92">
        <v>174.08000183105469</v>
      </c>
      <c r="V344" s="92">
        <v>157.4320373535156</v>
      </c>
      <c r="W344" s="104">
        <v>4551100</v>
      </c>
      <c r="X344" s="92">
        <v>3981.35009765625</v>
      </c>
    </row>
    <row r="345" spans="20:24" ht="16.5">
      <c r="T345" s="86" t="s">
        <v>1370</v>
      </c>
      <c r="U345" s="92">
        <v>175.67999267578119</v>
      </c>
      <c r="V345" s="92">
        <v>158.87898254394531</v>
      </c>
      <c r="W345" s="104">
        <v>4379200</v>
      </c>
      <c r="X345" s="92">
        <v>4045.639892578125</v>
      </c>
    </row>
    <row r="346" spans="20:24" ht="16.5">
      <c r="T346" s="86" t="s">
        <v>1371</v>
      </c>
      <c r="U346" s="92">
        <v>173.05000305175781</v>
      </c>
      <c r="V346" s="92">
        <v>156.5005187988281</v>
      </c>
      <c r="W346" s="104">
        <v>4090100</v>
      </c>
      <c r="X346" s="92">
        <v>4048.419921875</v>
      </c>
    </row>
    <row r="347" spans="20:24" ht="16.5">
      <c r="T347" s="86" t="s">
        <v>1372</v>
      </c>
      <c r="U347" s="92">
        <v>172.05999755859381</v>
      </c>
      <c r="V347" s="92">
        <v>155.60520935058591</v>
      </c>
      <c r="W347" s="104">
        <v>3844100</v>
      </c>
      <c r="X347" s="92">
        <v>3986.3701171875</v>
      </c>
    </row>
    <row r="348" spans="20:24" ht="16.5">
      <c r="T348" s="86" t="s">
        <v>1373</v>
      </c>
      <c r="U348" s="92">
        <v>176.2200012207031</v>
      </c>
      <c r="V348" s="92">
        <v>159.36735534667969</v>
      </c>
      <c r="W348" s="104">
        <v>3805400</v>
      </c>
      <c r="X348" s="92">
        <v>3992.010009765625</v>
      </c>
    </row>
    <row r="349" spans="20:24" ht="16.5">
      <c r="T349" s="86" t="s">
        <v>1374</v>
      </c>
      <c r="U349" s="92">
        <v>173.44000244140619</v>
      </c>
      <c r="V349" s="92">
        <v>156.85319519042969</v>
      </c>
      <c r="W349" s="104">
        <v>4651200</v>
      </c>
      <c r="X349" s="92">
        <v>3918.320068359375</v>
      </c>
    </row>
    <row r="350" spans="20:24" ht="16.5">
      <c r="T350" s="86" t="s">
        <v>1375</v>
      </c>
      <c r="U350" s="92">
        <v>171.63999938964841</v>
      </c>
      <c r="V350" s="92">
        <v>155.2253723144531</v>
      </c>
      <c r="W350" s="104">
        <v>5929700</v>
      </c>
      <c r="X350" s="92">
        <v>3861.590087890625</v>
      </c>
    </row>
    <row r="351" spans="20:24" ht="16.5">
      <c r="T351" s="86" t="s">
        <v>1376</v>
      </c>
      <c r="U351" s="92">
        <v>173.88999938964841</v>
      </c>
      <c r="V351" s="92">
        <v>157.26019287109381</v>
      </c>
      <c r="W351" s="104">
        <v>5453400</v>
      </c>
      <c r="X351" s="92">
        <v>3855.760009765625</v>
      </c>
    </row>
    <row r="352" spans="20:24" ht="16.5">
      <c r="T352" s="86" t="s">
        <v>1377</v>
      </c>
      <c r="U352" s="92">
        <v>175.72999572753909</v>
      </c>
      <c r="V352" s="92">
        <v>158.9242248535156</v>
      </c>
      <c r="W352" s="104">
        <v>5034600</v>
      </c>
      <c r="X352" s="92">
        <v>3919.2900390625</v>
      </c>
    </row>
    <row r="353" spans="20:24" ht="16.5">
      <c r="T353" s="86" t="s">
        <v>1378</v>
      </c>
      <c r="U353" s="92">
        <v>174.38999938964841</v>
      </c>
      <c r="V353" s="92">
        <v>157.7123718261719</v>
      </c>
      <c r="W353" s="104">
        <v>4918300</v>
      </c>
      <c r="X353" s="92">
        <v>3891.929931640625</v>
      </c>
    </row>
    <row r="354" spans="20:24" ht="16.5">
      <c r="T354" s="86" t="s">
        <v>1379</v>
      </c>
      <c r="U354" s="92">
        <v>177.1300048828125</v>
      </c>
      <c r="V354" s="92">
        <v>160.1903381347656</v>
      </c>
      <c r="W354" s="104">
        <v>5028500</v>
      </c>
      <c r="X354" s="92">
        <v>3960.280029296875</v>
      </c>
    </row>
    <row r="355" spans="20:24" ht="16.5">
      <c r="T355" s="86" t="s">
        <v>1380</v>
      </c>
      <c r="U355" s="92">
        <v>175.71000671386719</v>
      </c>
      <c r="V355" s="92">
        <v>158.9061279296875</v>
      </c>
      <c r="W355" s="104">
        <v>12963300</v>
      </c>
      <c r="X355" s="92">
        <v>3916.639892578125</v>
      </c>
    </row>
    <row r="356" spans="20:24" ht="16.5">
      <c r="T356" s="86" t="s">
        <v>1381</v>
      </c>
      <c r="U356" s="92">
        <v>179.1600036621094</v>
      </c>
      <c r="V356" s="92">
        <v>162.02619934082031</v>
      </c>
      <c r="W356" s="104">
        <v>4964600</v>
      </c>
      <c r="X356" s="92">
        <v>3951.570068359375</v>
      </c>
    </row>
    <row r="357" spans="20:24" ht="16.5">
      <c r="T357" s="86" t="s">
        <v>1382</v>
      </c>
      <c r="U357" s="92">
        <v>178.4100036621094</v>
      </c>
      <c r="V357" s="92">
        <v>161.3479309082031</v>
      </c>
      <c r="W357" s="104">
        <v>4217500</v>
      </c>
      <c r="X357" s="92">
        <v>4002.8701171875</v>
      </c>
    </row>
    <row r="358" spans="20:24" ht="16.5">
      <c r="T358" s="86" t="s">
        <v>1383</v>
      </c>
      <c r="U358" s="92">
        <v>176.32000732421881</v>
      </c>
      <c r="V358" s="92">
        <v>159.45780944824219</v>
      </c>
      <c r="W358" s="104">
        <v>4738000</v>
      </c>
      <c r="X358" s="92">
        <v>3936.969970703125</v>
      </c>
    </row>
    <row r="359" spans="20:24" ht="16.5">
      <c r="T359" s="86" t="s">
        <v>1384</v>
      </c>
      <c r="U359" s="92">
        <v>180.2799987792969</v>
      </c>
      <c r="V359" s="92">
        <v>163.03907775878909</v>
      </c>
      <c r="W359" s="104">
        <v>5083300</v>
      </c>
      <c r="X359" s="92">
        <v>3948.719970703125</v>
      </c>
    </row>
    <row r="360" spans="20:24" ht="16.5">
      <c r="T360" s="86" t="s">
        <v>1385</v>
      </c>
      <c r="U360" s="92">
        <v>179.50999450683591</v>
      </c>
      <c r="V360" s="92">
        <v>162.34272766113281</v>
      </c>
      <c r="W360" s="104">
        <v>5345400</v>
      </c>
      <c r="X360" s="92">
        <v>3970.989990234375</v>
      </c>
    </row>
    <row r="361" spans="20:24" ht="16.5">
      <c r="T361" s="86" t="s">
        <v>1386</v>
      </c>
      <c r="U361" s="92">
        <v>177.05000305175781</v>
      </c>
      <c r="V361" s="92">
        <v>160.11798095703119</v>
      </c>
      <c r="W361" s="104">
        <v>4453200</v>
      </c>
      <c r="X361" s="92">
        <v>3977.530029296875</v>
      </c>
    </row>
    <row r="362" spans="20:24" ht="16.5">
      <c r="T362" s="86" t="s">
        <v>1387</v>
      </c>
      <c r="U362" s="92">
        <v>177.49000549316409</v>
      </c>
      <c r="V362" s="92">
        <v>160.51593017578119</v>
      </c>
      <c r="W362" s="104">
        <v>4061500</v>
      </c>
      <c r="X362" s="92">
        <v>3971.27001953125</v>
      </c>
    </row>
    <row r="363" spans="20:24" ht="16.5">
      <c r="T363" s="86" t="s">
        <v>1388</v>
      </c>
      <c r="U363" s="92">
        <v>181.03999328613281</v>
      </c>
      <c r="V363" s="92">
        <v>163.72639465332031</v>
      </c>
      <c r="W363" s="104">
        <v>5227100</v>
      </c>
      <c r="X363" s="92">
        <v>4027.81005859375</v>
      </c>
    </row>
    <row r="364" spans="20:24" ht="16.5">
      <c r="T364" s="86" t="s">
        <v>1389</v>
      </c>
      <c r="U364" s="92">
        <v>184.24000549316409</v>
      </c>
      <c r="V364" s="92">
        <v>166.6203918457031</v>
      </c>
      <c r="W364" s="104">
        <v>5535800</v>
      </c>
      <c r="X364" s="92">
        <v>4050.830078125</v>
      </c>
    </row>
    <row r="365" spans="20:24" ht="16.5">
      <c r="T365" s="86" t="s">
        <v>1390</v>
      </c>
      <c r="U365" s="92">
        <v>186.00999450683599</v>
      </c>
      <c r="V365" s="92">
        <v>168.22108459472659</v>
      </c>
      <c r="W365" s="104">
        <v>4793100</v>
      </c>
      <c r="X365" s="92">
        <v>4109.31005859375</v>
      </c>
    </row>
    <row r="366" spans="20:24" ht="16.5">
      <c r="T366" s="86" t="s">
        <v>1391</v>
      </c>
      <c r="U366" s="92">
        <v>184.16000366210929</v>
      </c>
      <c r="V366" s="92">
        <v>166.54803466796881</v>
      </c>
      <c r="W366" s="104">
        <v>4143000</v>
      </c>
      <c r="X366" s="92">
        <v>4124.509765625</v>
      </c>
    </row>
    <row r="367" spans="20:24" ht="16.5">
      <c r="T367" s="86" t="s">
        <v>1392</v>
      </c>
      <c r="U367" s="92">
        <v>180.3999938964844</v>
      </c>
      <c r="V367" s="92">
        <v>163.14759826660159</v>
      </c>
      <c r="W367" s="104">
        <v>4724800</v>
      </c>
      <c r="X367" s="92">
        <v>4100.60009765625</v>
      </c>
    </row>
    <row r="368" spans="20:24" ht="16.5">
      <c r="T368" s="86" t="s">
        <v>1393</v>
      </c>
      <c r="U368" s="92">
        <v>177.19999694824219</v>
      </c>
      <c r="V368" s="92">
        <v>160.2536315917969</v>
      </c>
      <c r="W368" s="104">
        <v>5904900</v>
      </c>
      <c r="X368" s="92">
        <v>4090.3798828125</v>
      </c>
    </row>
    <row r="369" spans="20:24" ht="16.5">
      <c r="T369" s="86" t="s">
        <v>1394</v>
      </c>
      <c r="U369" s="92">
        <v>178.1199951171875</v>
      </c>
      <c r="V369" s="92">
        <v>161.08564758300781</v>
      </c>
      <c r="W369" s="104">
        <v>3743000</v>
      </c>
      <c r="X369" s="92">
        <v>4105.02001953125</v>
      </c>
    </row>
    <row r="370" spans="20:24" ht="16.5">
      <c r="T370" s="86" t="s">
        <v>1395</v>
      </c>
      <c r="U370" s="92">
        <v>179.41999816894531</v>
      </c>
      <c r="V370" s="92">
        <v>162.26133728027341</v>
      </c>
      <c r="W370" s="104">
        <v>3488500</v>
      </c>
      <c r="X370" s="92">
        <v>4109.10986328125</v>
      </c>
    </row>
    <row r="371" spans="20:24" ht="16.5">
      <c r="T371" s="86" t="s">
        <v>1396</v>
      </c>
      <c r="U371" s="92">
        <v>179.8699951171875</v>
      </c>
      <c r="V371" s="92">
        <v>162.66828918457031</v>
      </c>
      <c r="W371" s="104">
        <v>3296900</v>
      </c>
      <c r="X371" s="92">
        <v>4108.93994140625</v>
      </c>
    </row>
    <row r="372" spans="20:24" ht="16.5">
      <c r="T372" s="86" t="s">
        <v>1397</v>
      </c>
      <c r="U372" s="92">
        <v>177.55000305175781</v>
      </c>
      <c r="V372" s="92">
        <v>160.5701599121094</v>
      </c>
      <c r="W372" s="104">
        <v>3559400</v>
      </c>
      <c r="X372" s="92">
        <v>4091.949951171875</v>
      </c>
    </row>
    <row r="373" spans="20:24" ht="16.5">
      <c r="T373" s="86" t="s">
        <v>1398</v>
      </c>
      <c r="U373" s="92">
        <v>179.11000061035159</v>
      </c>
      <c r="V373" s="92">
        <v>161.98097229003909</v>
      </c>
      <c r="W373" s="104">
        <v>3264200</v>
      </c>
      <c r="X373" s="92">
        <v>4146.22021484375</v>
      </c>
    </row>
    <row r="374" spans="20:24" ht="16.5">
      <c r="T374" s="86" t="s">
        <v>1399</v>
      </c>
      <c r="U374" s="92">
        <v>178.97999572753909</v>
      </c>
      <c r="V374" s="92">
        <v>161.8633728027344</v>
      </c>
      <c r="W374" s="104">
        <v>2741900</v>
      </c>
      <c r="X374" s="92">
        <v>4137.64013671875</v>
      </c>
    </row>
    <row r="375" spans="20:24" ht="16.5">
      <c r="T375" s="86" t="s">
        <v>1400</v>
      </c>
      <c r="U375" s="92">
        <v>180.05000305175781</v>
      </c>
      <c r="V375" s="92">
        <v>162.83106994628909</v>
      </c>
      <c r="W375" s="104">
        <v>2845800</v>
      </c>
      <c r="X375" s="92">
        <v>4151.31982421875</v>
      </c>
    </row>
    <row r="376" spans="20:24" ht="16.5">
      <c r="T376" s="86" t="s">
        <v>1401</v>
      </c>
      <c r="U376" s="92">
        <v>180.32000732421881</v>
      </c>
      <c r="V376" s="92">
        <v>163.07524108886719</v>
      </c>
      <c r="W376" s="104">
        <v>2774700</v>
      </c>
      <c r="X376" s="92">
        <v>4154.8701171875</v>
      </c>
    </row>
    <row r="377" spans="20:24" ht="16.5">
      <c r="T377" s="86" t="s">
        <v>1402</v>
      </c>
      <c r="U377" s="92">
        <v>177.08000183105469</v>
      </c>
      <c r="V377" s="92">
        <v>160.14509582519531</v>
      </c>
      <c r="W377" s="104">
        <v>3093900</v>
      </c>
      <c r="X377" s="92">
        <v>4154.52001953125</v>
      </c>
    </row>
    <row r="378" spans="20:24" ht="16.5">
      <c r="T378" s="86" t="s">
        <v>1403</v>
      </c>
      <c r="U378" s="92">
        <v>176.6199951171875</v>
      </c>
      <c r="V378" s="92">
        <v>159.7290954589844</v>
      </c>
      <c r="W378" s="104">
        <v>4710800</v>
      </c>
      <c r="X378" s="92">
        <v>4129.7900390625</v>
      </c>
    </row>
    <row r="379" spans="20:24" ht="16.5">
      <c r="T379" s="86" t="s">
        <v>1404</v>
      </c>
      <c r="U379" s="92">
        <v>177.02000427246091</v>
      </c>
      <c r="V379" s="92">
        <v>160.09088134765619</v>
      </c>
      <c r="W379" s="104">
        <v>6792000</v>
      </c>
      <c r="X379" s="92">
        <v>4133.52001953125</v>
      </c>
    </row>
    <row r="380" spans="20:24" ht="16.5">
      <c r="T380" s="86" t="s">
        <v>1405</v>
      </c>
      <c r="U380" s="92">
        <v>175.8999938964844</v>
      </c>
      <c r="V380" s="92">
        <v>159.07798767089841</v>
      </c>
      <c r="W380" s="104">
        <v>3360100</v>
      </c>
      <c r="X380" s="92">
        <v>4137.0400390625</v>
      </c>
    </row>
    <row r="381" spans="20:24" ht="16.5">
      <c r="T381" s="86" t="s">
        <v>1406</v>
      </c>
      <c r="U381" s="92">
        <v>169.38999938964841</v>
      </c>
      <c r="V381" s="92">
        <v>153.1905517578125</v>
      </c>
      <c r="W381" s="104">
        <v>7136000</v>
      </c>
      <c r="X381" s="92">
        <v>4071.6298828125</v>
      </c>
    </row>
    <row r="382" spans="20:24" ht="16.5">
      <c r="T382" s="86" t="s">
        <v>1407</v>
      </c>
      <c r="U382" s="92">
        <v>164.46000671386719</v>
      </c>
      <c r="V382" s="92">
        <v>148.73200988769531</v>
      </c>
      <c r="W382" s="104">
        <v>8647500</v>
      </c>
      <c r="X382" s="92">
        <v>4055.989990234375</v>
      </c>
    </row>
    <row r="383" spans="20:24" ht="16.5">
      <c r="T383" s="86" t="s">
        <v>1408</v>
      </c>
      <c r="U383" s="92">
        <v>165.27000427246091</v>
      </c>
      <c r="V383" s="92">
        <v>149.46455383300781</v>
      </c>
      <c r="W383" s="104">
        <v>6697900</v>
      </c>
      <c r="X383" s="92">
        <v>4135.35009765625</v>
      </c>
    </row>
    <row r="384" spans="20:24" ht="16.5">
      <c r="T384" s="86" t="s">
        <v>1409</v>
      </c>
      <c r="U384" s="92">
        <v>167.19999694824219</v>
      </c>
      <c r="V384" s="92">
        <v>151.20997619628909</v>
      </c>
      <c r="W384" s="104">
        <v>6575400</v>
      </c>
      <c r="X384" s="92">
        <v>4169.47998046875</v>
      </c>
    </row>
    <row r="385" spans="20:24" ht="16.5">
      <c r="T385" s="86" t="s">
        <v>1410</v>
      </c>
      <c r="U385" s="92">
        <v>166.67999267578119</v>
      </c>
      <c r="V385" s="92">
        <v>150.73970031738281</v>
      </c>
      <c r="W385" s="104">
        <v>4831200</v>
      </c>
      <c r="X385" s="92">
        <v>4167.8701171875</v>
      </c>
    </row>
    <row r="386" spans="20:24" ht="16.5">
      <c r="T386" s="86" t="s">
        <v>1411</v>
      </c>
      <c r="U386" s="92">
        <v>163.94000244140619</v>
      </c>
      <c r="V386" s="92">
        <v>148.26176452636719</v>
      </c>
      <c r="W386" s="104">
        <v>7312400</v>
      </c>
      <c r="X386" s="92">
        <v>4119.580078125</v>
      </c>
    </row>
    <row r="387" spans="20:24" ht="16.5">
      <c r="T387" s="86" t="s">
        <v>1412</v>
      </c>
      <c r="U387" s="92">
        <v>163.3500061035156</v>
      </c>
      <c r="V387" s="92">
        <v>147.7281799316406</v>
      </c>
      <c r="W387" s="104">
        <v>4398800</v>
      </c>
      <c r="X387" s="92">
        <v>4090.75</v>
      </c>
    </row>
    <row r="388" spans="20:24" ht="16.5">
      <c r="T388" s="86" t="s">
        <v>1413</v>
      </c>
      <c r="U388" s="92">
        <v>162.30000305175781</v>
      </c>
      <c r="V388" s="92">
        <v>146.7785949707031</v>
      </c>
      <c r="W388" s="104">
        <v>4309000</v>
      </c>
      <c r="X388" s="92">
        <v>4061.219970703125</v>
      </c>
    </row>
    <row r="389" spans="20:24" ht="16.5">
      <c r="T389" s="86" t="s">
        <v>1414</v>
      </c>
      <c r="U389" s="92">
        <v>165.82000732421881</v>
      </c>
      <c r="V389" s="92">
        <v>151.11651611328119</v>
      </c>
      <c r="W389" s="104">
        <v>5494700</v>
      </c>
      <c r="X389" s="92">
        <v>4136.25</v>
      </c>
    </row>
    <row r="390" spans="20:24" ht="16.5">
      <c r="T390" s="86" t="s">
        <v>1415</v>
      </c>
      <c r="U390" s="92">
        <v>164.2200012207031</v>
      </c>
      <c r="V390" s="92">
        <v>149.65840148925781</v>
      </c>
      <c r="W390" s="104">
        <v>3831300</v>
      </c>
      <c r="X390" s="92">
        <v>4138.1201171875</v>
      </c>
    </row>
    <row r="391" spans="20:24" ht="16.5">
      <c r="T391" s="86" t="s">
        <v>1416</v>
      </c>
      <c r="U391" s="92">
        <v>163</v>
      </c>
      <c r="V391" s="92">
        <v>148.5465393066406</v>
      </c>
      <c r="W391" s="104">
        <v>5736800</v>
      </c>
      <c r="X391" s="92">
        <v>4119.169921875</v>
      </c>
    </row>
    <row r="392" spans="20:24" ht="16.5">
      <c r="T392" s="86" t="s">
        <v>1417</v>
      </c>
      <c r="U392" s="92">
        <v>163.05000305175781</v>
      </c>
      <c r="V392" s="92">
        <v>148.59214782714841</v>
      </c>
      <c r="W392" s="104">
        <v>4428800</v>
      </c>
      <c r="X392" s="92">
        <v>4137.64013671875</v>
      </c>
    </row>
    <row r="393" spans="20:24" ht="16.5">
      <c r="T393" s="86" t="s">
        <v>1418</v>
      </c>
      <c r="U393" s="92">
        <v>161.16999816894531</v>
      </c>
      <c r="V393" s="92">
        <v>146.8788146972656</v>
      </c>
      <c r="W393" s="104">
        <v>3320400</v>
      </c>
      <c r="X393" s="92">
        <v>4130.6201171875</v>
      </c>
    </row>
    <row r="394" spans="20:24" ht="16.5">
      <c r="T394" s="86" t="s">
        <v>1419</v>
      </c>
      <c r="U394" s="92">
        <v>161.8800048828125</v>
      </c>
      <c r="V394" s="92">
        <v>147.52589416503909</v>
      </c>
      <c r="W394" s="104">
        <v>2400800</v>
      </c>
      <c r="X394" s="92">
        <v>4124.080078125</v>
      </c>
    </row>
    <row r="395" spans="20:24" ht="16.5">
      <c r="T395" s="86" t="s">
        <v>1420</v>
      </c>
      <c r="U395" s="92">
        <v>165.25999450683591</v>
      </c>
      <c r="V395" s="92">
        <v>150.60615539550781</v>
      </c>
      <c r="W395" s="104">
        <v>3789100</v>
      </c>
      <c r="X395" s="92">
        <v>4136.27978515625</v>
      </c>
    </row>
    <row r="396" spans="20:24" ht="16.5">
      <c r="T396" s="86" t="s">
        <v>1421</v>
      </c>
      <c r="U396" s="92">
        <v>163.3800048828125</v>
      </c>
      <c r="V396" s="92">
        <v>148.8928527832031</v>
      </c>
      <c r="W396" s="104">
        <v>4272900</v>
      </c>
      <c r="X396" s="92">
        <v>4109.89990234375</v>
      </c>
    </row>
    <row r="397" spans="20:24" ht="16.5">
      <c r="T397" s="86" t="s">
        <v>1422</v>
      </c>
      <c r="U397" s="92">
        <v>165.3399963378906</v>
      </c>
      <c r="V397" s="92">
        <v>150.67909240722659</v>
      </c>
      <c r="W397" s="104">
        <v>4910300</v>
      </c>
      <c r="X397" s="92">
        <v>4158.77001953125</v>
      </c>
    </row>
    <row r="398" spans="20:24" ht="16.5">
      <c r="T398" s="86" t="s">
        <v>1423</v>
      </c>
      <c r="U398" s="92">
        <v>169.80999755859381</v>
      </c>
      <c r="V398" s="92">
        <v>154.7527160644531</v>
      </c>
      <c r="W398" s="104">
        <v>4916300</v>
      </c>
      <c r="X398" s="92">
        <v>4198.0498046875</v>
      </c>
    </row>
    <row r="399" spans="20:24" ht="16.5">
      <c r="T399" s="86" t="s">
        <v>1424</v>
      </c>
      <c r="U399" s="92">
        <v>170.11000061035159</v>
      </c>
      <c r="V399" s="92">
        <v>155.02610778808591</v>
      </c>
      <c r="W399" s="104">
        <v>4790500</v>
      </c>
      <c r="X399" s="92">
        <v>4191.97998046875</v>
      </c>
    </row>
    <row r="400" spans="20:24" ht="16.5">
      <c r="T400" s="86" t="s">
        <v>1425</v>
      </c>
      <c r="U400" s="92">
        <v>170.86000061035159</v>
      </c>
      <c r="V400" s="92">
        <v>155.7096252441406</v>
      </c>
      <c r="W400" s="104">
        <v>3334000</v>
      </c>
      <c r="X400" s="92">
        <v>4192.6298828125</v>
      </c>
    </row>
    <row r="401" spans="20:24" ht="16.5">
      <c r="T401" s="86" t="s">
        <v>1426</v>
      </c>
      <c r="U401" s="92">
        <v>169.74000549316409</v>
      </c>
      <c r="V401" s="92">
        <v>154.68890380859381</v>
      </c>
      <c r="W401" s="104">
        <v>5601200</v>
      </c>
      <c r="X401" s="92">
        <v>4145.580078125</v>
      </c>
    </row>
    <row r="402" spans="20:24" ht="16.5">
      <c r="T402" s="86" t="s">
        <v>1427</v>
      </c>
      <c r="U402" s="92">
        <v>167.07000732421881</v>
      </c>
      <c r="V402" s="92">
        <v>152.25566101074219</v>
      </c>
      <c r="W402" s="104">
        <v>7502500</v>
      </c>
      <c r="X402" s="92">
        <v>4115.240234375</v>
      </c>
    </row>
    <row r="403" spans="20:24" ht="16.5">
      <c r="T403" s="86" t="s">
        <v>1428</v>
      </c>
      <c r="U403" s="92">
        <v>169.6199951171875</v>
      </c>
      <c r="V403" s="92">
        <v>154.57954406738281</v>
      </c>
      <c r="W403" s="104">
        <v>7747200</v>
      </c>
      <c r="X403" s="92">
        <v>4151.27978515625</v>
      </c>
    </row>
    <row r="404" spans="20:24" ht="16.5">
      <c r="T404" s="86" t="s">
        <v>1429</v>
      </c>
      <c r="U404" s="92">
        <v>176.28999328613281</v>
      </c>
      <c r="V404" s="92">
        <v>160.65809631347659</v>
      </c>
      <c r="W404" s="104">
        <v>8323200</v>
      </c>
      <c r="X404" s="92">
        <v>4205.4501953125</v>
      </c>
    </row>
    <row r="405" spans="20:24" ht="16.5">
      <c r="T405" s="86" t="s">
        <v>1430</v>
      </c>
      <c r="U405" s="92">
        <v>176.55000305175781</v>
      </c>
      <c r="V405" s="92">
        <v>160.89509582519531</v>
      </c>
      <c r="W405" s="104">
        <v>5677200</v>
      </c>
      <c r="X405" s="92">
        <v>4205.52001953125</v>
      </c>
    </row>
    <row r="406" spans="20:24" ht="16.5">
      <c r="T406" s="86" t="s">
        <v>1431</v>
      </c>
      <c r="U406" s="92">
        <v>173.8800048828125</v>
      </c>
      <c r="V406" s="92">
        <v>158.4618225097656</v>
      </c>
      <c r="W406" s="104">
        <v>8534000</v>
      </c>
      <c r="X406" s="92">
        <v>4179.830078125</v>
      </c>
    </row>
    <row r="407" spans="20:24" ht="16.5">
      <c r="T407" s="86" t="s">
        <v>1432</v>
      </c>
      <c r="U407" s="92">
        <v>175.80999755859381</v>
      </c>
      <c r="V407" s="92">
        <v>160.22068786621091</v>
      </c>
      <c r="W407" s="104">
        <v>3955400</v>
      </c>
      <c r="X407" s="92">
        <v>4221.02001953125</v>
      </c>
    </row>
    <row r="408" spans="20:24" ht="16.5">
      <c r="T408" s="86" t="s">
        <v>1433</v>
      </c>
      <c r="U408" s="92">
        <v>175.22999572753909</v>
      </c>
      <c r="V408" s="92">
        <v>159.69207763671881</v>
      </c>
      <c r="W408" s="104">
        <v>4788000</v>
      </c>
      <c r="X408" s="92">
        <v>4282.3701171875</v>
      </c>
    </row>
    <row r="409" spans="20:24" ht="16.5">
      <c r="T409" s="86" t="s">
        <v>1434</v>
      </c>
      <c r="U409" s="92">
        <v>170.25999450683591</v>
      </c>
      <c r="V409" s="92">
        <v>155.16279602050781</v>
      </c>
      <c r="W409" s="104">
        <v>5520400</v>
      </c>
      <c r="X409" s="92">
        <v>4273.7900390625</v>
      </c>
    </row>
    <row r="410" spans="20:24" ht="16.5">
      <c r="T410" s="86" t="s">
        <v>1435</v>
      </c>
      <c r="U410" s="92">
        <v>170.36000061035159</v>
      </c>
      <c r="V410" s="92">
        <v>155.25395202636719</v>
      </c>
      <c r="W410" s="104">
        <v>4032400</v>
      </c>
      <c r="X410" s="92">
        <v>4283.85009765625</v>
      </c>
    </row>
    <row r="411" spans="20:24" ht="16.5">
      <c r="T411" s="86" t="s">
        <v>1436</v>
      </c>
      <c r="U411" s="92">
        <v>172</v>
      </c>
      <c r="V411" s="92">
        <v>156.7485046386719</v>
      </c>
      <c r="W411" s="104">
        <v>4422700</v>
      </c>
      <c r="X411" s="92">
        <v>4267.52001953125</v>
      </c>
    </row>
    <row r="412" spans="20:24" ht="16.5">
      <c r="T412" s="86" t="s">
        <v>1437</v>
      </c>
      <c r="U412" s="92">
        <v>172.22999572753909</v>
      </c>
      <c r="V412" s="92">
        <v>156.95817565917969</v>
      </c>
      <c r="W412" s="104">
        <v>3343700</v>
      </c>
      <c r="X412" s="92">
        <v>4293.93017578125</v>
      </c>
    </row>
    <row r="413" spans="20:24" ht="16.5">
      <c r="T413" s="86" t="s">
        <v>1438</v>
      </c>
      <c r="U413" s="92">
        <v>170.5899963378906</v>
      </c>
      <c r="V413" s="92">
        <v>155.46356201171881</v>
      </c>
      <c r="W413" s="104">
        <v>4179000</v>
      </c>
      <c r="X413" s="92">
        <v>4298.85986328125</v>
      </c>
    </row>
    <row r="414" spans="20:24" ht="16.5">
      <c r="T414" s="86" t="s">
        <v>1439</v>
      </c>
      <c r="U414" s="92">
        <v>174.03999328613281</v>
      </c>
      <c r="V414" s="92">
        <v>158.6076354980469</v>
      </c>
      <c r="W414" s="104">
        <v>4709300</v>
      </c>
      <c r="X414" s="92">
        <v>4338.93017578125</v>
      </c>
    </row>
    <row r="415" spans="20:24" ht="16.5">
      <c r="T415" s="86" t="s">
        <v>1440</v>
      </c>
      <c r="U415" s="92">
        <v>177.4100036621094</v>
      </c>
      <c r="V415" s="92">
        <v>161.67878723144531</v>
      </c>
      <c r="W415" s="104">
        <v>5408100</v>
      </c>
      <c r="X415" s="92">
        <v>4369.009765625</v>
      </c>
    </row>
    <row r="416" spans="20:24" ht="16.5">
      <c r="T416" s="86" t="s">
        <v>1441</v>
      </c>
      <c r="U416" s="92">
        <v>177.1199951171875</v>
      </c>
      <c r="V416" s="92">
        <v>161.41448974609381</v>
      </c>
      <c r="W416" s="104">
        <v>4748400</v>
      </c>
      <c r="X416" s="92">
        <v>4372.58984375</v>
      </c>
    </row>
    <row r="417" spans="20:24" ht="16.5">
      <c r="T417" s="86" t="s">
        <v>1442</v>
      </c>
      <c r="U417" s="92">
        <v>178.0899963378906</v>
      </c>
      <c r="V417" s="92">
        <v>162.29850769042969</v>
      </c>
      <c r="W417" s="104">
        <v>4224100</v>
      </c>
      <c r="X417" s="92">
        <v>4425.83984375</v>
      </c>
    </row>
    <row r="418" spans="20:24" ht="16.5">
      <c r="T418" s="86" t="s">
        <v>1443</v>
      </c>
      <c r="U418" s="92">
        <v>176.75999450683591</v>
      </c>
      <c r="V418" s="92">
        <v>161.08644104003909</v>
      </c>
      <c r="W418" s="104">
        <v>10374500</v>
      </c>
      <c r="X418" s="92">
        <v>4409.58984375</v>
      </c>
    </row>
    <row r="419" spans="20:24" ht="16.5">
      <c r="T419" s="86" t="s">
        <v>1444</v>
      </c>
      <c r="U419" s="92">
        <v>174.36000061035159</v>
      </c>
      <c r="V419" s="92">
        <v>158.89924621582031</v>
      </c>
      <c r="W419" s="104">
        <v>3516000</v>
      </c>
      <c r="X419" s="92">
        <v>4388.7099609375</v>
      </c>
    </row>
    <row r="420" spans="20:24" ht="16.5">
      <c r="T420" s="86" t="s">
        <v>1445</v>
      </c>
      <c r="U420" s="92">
        <v>170.47999572753909</v>
      </c>
      <c r="V420" s="92">
        <v>155.36329650878909</v>
      </c>
      <c r="W420" s="104">
        <v>4034300</v>
      </c>
      <c r="X420" s="92">
        <v>4365.68994140625</v>
      </c>
    </row>
    <row r="421" spans="20:24" ht="16.5">
      <c r="T421" s="86" t="s">
        <v>1446</v>
      </c>
      <c r="U421" s="92">
        <v>172.6300048828125</v>
      </c>
      <c r="V421" s="92">
        <v>157.32267761230469</v>
      </c>
      <c r="W421" s="104">
        <v>3607800</v>
      </c>
      <c r="X421" s="92">
        <v>4381.89013671875</v>
      </c>
    </row>
    <row r="422" spans="20:24" ht="16.5">
      <c r="T422" s="86" t="s">
        <v>1447</v>
      </c>
      <c r="U422" s="92">
        <v>167.67999267578119</v>
      </c>
      <c r="V422" s="92">
        <v>152.81156921386719</v>
      </c>
      <c r="W422" s="104">
        <v>8541600</v>
      </c>
      <c r="X422" s="92">
        <v>4348.330078125</v>
      </c>
    </row>
    <row r="423" spans="20:24" ht="16.5">
      <c r="T423" s="86" t="s">
        <v>1448</v>
      </c>
      <c r="U423" s="92">
        <v>168.75</v>
      </c>
      <c r="V423" s="92">
        <v>153.7867126464844</v>
      </c>
      <c r="W423" s="104">
        <v>4899600</v>
      </c>
      <c r="X423" s="92">
        <v>4328.81982421875</v>
      </c>
    </row>
    <row r="424" spans="20:24" ht="16.5">
      <c r="T424" s="86" t="s">
        <v>1449</v>
      </c>
      <c r="U424" s="92">
        <v>176.30999755859381</v>
      </c>
      <c r="V424" s="92">
        <v>160.67634582519531</v>
      </c>
      <c r="W424" s="104">
        <v>6257800</v>
      </c>
      <c r="X424" s="92">
        <v>4378.41015625</v>
      </c>
    </row>
    <row r="425" spans="20:24" ht="16.5">
      <c r="T425" s="86" t="s">
        <v>1450</v>
      </c>
      <c r="U425" s="92">
        <v>174.96000671386719</v>
      </c>
      <c r="V425" s="92">
        <v>159.44602966308591</v>
      </c>
      <c r="W425" s="104">
        <v>3425300</v>
      </c>
      <c r="X425" s="92">
        <v>4376.85986328125</v>
      </c>
    </row>
    <row r="426" spans="20:24" ht="16.5">
      <c r="T426" s="86" t="s">
        <v>1451</v>
      </c>
      <c r="U426" s="92">
        <v>176.78999328613281</v>
      </c>
      <c r="V426" s="92">
        <v>161.11378479003909</v>
      </c>
      <c r="W426" s="104">
        <v>3704700</v>
      </c>
      <c r="X426" s="92">
        <v>4396.43994140625</v>
      </c>
    </row>
    <row r="427" spans="20:24" ht="16.5">
      <c r="T427" s="86" t="s">
        <v>1452</v>
      </c>
      <c r="U427" s="92">
        <v>180.02000427246091</v>
      </c>
      <c r="V427" s="92">
        <v>164.05738830566409</v>
      </c>
      <c r="W427" s="104">
        <v>6004400</v>
      </c>
      <c r="X427" s="92">
        <v>4450.3798828125</v>
      </c>
    </row>
    <row r="428" spans="20:24" ht="16.5">
      <c r="T428" s="86" t="s">
        <v>1453</v>
      </c>
      <c r="U428" s="92">
        <v>179.75999450683591</v>
      </c>
      <c r="V428" s="92">
        <v>163.8204345703125</v>
      </c>
      <c r="W428" s="104">
        <v>2007600</v>
      </c>
      <c r="X428" s="92">
        <v>4455.58984375</v>
      </c>
    </row>
    <row r="429" spans="20:24" ht="16.5">
      <c r="T429" s="86" t="s">
        <v>1454</v>
      </c>
      <c r="U429" s="92">
        <v>176.5299987792969</v>
      </c>
      <c r="V429" s="92">
        <v>160.87684631347659</v>
      </c>
      <c r="W429" s="104">
        <v>3729100</v>
      </c>
      <c r="X429" s="92">
        <v>4446.81982421875</v>
      </c>
    </row>
    <row r="430" spans="20:24" ht="16.5">
      <c r="T430" s="86" t="s">
        <v>1455</v>
      </c>
      <c r="U430" s="92">
        <v>174.82000732421881</v>
      </c>
      <c r="V430" s="92">
        <v>159.3184814453125</v>
      </c>
      <c r="W430" s="104">
        <v>4555100</v>
      </c>
      <c r="X430" s="92">
        <v>4411.58984375</v>
      </c>
    </row>
    <row r="431" spans="20:24" ht="16.5">
      <c r="T431" s="86" t="s">
        <v>1456</v>
      </c>
      <c r="U431" s="92">
        <v>173.69999694824219</v>
      </c>
      <c r="V431" s="92">
        <v>158.29779052734381</v>
      </c>
      <c r="W431" s="104">
        <v>4585400</v>
      </c>
      <c r="X431" s="92">
        <v>4398.9501953125</v>
      </c>
    </row>
    <row r="432" spans="20:24" ht="16.5">
      <c r="T432" s="86" t="s">
        <v>1457</v>
      </c>
      <c r="U432" s="92">
        <v>179.44000244140619</v>
      </c>
      <c r="V432" s="92">
        <v>163.52880859375</v>
      </c>
      <c r="W432" s="104">
        <v>5563200</v>
      </c>
      <c r="X432" s="92">
        <v>4409.52978515625</v>
      </c>
    </row>
    <row r="433" spans="20:24" ht="16.5">
      <c r="T433" s="86" t="s">
        <v>1458</v>
      </c>
      <c r="U433" s="92">
        <v>178.82000732421881</v>
      </c>
      <c r="V433" s="92">
        <v>162.96380615234381</v>
      </c>
      <c r="W433" s="104">
        <v>2755800</v>
      </c>
      <c r="X433" s="92">
        <v>4439.259765625</v>
      </c>
    </row>
    <row r="434" spans="20:24" ht="16.5">
      <c r="T434" s="86" t="s">
        <v>1459</v>
      </c>
      <c r="U434" s="92">
        <v>182.3699951171875</v>
      </c>
      <c r="V434" s="92">
        <v>166.198974609375</v>
      </c>
      <c r="W434" s="104">
        <v>5708600</v>
      </c>
      <c r="X434" s="92">
        <v>4472.16015625</v>
      </c>
    </row>
    <row r="435" spans="20:24" ht="16.5">
      <c r="T435" s="86" t="s">
        <v>1460</v>
      </c>
      <c r="U435" s="92">
        <v>183.1199951171875</v>
      </c>
      <c r="V435" s="92">
        <v>166.88246154785159</v>
      </c>
      <c r="W435" s="104">
        <v>4441200</v>
      </c>
      <c r="X435" s="92">
        <v>4510.0400390625</v>
      </c>
    </row>
    <row r="436" spans="20:24" ht="16.5">
      <c r="T436" s="86" t="s">
        <v>1461</v>
      </c>
      <c r="U436" s="92">
        <v>180.8500061035156</v>
      </c>
      <c r="V436" s="92">
        <v>164.81379699707031</v>
      </c>
      <c r="W436" s="104">
        <v>3701300</v>
      </c>
      <c r="X436" s="92">
        <v>4505.419921875</v>
      </c>
    </row>
    <row r="437" spans="20:24" ht="16.5">
      <c r="T437" s="86" t="s">
        <v>1462</v>
      </c>
      <c r="U437" s="92">
        <v>183.3999938964844</v>
      </c>
      <c r="V437" s="92">
        <v>167.1376647949219</v>
      </c>
      <c r="W437" s="104">
        <v>3918500</v>
      </c>
      <c r="X437" s="92">
        <v>4522.7900390625</v>
      </c>
    </row>
    <row r="438" spans="20:24" ht="16.5">
      <c r="T438" s="86" t="s">
        <v>1463</v>
      </c>
      <c r="U438" s="92">
        <v>183.67999267578119</v>
      </c>
      <c r="V438" s="92">
        <v>167.392822265625</v>
      </c>
      <c r="W438" s="104">
        <v>3040500</v>
      </c>
      <c r="X438" s="92">
        <v>4554.97998046875</v>
      </c>
    </row>
    <row r="439" spans="20:24" ht="16.5">
      <c r="T439" s="86" t="s">
        <v>1464</v>
      </c>
      <c r="U439" s="92">
        <v>183.66999816894531</v>
      </c>
      <c r="V439" s="92">
        <v>167.38372802734381</v>
      </c>
      <c r="W439" s="104">
        <v>3686000</v>
      </c>
      <c r="X439" s="92">
        <v>4565.72021484375</v>
      </c>
    </row>
    <row r="440" spans="20:24" ht="16.5">
      <c r="T440" s="86" t="s">
        <v>1465</v>
      </c>
      <c r="U440" s="92">
        <v>179.91999816894531</v>
      </c>
      <c r="V440" s="92">
        <v>163.96623229980469</v>
      </c>
      <c r="W440" s="104">
        <v>7154600</v>
      </c>
      <c r="X440" s="92">
        <v>4534.8701171875</v>
      </c>
    </row>
    <row r="441" spans="20:24" ht="16.5">
      <c r="T441" s="86" t="s">
        <v>1466</v>
      </c>
      <c r="U441" s="92">
        <v>184.32000732421881</v>
      </c>
      <c r="V441" s="92">
        <v>167.97608947753909</v>
      </c>
      <c r="W441" s="104">
        <v>17251600</v>
      </c>
      <c r="X441" s="92">
        <v>4536.33984375</v>
      </c>
    </row>
    <row r="442" spans="20:24" ht="16.5">
      <c r="T442" s="86" t="s">
        <v>1467</v>
      </c>
      <c r="U442" s="92">
        <v>183.88999938964841</v>
      </c>
      <c r="V442" s="92">
        <v>167.584228515625</v>
      </c>
      <c r="W442" s="104">
        <v>4318500</v>
      </c>
      <c r="X442" s="92">
        <v>4554.64013671875</v>
      </c>
    </row>
    <row r="443" spans="20:24" ht="16.5">
      <c r="T443" s="86" t="s">
        <v>1468</v>
      </c>
      <c r="U443" s="92">
        <v>186.08000183105469</v>
      </c>
      <c r="V443" s="92">
        <v>169.5800476074219</v>
      </c>
      <c r="W443" s="104">
        <v>6267800</v>
      </c>
      <c r="X443" s="92">
        <v>4567.4599609375</v>
      </c>
    </row>
    <row r="444" spans="20:24" ht="16.5">
      <c r="T444" s="86" t="s">
        <v>1469</v>
      </c>
      <c r="U444" s="92">
        <v>176</v>
      </c>
      <c r="V444" s="92">
        <v>160.39384460449219</v>
      </c>
      <c r="W444" s="104">
        <v>11905100</v>
      </c>
      <c r="X444" s="92">
        <v>4566.75</v>
      </c>
    </row>
    <row r="445" spans="20:24" ht="16.5">
      <c r="T445" s="86" t="s">
        <v>1470</v>
      </c>
      <c r="U445" s="92">
        <v>177.7200012207031</v>
      </c>
      <c r="V445" s="92">
        <v>161.96131896972659</v>
      </c>
      <c r="W445" s="104">
        <v>8300400</v>
      </c>
      <c r="X445" s="92">
        <v>4537.41015625</v>
      </c>
    </row>
    <row r="446" spans="20:24" ht="16.5">
      <c r="T446" s="86" t="s">
        <v>1471</v>
      </c>
      <c r="U446" s="92">
        <v>178.3699951171875</v>
      </c>
      <c r="V446" s="92">
        <v>163.6958312988281</v>
      </c>
      <c r="W446" s="104">
        <v>7540400</v>
      </c>
      <c r="X446" s="92">
        <v>4582.22998046875</v>
      </c>
    </row>
    <row r="447" spans="20:24" ht="16.5">
      <c r="T447" s="86" t="s">
        <v>1472</v>
      </c>
      <c r="U447" s="92">
        <v>180</v>
      </c>
      <c r="V447" s="92">
        <v>165.19172668457031</v>
      </c>
      <c r="W447" s="104">
        <v>4065200</v>
      </c>
      <c r="X447" s="92">
        <v>4588.9599609375</v>
      </c>
    </row>
    <row r="448" spans="20:24" ht="16.5">
      <c r="T448" s="86" t="s">
        <v>1473</v>
      </c>
      <c r="U448" s="92">
        <v>178.3699951171875</v>
      </c>
      <c r="V448" s="92">
        <v>163.6958312988281</v>
      </c>
      <c r="W448" s="104">
        <v>4028700</v>
      </c>
      <c r="X448" s="92">
        <v>4576.72998046875</v>
      </c>
    </row>
    <row r="449" spans="20:24" ht="16.5">
      <c r="T449" s="86" t="s">
        <v>1474</v>
      </c>
      <c r="U449" s="92">
        <v>172.44000244140619</v>
      </c>
      <c r="V449" s="92">
        <v>158.25370788574219</v>
      </c>
      <c r="W449" s="104">
        <v>6914500</v>
      </c>
      <c r="X449" s="92">
        <v>4513.39013671875</v>
      </c>
    </row>
    <row r="450" spans="20:24" ht="16.5">
      <c r="T450" s="86" t="s">
        <v>1475</v>
      </c>
      <c r="U450" s="92">
        <v>171.80000305175781</v>
      </c>
      <c r="V450" s="92">
        <v>157.66632080078119</v>
      </c>
      <c r="W450" s="104">
        <v>4515200</v>
      </c>
      <c r="X450" s="92">
        <v>4501.89013671875</v>
      </c>
    </row>
    <row r="451" spans="20:24" ht="16.5">
      <c r="T451" s="86" t="s">
        <v>1476</v>
      </c>
      <c r="U451" s="92">
        <v>168.44000244140619</v>
      </c>
      <c r="V451" s="92">
        <v>154.58274841308591</v>
      </c>
      <c r="W451" s="104">
        <v>6052800</v>
      </c>
      <c r="X451" s="92">
        <v>4478.02978515625</v>
      </c>
    </row>
    <row r="452" spans="20:24" ht="16.5">
      <c r="T452" s="86" t="s">
        <v>1477</v>
      </c>
      <c r="U452" s="92">
        <v>168.96000671386719</v>
      </c>
      <c r="V452" s="92">
        <v>155.05998229980469</v>
      </c>
      <c r="W452" s="104">
        <v>4315700</v>
      </c>
      <c r="X452" s="92">
        <v>4518.43994140625</v>
      </c>
    </row>
    <row r="453" spans="20:24" ht="16.5">
      <c r="T453" s="86" t="s">
        <v>1478</v>
      </c>
      <c r="U453" s="92">
        <v>166.72999572753909</v>
      </c>
      <c r="V453" s="92">
        <v>153.0133972167969</v>
      </c>
      <c r="W453" s="104">
        <v>4628000</v>
      </c>
      <c r="X453" s="92">
        <v>4499.3798828125</v>
      </c>
    </row>
    <row r="454" spans="20:24" ht="16.5">
      <c r="T454" s="86" t="s">
        <v>1479</v>
      </c>
      <c r="U454" s="92">
        <v>167.27000427246091</v>
      </c>
      <c r="V454" s="92">
        <v>153.50901794433591</v>
      </c>
      <c r="W454" s="104">
        <v>4701400</v>
      </c>
      <c r="X454" s="92">
        <v>4467.7099609375</v>
      </c>
    </row>
    <row r="455" spans="20:24" ht="16.5">
      <c r="T455" s="86" t="s">
        <v>1480</v>
      </c>
      <c r="U455" s="92">
        <v>167.55999755859381</v>
      </c>
      <c r="V455" s="92">
        <v>153.7751159667969</v>
      </c>
      <c r="W455" s="104">
        <v>4975300</v>
      </c>
      <c r="X455" s="92">
        <v>4468.830078125</v>
      </c>
    </row>
    <row r="456" spans="20:24" ht="16.5">
      <c r="T456" s="86" t="s">
        <v>1481</v>
      </c>
      <c r="U456" s="92">
        <v>166.19999694824219</v>
      </c>
      <c r="V456" s="92">
        <v>152.52703857421881</v>
      </c>
      <c r="W456" s="104">
        <v>5454800</v>
      </c>
      <c r="X456" s="92">
        <v>4464.0498046875</v>
      </c>
    </row>
    <row r="457" spans="20:24" ht="16.5">
      <c r="T457" s="86" t="s">
        <v>1482</v>
      </c>
      <c r="U457" s="92">
        <v>170.47999572753909</v>
      </c>
      <c r="V457" s="92">
        <v>156.45491027832031</v>
      </c>
      <c r="W457" s="104">
        <v>5933600</v>
      </c>
      <c r="X457" s="92">
        <v>4489.72021484375</v>
      </c>
    </row>
    <row r="458" spans="20:24" ht="16.5">
      <c r="T458" s="86" t="s">
        <v>1483</v>
      </c>
      <c r="U458" s="92">
        <v>168.1600036621094</v>
      </c>
      <c r="V458" s="92">
        <v>154.3258056640625</v>
      </c>
      <c r="W458" s="104">
        <v>3920900</v>
      </c>
      <c r="X458" s="92">
        <v>4437.85986328125</v>
      </c>
    </row>
    <row r="459" spans="20:24" ht="16.5">
      <c r="T459" s="86" t="s">
        <v>1484</v>
      </c>
      <c r="U459" s="92">
        <v>165.7200012207031</v>
      </c>
      <c r="V459" s="92">
        <v>152.0865173339844</v>
      </c>
      <c r="W459" s="104">
        <v>4558400</v>
      </c>
      <c r="X459" s="92">
        <v>4404.330078125</v>
      </c>
    </row>
    <row r="460" spans="20:24" ht="16.5">
      <c r="T460" s="86" t="s">
        <v>1485</v>
      </c>
      <c r="U460" s="92">
        <v>165.75999450683591</v>
      </c>
      <c r="V460" s="92">
        <v>152.12322998046881</v>
      </c>
      <c r="W460" s="104">
        <v>3987800</v>
      </c>
      <c r="X460" s="92">
        <v>4370.35986328125</v>
      </c>
    </row>
    <row r="461" spans="20:24" ht="16.5">
      <c r="T461" s="86" t="s">
        <v>1486</v>
      </c>
      <c r="U461" s="92">
        <v>166.49000549316409</v>
      </c>
      <c r="V461" s="92">
        <v>152.79316711425781</v>
      </c>
      <c r="W461" s="104">
        <v>4456000</v>
      </c>
      <c r="X461" s="92">
        <v>4369.7099609375</v>
      </c>
    </row>
    <row r="462" spans="20:24" ht="16.5">
      <c r="T462" s="86" t="s">
        <v>1487</v>
      </c>
      <c r="U462" s="92">
        <v>167.94999694824219</v>
      </c>
      <c r="V462" s="92">
        <v>154.13307189941409</v>
      </c>
      <c r="W462" s="104">
        <v>3941800</v>
      </c>
      <c r="X462" s="92">
        <v>4399.77001953125</v>
      </c>
    </row>
    <row r="463" spans="20:24" ht="16.5">
      <c r="T463" s="86" t="s">
        <v>1488</v>
      </c>
      <c r="U463" s="92">
        <v>167.11000061035159</v>
      </c>
      <c r="V463" s="92">
        <v>153.3621826171875</v>
      </c>
      <c r="W463" s="104">
        <v>3035600</v>
      </c>
      <c r="X463" s="92">
        <v>4387.5498046875</v>
      </c>
    </row>
    <row r="464" spans="20:24" ht="16.5">
      <c r="T464" s="86" t="s">
        <v>1489</v>
      </c>
      <c r="U464" s="92">
        <v>169.83000183105469</v>
      </c>
      <c r="V464" s="92">
        <v>155.8583984375</v>
      </c>
      <c r="W464" s="104">
        <v>4152900</v>
      </c>
      <c r="X464" s="92">
        <v>4436.009765625</v>
      </c>
    </row>
    <row r="465" spans="20:24" ht="16.5">
      <c r="T465" s="86" t="s">
        <v>1490</v>
      </c>
      <c r="U465" s="92">
        <v>165.5899963378906</v>
      </c>
      <c r="V465" s="92">
        <v>151.96722412109381</v>
      </c>
      <c r="W465" s="104">
        <v>6003200</v>
      </c>
      <c r="X465" s="92">
        <v>4376.31005859375</v>
      </c>
    </row>
    <row r="466" spans="20:24" ht="16.5">
      <c r="T466" s="86" t="s">
        <v>1491</v>
      </c>
      <c r="U466" s="92">
        <v>167.80999755859381</v>
      </c>
      <c r="V466" s="92">
        <v>154.00457763671881</v>
      </c>
      <c r="W466" s="104">
        <v>3947500</v>
      </c>
      <c r="X466" s="92">
        <v>4405.7099609375</v>
      </c>
    </row>
    <row r="467" spans="20:24" ht="16.5">
      <c r="T467" s="86" t="s">
        <v>1492</v>
      </c>
      <c r="U467" s="92">
        <v>168.69999694824219</v>
      </c>
      <c r="V467" s="92">
        <v>154.8213806152344</v>
      </c>
      <c r="W467" s="104">
        <v>3995100</v>
      </c>
      <c r="X467" s="92">
        <v>4433.31005859375</v>
      </c>
    </row>
    <row r="468" spans="20:24" ht="16.5">
      <c r="T468" s="86" t="s">
        <v>1493</v>
      </c>
      <c r="U468" s="92">
        <v>170.69000244140619</v>
      </c>
      <c r="V468" s="92">
        <v>156.64765930175781</v>
      </c>
      <c r="W468" s="104">
        <v>3981700</v>
      </c>
      <c r="X468" s="92">
        <v>4497.6298828125</v>
      </c>
    </row>
    <row r="469" spans="20:24" ht="16.5">
      <c r="T469" s="86" t="s">
        <v>1494</v>
      </c>
      <c r="U469" s="92">
        <v>169.22999572753909</v>
      </c>
      <c r="V469" s="92">
        <v>155.3077697753906</v>
      </c>
      <c r="W469" s="104">
        <v>5120400</v>
      </c>
      <c r="X469" s="92">
        <v>4514.8701171875</v>
      </c>
    </row>
    <row r="470" spans="20:24" ht="16.5">
      <c r="T470" s="86" t="s">
        <v>1495</v>
      </c>
      <c r="U470" s="92">
        <v>168.05999755859381</v>
      </c>
      <c r="V470" s="92">
        <v>154.23399353027341</v>
      </c>
      <c r="W470" s="104">
        <v>6026500</v>
      </c>
      <c r="X470" s="92">
        <v>4507.66015625</v>
      </c>
    </row>
    <row r="471" spans="20:24" ht="16.5">
      <c r="T471" s="86" t="s">
        <v>1496</v>
      </c>
      <c r="U471" s="92">
        <v>169.83000183105469</v>
      </c>
      <c r="V471" s="92">
        <v>155.8583984375</v>
      </c>
      <c r="W471" s="104">
        <v>2611200</v>
      </c>
      <c r="X471" s="92">
        <v>4515.77001953125</v>
      </c>
    </row>
    <row r="472" spans="20:24" ht="16.5">
      <c r="T472" s="86" t="s">
        <v>1497</v>
      </c>
      <c r="U472" s="92">
        <v>169.74000549316409</v>
      </c>
      <c r="V472" s="92">
        <v>155.77580261230469</v>
      </c>
      <c r="W472" s="104">
        <v>2882200</v>
      </c>
      <c r="X472" s="92">
        <v>4496.830078125</v>
      </c>
    </row>
    <row r="473" spans="20:24" ht="16.5">
      <c r="T473" s="86" t="s">
        <v>1498</v>
      </c>
      <c r="U473" s="92">
        <v>168.05000305175781</v>
      </c>
      <c r="V473" s="92">
        <v>154.22483825683591</v>
      </c>
      <c r="W473" s="104">
        <v>4244000</v>
      </c>
      <c r="X473" s="92">
        <v>4465.47998046875</v>
      </c>
    </row>
    <row r="474" spans="20:24" ht="16.5">
      <c r="T474" s="86" t="s">
        <v>1499</v>
      </c>
      <c r="U474" s="92">
        <v>164.71000671386719</v>
      </c>
      <c r="V474" s="92">
        <v>151.1596374511719</v>
      </c>
      <c r="W474" s="104">
        <v>6272100</v>
      </c>
      <c r="X474" s="92">
        <v>4451.14013671875</v>
      </c>
    </row>
    <row r="475" spans="20:24" ht="16.5">
      <c r="T475" s="86" t="s">
        <v>1500</v>
      </c>
      <c r="U475" s="92">
        <v>164.6600036621094</v>
      </c>
      <c r="V475" s="92">
        <v>151.11370849609381</v>
      </c>
      <c r="W475" s="104">
        <v>3301100</v>
      </c>
      <c r="X475" s="92">
        <v>4457.490234375</v>
      </c>
    </row>
    <row r="476" spans="20:24" ht="16.5">
      <c r="T476" s="86" t="s">
        <v>1501</v>
      </c>
      <c r="U476" s="92">
        <v>165.8399963378906</v>
      </c>
      <c r="V476" s="92">
        <v>152.19667053222659</v>
      </c>
      <c r="W476" s="104">
        <v>3191900</v>
      </c>
      <c r="X476" s="92">
        <v>4487.4599609375</v>
      </c>
    </row>
    <row r="477" spans="20:24" ht="16.5">
      <c r="T477" s="86" t="s">
        <v>1502</v>
      </c>
      <c r="U477" s="92">
        <v>163.49000549316409</v>
      </c>
      <c r="V477" s="92">
        <v>150.03999328613281</v>
      </c>
      <c r="W477" s="104">
        <v>3739900</v>
      </c>
      <c r="X477" s="92">
        <v>4461.89990234375</v>
      </c>
    </row>
    <row r="478" spans="20:24" ht="16.5">
      <c r="T478" s="86" t="s">
        <v>1503</v>
      </c>
      <c r="U478" s="92">
        <v>164.36000061035159</v>
      </c>
      <c r="V478" s="92">
        <v>150.83842468261719</v>
      </c>
      <c r="W478" s="104">
        <v>3331900</v>
      </c>
      <c r="X478" s="92">
        <v>4467.43994140625</v>
      </c>
    </row>
    <row r="479" spans="20:24" ht="16.5">
      <c r="T479" s="86" t="s">
        <v>1504</v>
      </c>
      <c r="U479" s="92">
        <v>166.05000305175781</v>
      </c>
      <c r="V479" s="92">
        <v>152.38938903808591</v>
      </c>
      <c r="W479" s="104">
        <v>4071600</v>
      </c>
      <c r="X479" s="92">
        <v>4505.10009765625</v>
      </c>
    </row>
    <row r="480" spans="20:24" ht="16.5">
      <c r="T480" s="86" t="s">
        <v>1505</v>
      </c>
      <c r="U480" s="92">
        <v>162.6199951171875</v>
      </c>
      <c r="V480" s="92">
        <v>149.2415771484375</v>
      </c>
      <c r="W480" s="104">
        <v>9427900</v>
      </c>
      <c r="X480" s="92">
        <v>4450.31982421875</v>
      </c>
    </row>
    <row r="481" spans="20:24" ht="16.5">
      <c r="T481" s="86" t="s">
        <v>1506</v>
      </c>
      <c r="U481" s="92">
        <v>162.83000183105469</v>
      </c>
      <c r="V481" s="92">
        <v>149.4342956542969</v>
      </c>
      <c r="W481" s="104">
        <v>3180100</v>
      </c>
      <c r="X481" s="92">
        <v>4453.52978515625</v>
      </c>
    </row>
    <row r="482" spans="20:24" ht="16.5">
      <c r="T482" s="86" t="s">
        <v>1507</v>
      </c>
      <c r="U482" s="92">
        <v>163.13999938964841</v>
      </c>
      <c r="V482" s="92">
        <v>149.71876525878909</v>
      </c>
      <c r="W482" s="104">
        <v>3244400</v>
      </c>
      <c r="X482" s="92">
        <v>4443.9501953125</v>
      </c>
    </row>
    <row r="483" spans="20:24" ht="16.5">
      <c r="T483" s="86" t="s">
        <v>1508</v>
      </c>
      <c r="U483" s="92">
        <v>162.1000061035156</v>
      </c>
      <c r="V483" s="92">
        <v>148.76434326171881</v>
      </c>
      <c r="W483" s="104">
        <v>5035700</v>
      </c>
      <c r="X483" s="92">
        <v>4402.2001953125</v>
      </c>
    </row>
    <row r="484" spans="20:24" ht="16.5">
      <c r="T484" s="86" t="s">
        <v>1509</v>
      </c>
      <c r="U484" s="92">
        <v>160.3999938964844</v>
      </c>
      <c r="V484" s="92">
        <v>147.20417785644531</v>
      </c>
      <c r="W484" s="104">
        <v>4492700</v>
      </c>
      <c r="X484" s="92">
        <v>4330</v>
      </c>
    </row>
    <row r="485" spans="20:24" ht="16.5">
      <c r="T485" s="86" t="s">
        <v>1510</v>
      </c>
      <c r="U485" s="92">
        <v>160.30999755859381</v>
      </c>
      <c r="V485" s="92">
        <v>147.1216125488281</v>
      </c>
      <c r="W485" s="104">
        <v>3715300</v>
      </c>
      <c r="X485" s="92">
        <v>4320.06005859375</v>
      </c>
    </row>
    <row r="486" spans="20:24" ht="16.5">
      <c r="T486" s="86" t="s">
        <v>1511</v>
      </c>
      <c r="U486" s="92">
        <v>160.8999938964844</v>
      </c>
      <c r="V486" s="92">
        <v>147.66304016113281</v>
      </c>
      <c r="W486" s="104">
        <v>3107600</v>
      </c>
      <c r="X486" s="92">
        <v>4337.43994140625</v>
      </c>
    </row>
    <row r="487" spans="20:24" ht="16.5">
      <c r="T487" s="86" t="s">
        <v>1512</v>
      </c>
      <c r="U487" s="92">
        <v>157.96000671386719</v>
      </c>
      <c r="V487" s="92">
        <v>144.9649353027344</v>
      </c>
      <c r="W487" s="104">
        <v>4164000</v>
      </c>
      <c r="X487" s="92">
        <v>4273.52978515625</v>
      </c>
    </row>
    <row r="488" spans="20:24" ht="16.5">
      <c r="T488" s="86" t="s">
        <v>1513</v>
      </c>
      <c r="U488" s="92">
        <v>158.13999938964841</v>
      </c>
      <c r="V488" s="92">
        <v>145.130126953125</v>
      </c>
      <c r="W488" s="104">
        <v>4232000</v>
      </c>
      <c r="X488" s="92">
        <v>4274.509765625</v>
      </c>
    </row>
    <row r="489" spans="20:24" ht="16.5">
      <c r="T489" s="86" t="s">
        <v>1514</v>
      </c>
      <c r="U489" s="92">
        <v>159.0899963378906</v>
      </c>
      <c r="V489" s="92">
        <v>146.001953125</v>
      </c>
      <c r="W489" s="104">
        <v>4271400</v>
      </c>
      <c r="X489" s="92">
        <v>4299.7001953125</v>
      </c>
    </row>
    <row r="490" spans="20:24" ht="16.5">
      <c r="T490" s="86" t="s">
        <v>1515</v>
      </c>
      <c r="U490" s="92">
        <v>159.00999450683591</v>
      </c>
      <c r="V490" s="92">
        <v>145.92854309082031</v>
      </c>
      <c r="W490" s="104">
        <v>3664600</v>
      </c>
      <c r="X490" s="92">
        <v>4288.0498046875</v>
      </c>
    </row>
    <row r="491" spans="20:24" ht="16.5">
      <c r="T491" s="86" t="s">
        <v>1516</v>
      </c>
      <c r="U491" s="92">
        <v>159.94999694824219</v>
      </c>
      <c r="V491" s="92">
        <v>146.79121398925781</v>
      </c>
      <c r="W491" s="104">
        <v>2922300</v>
      </c>
      <c r="X491" s="92">
        <v>4288.39013671875</v>
      </c>
    </row>
    <row r="492" spans="20:24" ht="16.5">
      <c r="T492" s="86" t="s">
        <v>1517</v>
      </c>
      <c r="U492" s="92">
        <v>157.25</v>
      </c>
      <c r="V492" s="92">
        <v>144.3133239746094</v>
      </c>
      <c r="W492" s="104">
        <v>3510700</v>
      </c>
      <c r="X492" s="92">
        <v>4229.4501953125</v>
      </c>
    </row>
    <row r="493" spans="20:24" ht="16.5">
      <c r="T493" s="86" t="s">
        <v>1518</v>
      </c>
      <c r="U493" s="92">
        <v>157.9700012207031</v>
      </c>
      <c r="V493" s="92">
        <v>144.97412109375</v>
      </c>
      <c r="W493" s="104">
        <v>4129900</v>
      </c>
      <c r="X493" s="92">
        <v>4263.75</v>
      </c>
    </row>
    <row r="494" spans="20:24" ht="16.5">
      <c r="T494" s="86" t="s">
        <v>1519</v>
      </c>
      <c r="U494" s="92">
        <v>155.11000061035159</v>
      </c>
      <c r="V494" s="92">
        <v>142.34938049316409</v>
      </c>
      <c r="W494" s="104">
        <v>4389200</v>
      </c>
      <c r="X494" s="92">
        <v>4258.18994140625</v>
      </c>
    </row>
    <row r="495" spans="20:24" ht="16.5">
      <c r="T495" s="86" t="s">
        <v>1520</v>
      </c>
      <c r="U495" s="92">
        <v>157</v>
      </c>
      <c r="V495" s="92">
        <v>144.08390808105469</v>
      </c>
      <c r="W495" s="104">
        <v>5016200</v>
      </c>
      <c r="X495" s="92">
        <v>4308.5</v>
      </c>
    </row>
    <row r="496" spans="20:24" ht="16.5">
      <c r="T496" s="86" t="s">
        <v>1521</v>
      </c>
      <c r="U496" s="92">
        <v>156.7200012207031</v>
      </c>
      <c r="V496" s="92">
        <v>143.8269348144531</v>
      </c>
      <c r="W496" s="104">
        <v>2747000</v>
      </c>
      <c r="X496" s="92">
        <v>4335.66015625</v>
      </c>
    </row>
    <row r="497" spans="20:24" ht="16.5">
      <c r="T497" s="86" t="s">
        <v>1522</v>
      </c>
      <c r="U497" s="92">
        <v>157.6600036621094</v>
      </c>
      <c r="V497" s="92">
        <v>144.68962097167969</v>
      </c>
      <c r="W497" s="104">
        <v>3657400</v>
      </c>
      <c r="X497" s="92">
        <v>4358.240234375</v>
      </c>
    </row>
    <row r="498" spans="20:24" ht="16.5">
      <c r="T498" s="86" t="s">
        <v>1523</v>
      </c>
      <c r="U498" s="92">
        <v>157.33000183105469</v>
      </c>
      <c r="V498" s="92">
        <v>144.38676452636719</v>
      </c>
      <c r="W498" s="104">
        <v>4452400</v>
      </c>
      <c r="X498" s="92">
        <v>4376.9501953125</v>
      </c>
    </row>
    <row r="499" spans="20:24" ht="16.5">
      <c r="T499" s="86" t="s">
        <v>1524</v>
      </c>
      <c r="U499" s="92">
        <v>155</v>
      </c>
      <c r="V499" s="92">
        <v>142.2484130859375</v>
      </c>
      <c r="W499" s="104">
        <v>5643300</v>
      </c>
      <c r="X499" s="92">
        <v>4349.60986328125</v>
      </c>
    </row>
    <row r="500" spans="20:24" ht="16.5">
      <c r="T500" s="86" t="s">
        <v>1525</v>
      </c>
      <c r="U500" s="92">
        <v>152.75</v>
      </c>
      <c r="V500" s="92">
        <v>140.18354797363281</v>
      </c>
      <c r="W500" s="104">
        <v>4319100</v>
      </c>
      <c r="X500" s="92">
        <v>4327.77978515625</v>
      </c>
    </row>
    <row r="501" spans="20:24" ht="16.5">
      <c r="T501" s="86" t="s">
        <v>1526</v>
      </c>
      <c r="U501" s="92">
        <v>154.30000305175781</v>
      </c>
      <c r="V501" s="92">
        <v>141.60601806640619</v>
      </c>
      <c r="W501" s="104">
        <v>4872200</v>
      </c>
      <c r="X501" s="92">
        <v>4373.6298828125</v>
      </c>
    </row>
    <row r="502" spans="20:24" ht="16.5">
      <c r="T502" s="86" t="s">
        <v>1527</v>
      </c>
      <c r="U502" s="92">
        <v>154.25999450683591</v>
      </c>
      <c r="V502" s="92">
        <v>141.5693054199219</v>
      </c>
      <c r="W502" s="104">
        <v>5098900</v>
      </c>
      <c r="X502" s="92">
        <v>4373.2001953125</v>
      </c>
    </row>
    <row r="503" spans="20:24" ht="16.5">
      <c r="T503" s="86" t="s">
        <v>1528</v>
      </c>
      <c r="U503" s="92">
        <v>151.82000732421881</v>
      </c>
      <c r="V503" s="92">
        <v>139.3300476074219</v>
      </c>
      <c r="W503" s="104">
        <v>4837500</v>
      </c>
      <c r="X503" s="92">
        <v>4314.60009765625</v>
      </c>
    </row>
    <row r="504" spans="20:24" ht="16.5">
      <c r="T504" s="86" t="s">
        <v>1529</v>
      </c>
      <c r="U504" s="92">
        <v>150.94000244140619</v>
      </c>
      <c r="V504" s="92">
        <v>138.5224609375</v>
      </c>
      <c r="W504" s="104">
        <v>6041100</v>
      </c>
      <c r="X504" s="92">
        <v>4278</v>
      </c>
    </row>
    <row r="505" spans="20:24" ht="16.5">
      <c r="T505" s="86" t="s">
        <v>1530</v>
      </c>
      <c r="U505" s="92">
        <v>147.80999755859381</v>
      </c>
      <c r="V505" s="92">
        <v>135.64994812011719</v>
      </c>
      <c r="W505" s="104">
        <v>5391500</v>
      </c>
      <c r="X505" s="92">
        <v>4224.16015625</v>
      </c>
    </row>
    <row r="506" spans="20:24" ht="16.5">
      <c r="T506" s="86" t="s">
        <v>1531</v>
      </c>
      <c r="U506" s="92">
        <v>146.32000732421881</v>
      </c>
      <c r="V506" s="92">
        <v>134.28251647949219</v>
      </c>
      <c r="W506" s="104">
        <v>5398200</v>
      </c>
      <c r="X506" s="92">
        <v>4217.0400390625</v>
      </c>
    </row>
    <row r="507" spans="20:24" ht="16.5">
      <c r="T507" s="86" t="s">
        <v>1532</v>
      </c>
      <c r="U507" s="92">
        <v>146.91999816894531</v>
      </c>
      <c r="V507" s="92">
        <v>134.83317565917969</v>
      </c>
      <c r="W507" s="104">
        <v>7024400</v>
      </c>
      <c r="X507" s="92">
        <v>4247.68017578125</v>
      </c>
    </row>
    <row r="508" spans="20:24" ht="16.5">
      <c r="T508" s="86" t="s">
        <v>1533</v>
      </c>
      <c r="U508" s="92">
        <v>141.78999328613281</v>
      </c>
      <c r="V508" s="92">
        <v>130.12518310546881</v>
      </c>
      <c r="W508" s="104">
        <v>12349200</v>
      </c>
      <c r="X508" s="92">
        <v>4186.77001953125</v>
      </c>
    </row>
    <row r="509" spans="20:24" ht="16.5">
      <c r="T509" s="86" t="s">
        <v>1534</v>
      </c>
      <c r="U509" s="92">
        <v>144.00999450683591</v>
      </c>
      <c r="V509" s="92">
        <v>132.16255187988281</v>
      </c>
      <c r="W509" s="104">
        <v>7888800</v>
      </c>
      <c r="X509" s="92">
        <v>4137.22998046875</v>
      </c>
    </row>
    <row r="510" spans="20:24" ht="16.5">
      <c r="T510" s="86" t="s">
        <v>1535</v>
      </c>
      <c r="U510" s="92">
        <v>143.1199951171875</v>
      </c>
      <c r="V510" s="92">
        <v>131.3457946777344</v>
      </c>
      <c r="W510" s="104">
        <v>5327500</v>
      </c>
      <c r="X510" s="92">
        <v>4117.3701171875</v>
      </c>
    </row>
    <row r="511" spans="20:24" ht="16.5">
      <c r="T511" s="86" t="s">
        <v>1536</v>
      </c>
      <c r="U511" s="92">
        <v>140.5</v>
      </c>
      <c r="V511" s="92">
        <v>130.1232604980469</v>
      </c>
      <c r="W511" s="104">
        <v>6640800</v>
      </c>
      <c r="X511" s="92">
        <v>4166.81982421875</v>
      </c>
    </row>
    <row r="512" spans="20:24" ht="16.5">
      <c r="T512" s="86" t="s">
        <v>1537</v>
      </c>
      <c r="U512" s="92">
        <v>142.00999450683591</v>
      </c>
      <c r="V512" s="92">
        <v>131.52177429199219</v>
      </c>
      <c r="W512" s="104">
        <v>6570300</v>
      </c>
      <c r="X512" s="92">
        <v>4193.7998046875</v>
      </c>
    </row>
    <row r="513" spans="20:24" ht="16.5">
      <c r="T513" s="86" t="s">
        <v>1538</v>
      </c>
      <c r="U513" s="92">
        <v>143.16999816894531</v>
      </c>
      <c r="V513" s="92">
        <v>132.5960998535156</v>
      </c>
      <c r="W513" s="104">
        <v>7503200</v>
      </c>
      <c r="X513" s="92">
        <v>4237.85986328125</v>
      </c>
    </row>
    <row r="514" spans="20:24" ht="16.5">
      <c r="T514" s="86" t="s">
        <v>1539</v>
      </c>
      <c r="U514" s="92">
        <v>147.30999755859381</v>
      </c>
      <c r="V514" s="92">
        <v>136.43031311035159</v>
      </c>
      <c r="W514" s="104">
        <v>6297900</v>
      </c>
      <c r="X514" s="92">
        <v>4317.77978515625</v>
      </c>
    </row>
    <row r="515" spans="20:24" ht="16.5">
      <c r="T515" s="86" t="s">
        <v>1540</v>
      </c>
      <c r="U515" s="92">
        <v>150.22999572753909</v>
      </c>
      <c r="V515" s="92">
        <v>139.13465881347659</v>
      </c>
      <c r="W515" s="104">
        <v>5818700</v>
      </c>
      <c r="X515" s="92">
        <v>4358.33984375</v>
      </c>
    </row>
    <row r="516" spans="20:24" ht="16.5">
      <c r="T516" s="86" t="s">
        <v>1541</v>
      </c>
      <c r="U516" s="92">
        <v>147.5</v>
      </c>
      <c r="V516" s="92">
        <v>136.60630798339841</v>
      </c>
      <c r="W516" s="104">
        <v>6601400</v>
      </c>
      <c r="X516" s="92">
        <v>4365.97998046875</v>
      </c>
    </row>
    <row r="517" spans="20:24" ht="16.5">
      <c r="T517" s="86" t="s">
        <v>1542</v>
      </c>
      <c r="U517" s="92">
        <v>146.5899963378906</v>
      </c>
      <c r="V517" s="92">
        <v>135.76348876953119</v>
      </c>
      <c r="W517" s="104">
        <v>5193000</v>
      </c>
      <c r="X517" s="92">
        <v>4378.3798828125</v>
      </c>
    </row>
    <row r="518" spans="20:24" ht="16.5">
      <c r="T518" s="86" t="s">
        <v>1543</v>
      </c>
      <c r="U518" s="92">
        <v>145.2200012207031</v>
      </c>
      <c r="V518" s="92">
        <v>134.49468994140619</v>
      </c>
      <c r="W518" s="104">
        <v>6901400</v>
      </c>
      <c r="X518" s="92">
        <v>4382.77978515625</v>
      </c>
    </row>
    <row r="519" spans="20:24" ht="16.5">
      <c r="T519" s="86" t="s">
        <v>1544</v>
      </c>
      <c r="U519" s="92">
        <v>143.27000427246091</v>
      </c>
      <c r="V519" s="92">
        <v>132.68870544433591</v>
      </c>
      <c r="W519" s="104">
        <v>7061200</v>
      </c>
      <c r="X519" s="92">
        <v>4347.35009765625</v>
      </c>
    </row>
    <row r="520" spans="20:24" ht="16.5">
      <c r="T520" s="86" t="s">
        <v>1545</v>
      </c>
      <c r="U520" s="92">
        <v>147.19000244140619</v>
      </c>
      <c r="V520" s="92">
        <v>136.3191833496094</v>
      </c>
      <c r="W520" s="104">
        <v>7214700</v>
      </c>
      <c r="X520" s="92">
        <v>4415.240234375</v>
      </c>
    </row>
    <row r="521" spans="20:24" ht="16.5">
      <c r="T521" s="86" t="s">
        <v>1546</v>
      </c>
      <c r="U521" s="92">
        <v>145.8699951171875</v>
      </c>
      <c r="V521" s="92">
        <v>135.09666442871091</v>
      </c>
      <c r="W521" s="104">
        <v>4345400</v>
      </c>
      <c r="X521" s="92">
        <v>4411.5498046875</v>
      </c>
    </row>
    <row r="522" spans="20:24" ht="16.5">
      <c r="T522" s="86" t="s">
        <v>1547</v>
      </c>
      <c r="U522" s="92">
        <v>149.92999267578119</v>
      </c>
      <c r="V522" s="92">
        <v>138.8568115234375</v>
      </c>
      <c r="W522" s="104">
        <v>7051600</v>
      </c>
      <c r="X522" s="92">
        <v>4495.7001953125</v>
      </c>
    </row>
    <row r="523" spans="20:24" ht="16.5">
      <c r="T523" s="86" t="s">
        <v>1548</v>
      </c>
      <c r="U523" s="92">
        <v>151.8699951171875</v>
      </c>
      <c r="V523" s="92">
        <v>140.6535339355469</v>
      </c>
      <c r="W523" s="104">
        <v>5957000</v>
      </c>
      <c r="X523" s="92">
        <v>4502.8798828125</v>
      </c>
    </row>
    <row r="524" spans="20:24" ht="16.5">
      <c r="T524" s="86" t="s">
        <v>1549</v>
      </c>
      <c r="U524" s="92">
        <v>151.88999938964841</v>
      </c>
      <c r="V524" s="92">
        <v>140.67205810546881</v>
      </c>
      <c r="W524" s="104">
        <v>5599400</v>
      </c>
      <c r="X524" s="92">
        <v>4508.240234375</v>
      </c>
    </row>
    <row r="525" spans="20:24" ht="16.5">
      <c r="T525" s="86" t="s">
        <v>1550</v>
      </c>
      <c r="U525" s="92">
        <v>154.6199951171875</v>
      </c>
      <c r="V525" s="92">
        <v>143.2004089355469</v>
      </c>
      <c r="W525" s="104">
        <v>7524200</v>
      </c>
      <c r="X525" s="92">
        <v>4514.02001953125</v>
      </c>
    </row>
    <row r="526" spans="20:24" ht="16.5">
      <c r="T526" s="86" t="s">
        <v>1551</v>
      </c>
      <c r="U526" s="92">
        <v>155.53999328613281</v>
      </c>
      <c r="V526" s="92">
        <v>144.05250549316409</v>
      </c>
      <c r="W526" s="104">
        <v>5836900</v>
      </c>
      <c r="X526" s="92">
        <v>4547.3798828125</v>
      </c>
    </row>
    <row r="527" spans="20:24" ht="16.5">
      <c r="T527" s="86" t="s">
        <v>1552</v>
      </c>
      <c r="U527" s="92">
        <v>153.42999267578119</v>
      </c>
      <c r="V527" s="92">
        <v>142.09831237792969</v>
      </c>
      <c r="W527" s="104">
        <v>3877600</v>
      </c>
      <c r="X527" s="92">
        <v>4538.18994140625</v>
      </c>
    </row>
    <row r="528" spans="20:24" ht="16.5">
      <c r="T528" s="86" t="s">
        <v>1553</v>
      </c>
      <c r="U528" s="92">
        <v>153.92999267578119</v>
      </c>
      <c r="V528" s="92">
        <v>142.5613708496094</v>
      </c>
      <c r="W528" s="104">
        <v>3159800</v>
      </c>
      <c r="X528" s="92">
        <v>4556.6201171875</v>
      </c>
    </row>
    <row r="529" spans="20:24" ht="16.5">
      <c r="T529" s="86" t="s">
        <v>1554</v>
      </c>
      <c r="U529" s="92">
        <v>153.5899963378906</v>
      </c>
      <c r="V529" s="92">
        <v>142.2464904785156</v>
      </c>
      <c r="W529" s="104">
        <v>1604800</v>
      </c>
      <c r="X529" s="92">
        <v>4559.33984375</v>
      </c>
    </row>
    <row r="530" spans="20:24" ht="16.5">
      <c r="T530" s="86" t="s">
        <v>1555</v>
      </c>
      <c r="U530" s="92">
        <v>152.6000061035156</v>
      </c>
      <c r="V530" s="92">
        <v>141.3296203613281</v>
      </c>
      <c r="W530" s="104">
        <v>4130700</v>
      </c>
      <c r="X530" s="92">
        <v>4550.43017578125</v>
      </c>
    </row>
    <row r="531" spans="20:24" ht="16.5">
      <c r="T531" s="86" t="s">
        <v>1556</v>
      </c>
      <c r="U531" s="92">
        <v>152.8999938964844</v>
      </c>
      <c r="V531" s="92">
        <v>141.60746765136719</v>
      </c>
      <c r="W531" s="104">
        <v>3883800</v>
      </c>
      <c r="X531" s="92">
        <v>4554.89013671875</v>
      </c>
    </row>
    <row r="532" spans="20:24" ht="16.5">
      <c r="T532" s="86" t="s">
        <v>1557</v>
      </c>
      <c r="U532" s="92">
        <v>153.19999694824219</v>
      </c>
      <c r="V532" s="92">
        <v>141.88533020019531</v>
      </c>
      <c r="W532" s="104">
        <v>3647100</v>
      </c>
      <c r="X532" s="92">
        <v>4550.580078125</v>
      </c>
    </row>
    <row r="533" spans="20:24" ht="16.5">
      <c r="T533" s="86" t="s">
        <v>1558</v>
      </c>
      <c r="U533" s="92">
        <v>152.71000671386719</v>
      </c>
      <c r="V533" s="92">
        <v>141.4314880371094</v>
      </c>
      <c r="W533" s="104">
        <v>6641400</v>
      </c>
      <c r="X533" s="92">
        <v>4567.7998046875</v>
      </c>
    </row>
    <row r="534" spans="20:24" ht="16.5">
      <c r="T534" s="86" t="s">
        <v>1559</v>
      </c>
      <c r="U534" s="92">
        <v>155.21000671386719</v>
      </c>
      <c r="V534" s="92">
        <v>143.74687194824219</v>
      </c>
      <c r="W534" s="104">
        <v>4095500</v>
      </c>
      <c r="X534" s="92">
        <v>4594.6298828125</v>
      </c>
    </row>
    <row r="535" spans="20:24" ht="16.5">
      <c r="T535" s="86" t="s">
        <v>1560</v>
      </c>
      <c r="U535" s="92">
        <v>157.41999816894531</v>
      </c>
      <c r="V535" s="92">
        <v>145.79364013671881</v>
      </c>
      <c r="W535" s="104">
        <v>6572000</v>
      </c>
      <c r="X535" s="92">
        <v>4569.77978515625</v>
      </c>
    </row>
    <row r="536" spans="20:24" ht="16.5">
      <c r="T536" s="86" t="s">
        <v>1561</v>
      </c>
      <c r="U536" s="92">
        <v>157.25</v>
      </c>
      <c r="V536" s="92">
        <v>145.63618469238281</v>
      </c>
      <c r="W536" s="104">
        <v>4935600</v>
      </c>
      <c r="X536" s="92">
        <v>4567.18017578125</v>
      </c>
    </row>
    <row r="537" spans="20:24" ht="16.5">
      <c r="T537" s="86" t="s">
        <v>1562</v>
      </c>
      <c r="U537" s="92">
        <v>156.05000305175781</v>
      </c>
      <c r="V537" s="92">
        <v>144.52482604980469</v>
      </c>
      <c r="W537" s="104">
        <v>4952200</v>
      </c>
      <c r="X537" s="92">
        <v>4549.33984375</v>
      </c>
    </row>
    <row r="538" spans="20:24" ht="16.5">
      <c r="T538" s="86" t="s">
        <v>1563</v>
      </c>
      <c r="U538" s="92">
        <v>157.67999267578119</v>
      </c>
      <c r="V538" s="92">
        <v>146.034423828125</v>
      </c>
      <c r="W538" s="104">
        <v>6495400</v>
      </c>
      <c r="X538" s="92">
        <v>4585.58984375</v>
      </c>
    </row>
    <row r="539" spans="20:24" ht="16.5">
      <c r="T539" s="86" t="s">
        <v>1564</v>
      </c>
      <c r="U539" s="92">
        <v>157.0299987792969</v>
      </c>
      <c r="V539" s="92">
        <v>145.43244934082031</v>
      </c>
      <c r="W539" s="104">
        <v>4732100</v>
      </c>
      <c r="X539" s="92">
        <v>4604.3701171875</v>
      </c>
    </row>
    <row r="540" spans="20:24" ht="16.5">
      <c r="T540" s="86" t="s">
        <v>1565</v>
      </c>
      <c r="U540" s="92">
        <v>159.9700012207031</v>
      </c>
      <c r="V540" s="92">
        <v>148.15531921386719</v>
      </c>
      <c r="W540" s="104">
        <v>7585500</v>
      </c>
      <c r="X540" s="92">
        <v>4622.43994140625</v>
      </c>
    </row>
    <row r="541" spans="20:24" ht="16.5">
      <c r="T541" s="86" t="s">
        <v>1566</v>
      </c>
      <c r="U541" s="92">
        <v>157.91999816894531</v>
      </c>
      <c r="V541" s="92">
        <v>146.25672912597659</v>
      </c>
      <c r="W541" s="104">
        <v>4714400</v>
      </c>
      <c r="X541" s="92">
        <v>4643.7001953125</v>
      </c>
    </row>
    <row r="542" spans="20:24" ht="16.5">
      <c r="T542" s="86" t="s">
        <v>1567</v>
      </c>
      <c r="U542" s="92">
        <v>161.80999755859381</v>
      </c>
      <c r="V542" s="92">
        <v>149.8594055175781</v>
      </c>
      <c r="W542" s="104">
        <v>5940900</v>
      </c>
      <c r="X542" s="92">
        <v>4707.08984375</v>
      </c>
    </row>
    <row r="543" spans="20:24" ht="16.5">
      <c r="T543" s="86" t="s">
        <v>1568</v>
      </c>
      <c r="U543" s="92">
        <v>168.7799987792969</v>
      </c>
      <c r="V543" s="92">
        <v>156.31462097167969</v>
      </c>
      <c r="W543" s="104">
        <v>11428500</v>
      </c>
      <c r="X543" s="92">
        <v>4719.5498046875</v>
      </c>
    </row>
    <row r="544" spans="20:24" ht="16.5">
      <c r="T544" s="86" t="s">
        <v>1569</v>
      </c>
      <c r="U544" s="92">
        <v>168.63999938964841</v>
      </c>
      <c r="V544" s="92">
        <v>156.18499755859381</v>
      </c>
      <c r="W544" s="104">
        <v>16337400</v>
      </c>
      <c r="X544" s="92">
        <v>4719.18994140625</v>
      </c>
    </row>
    <row r="545" spans="20:24" ht="16.5">
      <c r="T545" s="86" t="s">
        <v>1570</v>
      </c>
      <c r="U545" s="92">
        <v>167.41999816894531</v>
      </c>
      <c r="V545" s="92">
        <v>155.0550842285156</v>
      </c>
      <c r="W545" s="104">
        <v>5015200</v>
      </c>
      <c r="X545" s="92">
        <v>4740.56005859375</v>
      </c>
    </row>
    <row r="546" spans="20:24" ht="16.5">
      <c r="T546" s="86" t="s">
        <v>1571</v>
      </c>
      <c r="U546" s="92">
        <v>168.5</v>
      </c>
      <c r="V546" s="92">
        <v>156.0552978515625</v>
      </c>
      <c r="W546" s="104">
        <v>4379400</v>
      </c>
      <c r="X546" s="92">
        <v>4768.3701171875</v>
      </c>
    </row>
    <row r="547" spans="20:24" ht="16.5">
      <c r="T547" s="86" t="s">
        <v>1572</v>
      </c>
      <c r="U547" s="92">
        <v>165.17999267578119</v>
      </c>
      <c r="V547" s="92">
        <v>152.9804992675781</v>
      </c>
      <c r="W547" s="104">
        <v>5098700</v>
      </c>
      <c r="X547" s="92">
        <v>4698.35009765625</v>
      </c>
    </row>
    <row r="548" spans="20:24" ht="16.5">
      <c r="T548" s="86" t="s">
        <v>1573</v>
      </c>
      <c r="U548" s="92">
        <v>166.80999755859381</v>
      </c>
      <c r="V548" s="92">
        <v>154.4901123046875</v>
      </c>
      <c r="W548" s="104">
        <v>4040100</v>
      </c>
      <c r="X548" s="92">
        <v>4746.75</v>
      </c>
    </row>
    <row r="549" spans="20:24" ht="16.5">
      <c r="T549" s="86" t="s">
        <v>1574</v>
      </c>
      <c r="U549" s="92">
        <v>168.24000549316409</v>
      </c>
      <c r="V549" s="92">
        <v>155.81452941894531</v>
      </c>
      <c r="W549" s="104">
        <v>3492400</v>
      </c>
      <c r="X549" s="92">
        <v>4754.6298828125</v>
      </c>
    </row>
    <row r="550" spans="20:24" ht="16.5">
      <c r="T550" s="86" t="s">
        <v>1575</v>
      </c>
      <c r="U550" s="92">
        <v>170.80999755859381</v>
      </c>
      <c r="V550" s="92">
        <v>158.19471740722659</v>
      </c>
      <c r="W550" s="104">
        <v>3202200</v>
      </c>
      <c r="X550" s="92">
        <v>4774.75</v>
      </c>
    </row>
    <row r="551" spans="20:24" ht="16.5">
      <c r="T551" s="86" t="s">
        <v>1576</v>
      </c>
      <c r="U551" s="92">
        <v>171.22999572753909</v>
      </c>
      <c r="V551" s="92">
        <v>158.58369445800781</v>
      </c>
      <c r="W551" s="104">
        <v>3264900</v>
      </c>
      <c r="X551" s="92">
        <v>4781.580078125</v>
      </c>
    </row>
    <row r="552" spans="20:24" ht="16.5">
      <c r="T552" s="86" t="s">
        <v>1577</v>
      </c>
      <c r="U552" s="92">
        <v>171.7200012207031</v>
      </c>
      <c r="V552" s="92">
        <v>159.0374755859375</v>
      </c>
      <c r="W552" s="104">
        <v>3023000</v>
      </c>
      <c r="X552" s="92">
        <v>4783.35009765625</v>
      </c>
    </row>
    <row r="553" spans="20:24" ht="16.5">
      <c r="T553" s="86" t="s">
        <v>1578</v>
      </c>
      <c r="U553" s="92">
        <v>170.46000671386719</v>
      </c>
      <c r="V553" s="92">
        <v>157.87055969238281</v>
      </c>
      <c r="W553" s="104">
        <v>2920600</v>
      </c>
      <c r="X553" s="92">
        <v>4769.830078125</v>
      </c>
    </row>
    <row r="554" spans="20:24" ht="16.5">
      <c r="T554" s="86" t="s">
        <v>1579</v>
      </c>
      <c r="U554" s="92">
        <v>169.25999450683591</v>
      </c>
      <c r="V554" s="92">
        <v>156.75917053222659</v>
      </c>
      <c r="W554" s="104">
        <v>5652500</v>
      </c>
      <c r="X554" s="92">
        <v>4742.830078125</v>
      </c>
    </row>
    <row r="555" spans="20:24" ht="16.5">
      <c r="T555" s="86" t="s">
        <v>1580</v>
      </c>
      <c r="U555" s="92">
        <v>166.74000549316409</v>
      </c>
      <c r="V555" s="92">
        <v>154.42530822753909</v>
      </c>
      <c r="W555" s="104">
        <v>5874900</v>
      </c>
      <c r="X555" s="92">
        <v>4704.81005859375</v>
      </c>
    </row>
    <row r="556" spans="20:24" ht="16.5">
      <c r="T556" s="86" t="s">
        <v>1581</v>
      </c>
      <c r="U556" s="92">
        <v>164.4700012207031</v>
      </c>
      <c r="V556" s="92">
        <v>152.3229675292969</v>
      </c>
      <c r="W556" s="104">
        <v>6445700</v>
      </c>
      <c r="X556" s="92">
        <v>4688.68017578125</v>
      </c>
    </row>
    <row r="557" spans="20:24" ht="16.5">
      <c r="T557" s="86" t="s">
        <v>1582</v>
      </c>
      <c r="U557" s="92">
        <v>165.1000061035156</v>
      </c>
      <c r="V557" s="92">
        <v>152.90641784667969</v>
      </c>
      <c r="W557" s="104">
        <v>3087200</v>
      </c>
      <c r="X557" s="92">
        <v>4697.240234375</v>
      </c>
    </row>
    <row r="558" spans="20:24" ht="16.5">
      <c r="T558" s="86" t="s">
        <v>1583</v>
      </c>
      <c r="U558" s="92">
        <v>168.53999328613281</v>
      </c>
      <c r="V558" s="92">
        <v>156.09234619140619</v>
      </c>
      <c r="W558" s="104">
        <v>5717500</v>
      </c>
      <c r="X558" s="92">
        <v>4763.5400390625</v>
      </c>
    </row>
    <row r="559" spans="20:24" ht="16.5">
      <c r="T559" s="86" t="s">
        <v>1584</v>
      </c>
      <c r="U559" s="92">
        <v>168.6300048828125</v>
      </c>
      <c r="V559" s="92">
        <v>156.17570495605469</v>
      </c>
      <c r="W559" s="104">
        <v>5018500</v>
      </c>
      <c r="X559" s="92">
        <v>4756.5</v>
      </c>
    </row>
    <row r="560" spans="20:24" ht="16.5">
      <c r="T560" s="86" t="s">
        <v>1585</v>
      </c>
      <c r="U560" s="92">
        <v>167.25</v>
      </c>
      <c r="V560" s="92">
        <v>154.89762878417969</v>
      </c>
      <c r="W560" s="104">
        <v>4045200</v>
      </c>
      <c r="X560" s="92">
        <v>4783.4501953125</v>
      </c>
    </row>
    <row r="561" spans="20:24" ht="16.5">
      <c r="T561" s="86" t="s">
        <v>1586</v>
      </c>
      <c r="U561" s="92">
        <v>165.6000061035156</v>
      </c>
      <c r="V561" s="92">
        <v>153.36952209472659</v>
      </c>
      <c r="W561" s="104">
        <v>5635600</v>
      </c>
      <c r="X561" s="92">
        <v>4780.240234375</v>
      </c>
    </row>
    <row r="562" spans="20:24" ht="16.5">
      <c r="T562" s="86" t="s">
        <v>1587</v>
      </c>
      <c r="U562" s="92">
        <v>164.8699951171875</v>
      </c>
      <c r="V562" s="92">
        <v>152.6933898925781</v>
      </c>
      <c r="W562" s="104">
        <v>4205000</v>
      </c>
      <c r="X562" s="92">
        <v>4783.830078125</v>
      </c>
    </row>
    <row r="563" spans="20:24" ht="16.5">
      <c r="T563" s="86" t="s">
        <v>1588</v>
      </c>
      <c r="U563" s="92">
        <v>163.8800048828125</v>
      </c>
      <c r="V563" s="92">
        <v>151.77655029296881</v>
      </c>
      <c r="W563" s="104">
        <v>6682800</v>
      </c>
      <c r="X563" s="92">
        <v>4765.97998046875</v>
      </c>
    </row>
    <row r="564" spans="20:24" ht="16.5">
      <c r="T564" s="86" t="s">
        <v>1589</v>
      </c>
      <c r="U564" s="92">
        <v>162.41999816894531</v>
      </c>
      <c r="V564" s="92">
        <v>150.42436218261719</v>
      </c>
      <c r="W564" s="104">
        <v>4079000</v>
      </c>
      <c r="X564" s="92">
        <v>4739.2099609375</v>
      </c>
    </row>
    <row r="565" spans="20:24" ht="16.5">
      <c r="T565" s="86" t="s">
        <v>1590</v>
      </c>
      <c r="U565" s="92">
        <v>166.9100036621094</v>
      </c>
      <c r="V565" s="92">
        <v>154.5827331542969</v>
      </c>
      <c r="W565" s="104">
        <v>6583700</v>
      </c>
      <c r="X565" s="92">
        <v>4780.93994140625</v>
      </c>
    </row>
    <row r="566" spans="20:24" ht="16.5">
      <c r="T566" s="86" t="s">
        <v>1591</v>
      </c>
      <c r="U566" s="92">
        <v>173.6499938964844</v>
      </c>
      <c r="V566" s="92">
        <v>160.82496643066409</v>
      </c>
      <c r="W566" s="104">
        <v>13345800</v>
      </c>
      <c r="X566" s="92">
        <v>4839.81005859375</v>
      </c>
    </row>
    <row r="567" spans="20:24" ht="16.5">
      <c r="T567" s="86" t="s">
        <v>1592</v>
      </c>
      <c r="U567" s="92">
        <v>174.83000183105469</v>
      </c>
      <c r="V567" s="92">
        <v>161.9178161621094</v>
      </c>
      <c r="W567" s="104">
        <v>6850700</v>
      </c>
      <c r="X567" s="92">
        <v>4850.43017578125</v>
      </c>
    </row>
    <row r="568" spans="20:24" ht="16.5">
      <c r="T568" s="86" t="s">
        <v>1593</v>
      </c>
      <c r="U568" s="92">
        <v>174.3399963378906</v>
      </c>
      <c r="V568" s="92">
        <v>161.46400451660159</v>
      </c>
      <c r="W568" s="104">
        <v>9459400</v>
      </c>
      <c r="X568" s="92">
        <v>4864.60009765625</v>
      </c>
    </row>
    <row r="569" spans="20:24" ht="16.5">
      <c r="T569" s="86" t="s">
        <v>1594</v>
      </c>
      <c r="U569" s="92">
        <v>170.07000732421881</v>
      </c>
      <c r="V569" s="92">
        <v>157.50938415527341</v>
      </c>
      <c r="W569" s="104">
        <v>15100400</v>
      </c>
      <c r="X569" s="92">
        <v>4868.5498046875</v>
      </c>
    </row>
    <row r="570" spans="20:24" ht="16.5">
      <c r="T570" s="86" t="s">
        <v>1595</v>
      </c>
      <c r="U570" s="92">
        <v>167.41999816894531</v>
      </c>
      <c r="V570" s="92">
        <v>155.0550842285156</v>
      </c>
      <c r="W570" s="104">
        <v>7088200</v>
      </c>
      <c r="X570" s="92">
        <v>4894.16015625</v>
      </c>
    </row>
    <row r="571" spans="20:24" ht="16.5">
      <c r="T571" s="86" t="s">
        <v>1596</v>
      </c>
      <c r="U571" s="92">
        <v>164.0899963378906</v>
      </c>
      <c r="V571" s="92">
        <v>151.97102355957031</v>
      </c>
      <c r="W571" s="104">
        <v>8800900</v>
      </c>
      <c r="X571" s="92">
        <v>4890.97021484375</v>
      </c>
    </row>
    <row r="572" spans="20:24" ht="16.5">
      <c r="T572" s="86" t="s">
        <v>1597</v>
      </c>
      <c r="U572" s="92">
        <v>166.03999328613281</v>
      </c>
      <c r="V572" s="92">
        <v>153.77699279785159</v>
      </c>
      <c r="W572" s="104">
        <v>6076600</v>
      </c>
      <c r="X572" s="92">
        <v>4927.93017578125</v>
      </c>
    </row>
    <row r="573" spans="20:24" ht="16.5">
      <c r="T573" s="86" t="s">
        <v>1598</v>
      </c>
      <c r="U573" s="92">
        <v>162.05000305175781</v>
      </c>
      <c r="V573" s="92">
        <v>151.26600646972659</v>
      </c>
      <c r="W573" s="104">
        <v>4897600</v>
      </c>
      <c r="X573" s="92">
        <v>4924.97021484375</v>
      </c>
    </row>
    <row r="574" spans="20:24" ht="16.5">
      <c r="T574" s="86" t="s">
        <v>1599</v>
      </c>
      <c r="U574" s="92">
        <v>160.1199951171875</v>
      </c>
      <c r="V574" s="92">
        <v>149.46441650390619</v>
      </c>
      <c r="W574" s="104">
        <v>8665200</v>
      </c>
      <c r="X574" s="92">
        <v>4845.64990234375</v>
      </c>
    </row>
    <row r="575" spans="20:24" ht="16.5">
      <c r="T575" s="86" t="s">
        <v>1600</v>
      </c>
      <c r="U575" s="92">
        <v>159.69000244140619</v>
      </c>
      <c r="V575" s="92">
        <v>149.06306457519531</v>
      </c>
      <c r="W575" s="104">
        <v>6542100</v>
      </c>
      <c r="X575" s="92">
        <v>4906.18994140625</v>
      </c>
    </row>
    <row r="576" spans="20:24" ht="16.5">
      <c r="T576" s="86" t="s">
        <v>1601</v>
      </c>
      <c r="U576" s="92">
        <v>159.19999694824219</v>
      </c>
      <c r="V576" s="92">
        <v>148.60566711425781</v>
      </c>
      <c r="W576" s="104">
        <v>4922400</v>
      </c>
      <c r="X576" s="92">
        <v>4958.60986328125</v>
      </c>
    </row>
    <row r="577" spans="20:24" ht="16.5">
      <c r="T577" s="86" t="s">
        <v>1602</v>
      </c>
      <c r="U577" s="92">
        <v>158.8999938964844</v>
      </c>
      <c r="V577" s="92">
        <v>148.32563781738281</v>
      </c>
      <c r="W577" s="104">
        <v>4190100</v>
      </c>
      <c r="X577" s="92">
        <v>4942.81005859375</v>
      </c>
    </row>
    <row r="578" spans="20:24" ht="16.5">
      <c r="T578" s="86" t="s">
        <v>1603</v>
      </c>
      <c r="U578" s="92">
        <v>158.3699951171875</v>
      </c>
      <c r="V578" s="92">
        <v>147.83091735839841</v>
      </c>
      <c r="W578" s="104">
        <v>4139800</v>
      </c>
      <c r="X578" s="92">
        <v>4954.22998046875</v>
      </c>
    </row>
    <row r="579" spans="20:24" ht="16.5">
      <c r="T579" s="86" t="s">
        <v>1604</v>
      </c>
      <c r="U579" s="92">
        <v>158.77000427246091</v>
      </c>
      <c r="V579" s="92">
        <v>148.20429992675781</v>
      </c>
      <c r="W579" s="104">
        <v>4627900</v>
      </c>
      <c r="X579" s="92">
        <v>4995.06005859375</v>
      </c>
    </row>
    <row r="580" spans="20:24" ht="16.5">
      <c r="T580" s="86" t="s">
        <v>1605</v>
      </c>
      <c r="U580" s="92">
        <v>160.21000671386719</v>
      </c>
      <c r="V580" s="92">
        <v>149.5484619140625</v>
      </c>
      <c r="W580" s="104">
        <v>3487700</v>
      </c>
      <c r="X580" s="92">
        <v>4997.91015625</v>
      </c>
    </row>
    <row r="581" spans="20:24" ht="16.5">
      <c r="T581" s="86" t="s">
        <v>1606</v>
      </c>
      <c r="U581" s="92">
        <v>162.3999938964844</v>
      </c>
      <c r="V581" s="92">
        <v>151.59269714355469</v>
      </c>
      <c r="W581" s="104">
        <v>3919500</v>
      </c>
      <c r="X581" s="92">
        <v>5026.60986328125</v>
      </c>
    </row>
    <row r="582" spans="20:24" ht="16.5">
      <c r="T582" s="86" t="s">
        <v>1607</v>
      </c>
      <c r="U582" s="92">
        <v>161.08000183105469</v>
      </c>
      <c r="V582" s="92">
        <v>150.36058044433591</v>
      </c>
      <c r="W582" s="104">
        <v>3853000</v>
      </c>
      <c r="X582" s="92">
        <v>5021.83984375</v>
      </c>
    </row>
    <row r="583" spans="20:24" ht="16.5">
      <c r="T583" s="86" t="s">
        <v>1608</v>
      </c>
      <c r="U583" s="92">
        <v>156.8500061035156</v>
      </c>
      <c r="V583" s="92">
        <v>146.4120788574219</v>
      </c>
      <c r="W583" s="104">
        <v>5357900</v>
      </c>
      <c r="X583" s="92">
        <v>4953.169921875</v>
      </c>
    </row>
    <row r="584" spans="20:24" ht="16.5">
      <c r="T584" s="86" t="s">
        <v>1609</v>
      </c>
      <c r="U584" s="92">
        <v>157.8699951171875</v>
      </c>
      <c r="V584" s="92">
        <v>147.36418151855469</v>
      </c>
      <c r="W584" s="104">
        <v>4528000</v>
      </c>
      <c r="X584" s="92">
        <v>5000.6201171875</v>
      </c>
    </row>
    <row r="585" spans="20:24" ht="16.5">
      <c r="T585" s="86" t="s">
        <v>1610</v>
      </c>
      <c r="U585" s="92">
        <v>160.71000671386719</v>
      </c>
      <c r="V585" s="92">
        <v>150.01519775390619</v>
      </c>
      <c r="W585" s="104">
        <v>3725300</v>
      </c>
      <c r="X585" s="92">
        <v>5029.72998046875</v>
      </c>
    </row>
    <row r="586" spans="20:24" ht="16.5">
      <c r="T586" s="86" t="s">
        <v>1611</v>
      </c>
      <c r="U586" s="92">
        <v>160.3800048828125</v>
      </c>
      <c r="V586" s="92">
        <v>149.70713806152341</v>
      </c>
      <c r="W586" s="104">
        <v>3167600</v>
      </c>
      <c r="X586" s="92">
        <v>5005.56982421875</v>
      </c>
    </row>
    <row r="587" spans="20:24" ht="16.5">
      <c r="T587" s="86" t="s">
        <v>1612</v>
      </c>
      <c r="U587" s="92">
        <v>162.74000549316409</v>
      </c>
      <c r="V587" s="92">
        <v>151.91011047363281</v>
      </c>
      <c r="W587" s="104">
        <v>5406200</v>
      </c>
      <c r="X587" s="92">
        <v>4975.509765625</v>
      </c>
    </row>
    <row r="588" spans="20:24" ht="16.5">
      <c r="T588" s="86" t="s">
        <v>1613</v>
      </c>
      <c r="U588" s="92">
        <v>164.08000183105469</v>
      </c>
      <c r="V588" s="92">
        <v>153.1609191894531</v>
      </c>
      <c r="W588" s="104">
        <v>4530000</v>
      </c>
      <c r="X588" s="92">
        <v>4981.7998046875</v>
      </c>
    </row>
    <row r="589" spans="20:24" ht="16.5">
      <c r="T589" s="86" t="s">
        <v>1614</v>
      </c>
      <c r="U589" s="92">
        <v>165.42999267578119</v>
      </c>
      <c r="V589" s="92">
        <v>154.42109680175781</v>
      </c>
      <c r="W589" s="104">
        <v>5041200</v>
      </c>
      <c r="X589" s="92">
        <v>5087.02978515625</v>
      </c>
    </row>
    <row r="590" spans="20:24" ht="16.5">
      <c r="T590" s="86" t="s">
        <v>1615</v>
      </c>
      <c r="U590" s="92">
        <v>163.69000244140619</v>
      </c>
      <c r="V590" s="92">
        <v>152.796875</v>
      </c>
      <c r="W590" s="104">
        <v>3479100</v>
      </c>
      <c r="X590" s="92">
        <v>5088.7998046875</v>
      </c>
    </row>
    <row r="591" spans="20:24" ht="16.5">
      <c r="T591" s="86" t="s">
        <v>1616</v>
      </c>
      <c r="U591" s="92">
        <v>164.30000305175781</v>
      </c>
      <c r="V591" s="92">
        <v>153.3663024902344</v>
      </c>
      <c r="W591" s="104">
        <v>5251300</v>
      </c>
      <c r="X591" s="92">
        <v>5069.52978515625</v>
      </c>
    </row>
    <row r="592" spans="20:24" ht="16.5">
      <c r="T592" s="86" t="s">
        <v>1617</v>
      </c>
      <c r="U592" s="92">
        <v>164.94000244140619</v>
      </c>
      <c r="V592" s="92">
        <v>153.96369934082031</v>
      </c>
      <c r="W592" s="104">
        <v>2886600</v>
      </c>
      <c r="X592" s="92">
        <v>5078.18017578125</v>
      </c>
    </row>
    <row r="593" spans="20:24" ht="16.5">
      <c r="T593" s="86" t="s">
        <v>1618</v>
      </c>
      <c r="U593" s="92">
        <v>163.03999328613281</v>
      </c>
      <c r="V593" s="92">
        <v>152.19013977050781</v>
      </c>
      <c r="W593" s="104">
        <v>2933000</v>
      </c>
      <c r="X593" s="92">
        <v>5069.759765625</v>
      </c>
    </row>
    <row r="594" spans="20:24" ht="16.5">
      <c r="T594" s="86" t="s">
        <v>1619</v>
      </c>
      <c r="U594" s="92">
        <v>167.33000183105469</v>
      </c>
      <c r="V594" s="92">
        <v>156.19462585449219</v>
      </c>
      <c r="W594" s="104">
        <v>7267200</v>
      </c>
      <c r="X594" s="92">
        <v>5096.27001953125</v>
      </c>
    </row>
    <row r="595" spans="20:24" ht="16.5">
      <c r="T595" s="86" t="s">
        <v>1620</v>
      </c>
      <c r="U595" s="92">
        <v>171.05000305175781</v>
      </c>
      <c r="V595" s="92">
        <v>159.66709899902341</v>
      </c>
      <c r="W595" s="104">
        <v>5233700</v>
      </c>
      <c r="X595" s="92">
        <v>5137.080078125</v>
      </c>
    </row>
    <row r="596" spans="20:24" ht="16.5">
      <c r="T596" s="86" t="s">
        <v>1621</v>
      </c>
      <c r="U596" s="92">
        <v>172.44000244140619</v>
      </c>
      <c r="V596" s="92">
        <v>160.96461486816409</v>
      </c>
      <c r="W596" s="104">
        <v>4401600</v>
      </c>
      <c r="X596" s="92">
        <v>5130.9501953125</v>
      </c>
    </row>
    <row r="597" spans="20:24" ht="16.5">
      <c r="T597" s="86" t="s">
        <v>1622</v>
      </c>
      <c r="U597" s="92">
        <v>170.63999938964841</v>
      </c>
      <c r="V597" s="92">
        <v>159.28436279296881</v>
      </c>
      <c r="W597" s="104">
        <v>6215600</v>
      </c>
      <c r="X597" s="92">
        <v>5078.64990234375</v>
      </c>
    </row>
    <row r="598" spans="20:24" ht="16.5">
      <c r="T598" s="86" t="s">
        <v>1623</v>
      </c>
      <c r="U598" s="92">
        <v>171.8699951171875</v>
      </c>
      <c r="V598" s="92">
        <v>160.43251037597659</v>
      </c>
      <c r="W598" s="104">
        <v>6312700</v>
      </c>
      <c r="X598" s="92">
        <v>5104.759765625</v>
      </c>
    </row>
    <row r="599" spans="20:24" ht="16.5">
      <c r="T599" s="86" t="s">
        <v>1624</v>
      </c>
      <c r="U599" s="92">
        <v>175.27000427246091</v>
      </c>
      <c r="V599" s="92">
        <v>163.60626220703119</v>
      </c>
      <c r="W599" s="104">
        <v>5980400</v>
      </c>
      <c r="X599" s="92">
        <v>5157.35986328125</v>
      </c>
    </row>
    <row r="600" spans="20:24" ht="16.5">
      <c r="T600" s="86" t="s">
        <v>1625</v>
      </c>
      <c r="U600" s="92">
        <v>172.30000305175781</v>
      </c>
      <c r="V600" s="92">
        <v>160.83392333984381</v>
      </c>
      <c r="W600" s="104">
        <v>5632600</v>
      </c>
      <c r="X600" s="92">
        <v>5123.68994140625</v>
      </c>
    </row>
    <row r="601" spans="20:24" ht="16.5">
      <c r="T601" s="86" t="s">
        <v>1626</v>
      </c>
      <c r="U601" s="92">
        <v>174.19000244140619</v>
      </c>
      <c r="V601" s="92">
        <v>162.59814453125</v>
      </c>
      <c r="W601" s="104">
        <v>4207300</v>
      </c>
      <c r="X601" s="92">
        <v>5117.93994140625</v>
      </c>
    </row>
    <row r="602" spans="20:24" ht="16.5">
      <c r="T602" s="86" t="s">
        <v>1627</v>
      </c>
      <c r="U602" s="92">
        <v>174.80000305175781</v>
      </c>
      <c r="V602" s="92">
        <v>163.1675109863281</v>
      </c>
      <c r="W602" s="104">
        <v>5802600</v>
      </c>
      <c r="X602" s="92">
        <v>5175.27001953125</v>
      </c>
    </row>
    <row r="603" spans="20:24" ht="16.5">
      <c r="T603" s="86" t="s">
        <v>1628</v>
      </c>
      <c r="U603" s="92">
        <v>172.67999267578119</v>
      </c>
      <c r="V603" s="92">
        <v>161.1885986328125</v>
      </c>
      <c r="W603" s="104">
        <v>5199500</v>
      </c>
      <c r="X603" s="92">
        <v>5165.31005859375</v>
      </c>
    </row>
    <row r="604" spans="20:24" ht="16.5">
      <c r="T604" s="86" t="s">
        <v>1629</v>
      </c>
      <c r="U604" s="92">
        <v>171.13999938964841</v>
      </c>
      <c r="V604" s="92">
        <v>159.7510986328125</v>
      </c>
      <c r="W604" s="104">
        <v>5028200</v>
      </c>
      <c r="X604" s="92">
        <v>5150.47998046875</v>
      </c>
    </row>
    <row r="605" spans="20:24" ht="16.5">
      <c r="T605" s="86" t="s">
        <v>1630</v>
      </c>
      <c r="U605" s="92">
        <v>172.52000427246091</v>
      </c>
      <c r="V605" s="92">
        <v>161.03924560546881</v>
      </c>
      <c r="W605" s="104">
        <v>19078800</v>
      </c>
      <c r="X605" s="92">
        <v>5117.08984375</v>
      </c>
    </row>
    <row r="606" spans="20:24" ht="16.5">
      <c r="T606" s="86" t="s">
        <v>1631</v>
      </c>
      <c r="U606" s="92">
        <v>169.21000671386719</v>
      </c>
      <c r="V606" s="92">
        <v>157.9495544433594</v>
      </c>
      <c r="W606" s="104">
        <v>5213800</v>
      </c>
      <c r="X606" s="92">
        <v>5149.419921875</v>
      </c>
    </row>
    <row r="607" spans="20:24" ht="16.5">
      <c r="T607" s="86" t="s">
        <v>1632</v>
      </c>
      <c r="U607" s="92">
        <v>166.75999450683591</v>
      </c>
      <c r="V607" s="92">
        <v>155.66259765625</v>
      </c>
      <c r="W607" s="104">
        <v>5640000</v>
      </c>
      <c r="X607" s="92">
        <v>5178.509765625</v>
      </c>
    </row>
    <row r="608" spans="20:24" ht="16.5">
      <c r="T608" s="86" t="s">
        <v>1633</v>
      </c>
      <c r="U608" s="92">
        <v>169.97999572753909</v>
      </c>
      <c r="V608" s="92">
        <v>158.66828918457031</v>
      </c>
      <c r="W608" s="104">
        <v>4404600</v>
      </c>
      <c r="X608" s="92">
        <v>5224.6201171875</v>
      </c>
    </row>
    <row r="609" spans="20:24" ht="16.5">
      <c r="T609" s="86" t="s">
        <v>1634</v>
      </c>
      <c r="U609" s="92">
        <v>172.5899963378906</v>
      </c>
      <c r="V609" s="92">
        <v>161.1045837402344</v>
      </c>
      <c r="W609" s="104">
        <v>4371600</v>
      </c>
      <c r="X609" s="92">
        <v>5241.52978515625</v>
      </c>
    </row>
    <row r="610" spans="20:24" ht="16.5">
      <c r="T610" s="86" t="s">
        <v>1635</v>
      </c>
      <c r="U610" s="92">
        <v>172.47999572753909</v>
      </c>
      <c r="V610" s="92">
        <v>161.00189208984381</v>
      </c>
      <c r="W610" s="104">
        <v>4177200</v>
      </c>
      <c r="X610" s="92">
        <v>5234.18017578125</v>
      </c>
    </row>
    <row r="611" spans="20:24" ht="16.5">
      <c r="T611" s="86" t="s">
        <v>1636</v>
      </c>
      <c r="U611" s="92">
        <v>170.8500061035156</v>
      </c>
      <c r="V611" s="92">
        <v>159.48039245605469</v>
      </c>
      <c r="W611" s="104">
        <v>3298600</v>
      </c>
      <c r="X611" s="92">
        <v>5218.18994140625</v>
      </c>
    </row>
    <row r="612" spans="20:24" ht="16.5">
      <c r="T612" s="86" t="s">
        <v>1637</v>
      </c>
      <c r="U612" s="92">
        <v>167.9100036621094</v>
      </c>
      <c r="V612" s="92">
        <v>156.73603820800781</v>
      </c>
      <c r="W612" s="104">
        <v>5898300</v>
      </c>
      <c r="X612" s="92">
        <v>5203.580078125</v>
      </c>
    </row>
    <row r="613" spans="20:24" ht="16.5">
      <c r="T613" s="86" t="s">
        <v>1638</v>
      </c>
      <c r="U613" s="92">
        <v>172.8699951171875</v>
      </c>
      <c r="V613" s="92">
        <v>161.365966796875</v>
      </c>
      <c r="W613" s="104">
        <v>4272300</v>
      </c>
      <c r="X613" s="92">
        <v>5248.490234375</v>
      </c>
    </row>
    <row r="614" spans="20:24" ht="16.5">
      <c r="T614" s="86" t="s">
        <v>1639</v>
      </c>
      <c r="U614" s="92">
        <v>174.21000671386719</v>
      </c>
      <c r="V614" s="92">
        <v>162.6167907714844</v>
      </c>
      <c r="W614" s="104">
        <v>4417800</v>
      </c>
      <c r="X614" s="92">
        <v>5254.35009765625</v>
      </c>
    </row>
    <row r="615" spans="20:24" ht="16.5">
      <c r="T615" s="86" t="s">
        <v>1640</v>
      </c>
      <c r="U615" s="92">
        <v>173.16999816894531</v>
      </c>
      <c r="V615" s="92">
        <v>161.64598083496091</v>
      </c>
      <c r="W615" s="104">
        <v>2303200</v>
      </c>
      <c r="X615" s="92">
        <v>5243.77001953125</v>
      </c>
    </row>
    <row r="616" spans="20:24" ht="16.5">
      <c r="T616" s="86" t="s">
        <v>1641</v>
      </c>
      <c r="U616" s="92">
        <v>170.36000061035159</v>
      </c>
      <c r="V616" s="92">
        <v>159.02301025390619</v>
      </c>
      <c r="W616" s="104">
        <v>3304500</v>
      </c>
      <c r="X616" s="92">
        <v>5205.81005859375</v>
      </c>
    </row>
    <row r="617" spans="20:24" ht="16.5">
      <c r="T617" s="86" t="s">
        <v>1642</v>
      </c>
      <c r="U617" s="92">
        <v>170.3399963378906</v>
      </c>
      <c r="V617" s="92">
        <v>159.00434875488281</v>
      </c>
      <c r="W617" s="104">
        <v>3295800</v>
      </c>
      <c r="X617" s="92">
        <v>5211.490234375</v>
      </c>
    </row>
    <row r="618" spans="20:24" ht="16.5">
      <c r="T618" s="86" t="s">
        <v>1643</v>
      </c>
      <c r="U618" s="92">
        <v>168.5299987792969</v>
      </c>
      <c r="V618" s="92">
        <v>157.31480407714841</v>
      </c>
      <c r="W618" s="104">
        <v>7491300</v>
      </c>
      <c r="X618" s="92">
        <v>5147.2099609375</v>
      </c>
    </row>
    <row r="619" spans="20:24" ht="16.5">
      <c r="T619" s="86" t="s">
        <v>1644</v>
      </c>
      <c r="U619" s="92">
        <v>167.5</v>
      </c>
      <c r="V619" s="92">
        <v>156.35334777832031</v>
      </c>
      <c r="W619" s="104">
        <v>5012300</v>
      </c>
      <c r="X619" s="92">
        <v>5204.33984375</v>
      </c>
    </row>
    <row r="620" spans="20:24" ht="16.5">
      <c r="T620" s="86" t="s">
        <v>1645</v>
      </c>
      <c r="U620" s="92">
        <v>169.46000671386719</v>
      </c>
      <c r="V620" s="92">
        <v>158.18290710449219</v>
      </c>
      <c r="W620" s="104">
        <v>3154000</v>
      </c>
      <c r="X620" s="92">
        <v>5202.39013671875</v>
      </c>
    </row>
    <row r="621" spans="20:24" ht="16.5">
      <c r="T621" s="86" t="s">
        <v>1646</v>
      </c>
      <c r="U621" s="92">
        <v>173.46000671386719</v>
      </c>
      <c r="V621" s="92">
        <v>161.9167175292969</v>
      </c>
      <c r="W621" s="104">
        <v>4830700</v>
      </c>
      <c r="X621" s="92">
        <v>5209.91015625</v>
      </c>
    </row>
    <row r="622" spans="20:24" ht="16.5">
      <c r="T622" s="86" t="s">
        <v>1647</v>
      </c>
      <c r="U622" s="92">
        <v>168.91999816894531</v>
      </c>
      <c r="V622" s="92">
        <v>157.67881774902341</v>
      </c>
      <c r="W622" s="104">
        <v>5662800</v>
      </c>
      <c r="X622" s="92">
        <v>5160.64013671875</v>
      </c>
    </row>
    <row r="623" spans="20:24" ht="16.5">
      <c r="T623" s="86" t="s">
        <v>1648</v>
      </c>
      <c r="U623" s="92">
        <v>171.19999694824219</v>
      </c>
      <c r="V623" s="92">
        <v>159.80708312988281</v>
      </c>
      <c r="W623" s="104">
        <v>4352100</v>
      </c>
      <c r="X623" s="92">
        <v>5199.06005859375</v>
      </c>
    </row>
    <row r="624" spans="20:24" ht="16.5">
      <c r="T624" s="86" t="s">
        <v>1649</v>
      </c>
      <c r="U624" s="92">
        <v>166.33000183105469</v>
      </c>
      <c r="V624" s="92">
        <v>155.26116943359381</v>
      </c>
      <c r="W624" s="104">
        <v>5473600</v>
      </c>
      <c r="X624" s="92">
        <v>5123.41015625</v>
      </c>
    </row>
    <row r="625" spans="20:24" ht="16.5">
      <c r="T625" s="86" t="s">
        <v>1650</v>
      </c>
      <c r="U625" s="92">
        <v>166.3500061035156</v>
      </c>
      <c r="V625" s="92">
        <v>155.27986145019531</v>
      </c>
      <c r="W625" s="104">
        <v>4739500</v>
      </c>
      <c r="X625" s="92">
        <v>5061.81982421875</v>
      </c>
    </row>
    <row r="626" spans="20:24" ht="16.5">
      <c r="T626" s="86" t="s">
        <v>1651</v>
      </c>
      <c r="U626" s="92">
        <v>167.5899963378906</v>
      </c>
      <c r="V626" s="92">
        <v>156.43733215332031</v>
      </c>
      <c r="W626" s="104">
        <v>3389000</v>
      </c>
      <c r="X626" s="92">
        <v>5051.41015625</v>
      </c>
    </row>
    <row r="627" spans="20:24" ht="16.5">
      <c r="T627" s="86" t="s">
        <v>1652</v>
      </c>
      <c r="U627" s="92">
        <v>165.69999694824219</v>
      </c>
      <c r="V627" s="92">
        <v>154.673095703125</v>
      </c>
      <c r="W627" s="104">
        <v>4564900</v>
      </c>
      <c r="X627" s="92">
        <v>5022.2099609375</v>
      </c>
    </row>
    <row r="628" spans="20:24" ht="16.5">
      <c r="T628" s="86" t="s">
        <v>1653</v>
      </c>
      <c r="U628" s="92">
        <v>163.66999816894531</v>
      </c>
      <c r="V628" s="92">
        <v>152.7782287597656</v>
      </c>
      <c r="W628" s="104">
        <v>5605500</v>
      </c>
      <c r="X628" s="92">
        <v>5011.1201171875</v>
      </c>
    </row>
    <row r="629" spans="20:24" ht="16.5">
      <c r="T629" s="86" t="s">
        <v>1654</v>
      </c>
      <c r="U629" s="92">
        <v>159.67999267578119</v>
      </c>
      <c r="V629" s="92">
        <v>149.05372619628909</v>
      </c>
      <c r="W629" s="104">
        <v>10497600</v>
      </c>
      <c r="X629" s="92">
        <v>4967.22998046875</v>
      </c>
    </row>
    <row r="630" spans="20:24" ht="16.5">
      <c r="T630" s="86" t="s">
        <v>1655</v>
      </c>
      <c r="U630" s="92">
        <v>163.42999267578119</v>
      </c>
      <c r="V630" s="92">
        <v>152.55415344238281</v>
      </c>
      <c r="W630" s="104">
        <v>5942400</v>
      </c>
      <c r="X630" s="92">
        <v>5010.60009765625</v>
      </c>
    </row>
    <row r="631" spans="20:24" ht="16.5">
      <c r="T631" s="86" t="s">
        <v>1656</v>
      </c>
      <c r="U631" s="92">
        <v>165.4700012207031</v>
      </c>
      <c r="V631" s="92">
        <v>154.45843505859381</v>
      </c>
      <c r="W631" s="104">
        <v>6833600</v>
      </c>
      <c r="X631" s="92">
        <v>5070.5498046875</v>
      </c>
    </row>
    <row r="632" spans="20:24" ht="16.5">
      <c r="T632" s="86" t="s">
        <v>1657</v>
      </c>
      <c r="U632" s="92">
        <v>174.80999755859381</v>
      </c>
      <c r="V632" s="92">
        <v>163.17686462402341</v>
      </c>
      <c r="W632" s="104">
        <v>13965900</v>
      </c>
      <c r="X632" s="92">
        <v>5071.6298828125</v>
      </c>
    </row>
    <row r="633" spans="20:24" ht="16.5">
      <c r="T633" s="86" t="s">
        <v>1658</v>
      </c>
      <c r="U633" s="92">
        <v>175.25</v>
      </c>
      <c r="V633" s="92">
        <v>163.58760070800781</v>
      </c>
      <c r="W633" s="104">
        <v>9130800</v>
      </c>
      <c r="X633" s="92">
        <v>5048.419921875</v>
      </c>
    </row>
    <row r="634" spans="20:24" ht="16.5">
      <c r="T634" s="86" t="s">
        <v>1659</v>
      </c>
      <c r="U634" s="92">
        <v>177.47999572753909</v>
      </c>
      <c r="V634" s="92">
        <v>165.66917419433591</v>
      </c>
      <c r="W634" s="104">
        <v>5401900</v>
      </c>
      <c r="X634" s="92">
        <v>5099.9599609375</v>
      </c>
    </row>
    <row r="635" spans="20:24" ht="16.5">
      <c r="T635" s="86" t="s">
        <v>1660</v>
      </c>
      <c r="U635" s="92">
        <v>179.28999328613281</v>
      </c>
      <c r="V635" s="92">
        <v>167.3587341308594</v>
      </c>
      <c r="W635" s="104">
        <v>4191500</v>
      </c>
      <c r="X635" s="92">
        <v>5116.169921875</v>
      </c>
    </row>
    <row r="636" spans="20:24" ht="16.5">
      <c r="T636" s="86" t="s">
        <v>1661</v>
      </c>
      <c r="U636" s="92">
        <v>176.41999816894531</v>
      </c>
      <c r="V636" s="92">
        <v>164.67973327636719</v>
      </c>
      <c r="W636" s="104">
        <v>6444300</v>
      </c>
      <c r="X636" s="92">
        <v>5035.68994140625</v>
      </c>
    </row>
    <row r="637" spans="20:24" ht="16.5">
      <c r="T637" s="86" t="s">
        <v>1662</v>
      </c>
      <c r="U637" s="92">
        <v>175.19999694824219</v>
      </c>
      <c r="V637" s="92">
        <v>163.54090881347659</v>
      </c>
      <c r="W637" s="104">
        <v>7167700</v>
      </c>
      <c r="X637" s="92">
        <v>5018.39013671875</v>
      </c>
    </row>
    <row r="638" spans="20:24" ht="16.5">
      <c r="T638" s="86" t="s">
        <v>1663</v>
      </c>
      <c r="U638" s="92">
        <v>175.80000305175781</v>
      </c>
      <c r="V638" s="92">
        <v>164.1009521484375</v>
      </c>
      <c r="W638" s="104">
        <v>4838300</v>
      </c>
      <c r="X638" s="92">
        <v>5064.2001953125</v>
      </c>
    </row>
    <row r="639" spans="20:24" ht="16.5">
      <c r="T639" s="86" t="s">
        <v>1664</v>
      </c>
      <c r="U639" s="92">
        <v>178.9100036621094</v>
      </c>
      <c r="V639" s="92">
        <v>167.00401306152341</v>
      </c>
      <c r="W639" s="104">
        <v>4545100</v>
      </c>
      <c r="X639" s="92">
        <v>5127.7900390625</v>
      </c>
    </row>
    <row r="640" spans="20:24" ht="16.5">
      <c r="T640" s="86" t="s">
        <v>1665</v>
      </c>
      <c r="U640" s="92">
        <v>181.66999816894531</v>
      </c>
      <c r="V640" s="92">
        <v>169.5803527832031</v>
      </c>
      <c r="W640" s="104">
        <v>4127400</v>
      </c>
      <c r="X640" s="92">
        <v>5180.740234375</v>
      </c>
    </row>
    <row r="641" spans="20:24" ht="16.5">
      <c r="T641" s="86" t="s">
        <v>1666</v>
      </c>
      <c r="U641" s="92">
        <v>182.66999816894531</v>
      </c>
      <c r="V641" s="92">
        <v>171.7427673339844</v>
      </c>
      <c r="W641" s="104">
        <v>5152700</v>
      </c>
      <c r="X641" s="92">
        <v>5187.7001953125</v>
      </c>
    </row>
    <row r="642" spans="20:24" ht="16.5">
      <c r="T642" s="86" t="s">
        <v>1667</v>
      </c>
      <c r="U642" s="92">
        <v>183.94999694824219</v>
      </c>
      <c r="V642" s="92">
        <v>172.9461669921875</v>
      </c>
      <c r="W642" s="104">
        <v>4220900</v>
      </c>
      <c r="X642" s="92">
        <v>5187.669921875</v>
      </c>
    </row>
    <row r="643" spans="20:24" ht="16.5">
      <c r="T643" s="86" t="s">
        <v>1668</v>
      </c>
      <c r="U643" s="92">
        <v>185.32000732421881</v>
      </c>
      <c r="V643" s="92">
        <v>174.2342529296875</v>
      </c>
      <c r="W643" s="104">
        <v>5843300</v>
      </c>
      <c r="X643" s="92">
        <v>5214.080078125</v>
      </c>
    </row>
    <row r="644" spans="20:24" ht="16.5">
      <c r="T644" s="86" t="s">
        <v>1669</v>
      </c>
      <c r="U644" s="92">
        <v>187.05000305175781</v>
      </c>
      <c r="V644" s="92">
        <v>175.86076354980469</v>
      </c>
      <c r="W644" s="104">
        <v>5606800</v>
      </c>
      <c r="X644" s="92">
        <v>5222.68017578125</v>
      </c>
    </row>
    <row r="645" spans="20:24" ht="16.5">
      <c r="T645" s="86" t="s">
        <v>1670</v>
      </c>
      <c r="U645" s="92">
        <v>187.82000732421881</v>
      </c>
      <c r="V645" s="92">
        <v>176.58470153808591</v>
      </c>
      <c r="W645" s="104">
        <v>3686300</v>
      </c>
      <c r="X645" s="92">
        <v>5221.419921875</v>
      </c>
    </row>
    <row r="646" spans="20:24" ht="16.5">
      <c r="T646" s="86" t="s">
        <v>1671</v>
      </c>
      <c r="U646" s="92">
        <v>191.1300048828125</v>
      </c>
      <c r="V646" s="92">
        <v>179.69671630859381</v>
      </c>
      <c r="W646" s="104">
        <v>4917500</v>
      </c>
      <c r="X646" s="92">
        <v>5246.68017578125</v>
      </c>
    </row>
    <row r="647" spans="20:24" ht="16.5">
      <c r="T647" s="86" t="s">
        <v>1672</v>
      </c>
      <c r="U647" s="92">
        <v>195.5299987792969</v>
      </c>
      <c r="V647" s="92">
        <v>183.83349609375</v>
      </c>
      <c r="W647" s="104">
        <v>5936800</v>
      </c>
      <c r="X647" s="92">
        <v>5308.14990234375</v>
      </c>
    </row>
    <row r="648" spans="20:24" ht="16.5">
      <c r="T648" s="86" t="s">
        <v>1673</v>
      </c>
      <c r="U648" s="92">
        <v>194.9700012207031</v>
      </c>
      <c r="V648" s="92">
        <v>183.3070068359375</v>
      </c>
      <c r="W648" s="104">
        <v>5371800</v>
      </c>
      <c r="X648" s="92">
        <v>5297.10009765625</v>
      </c>
    </row>
    <row r="649" spans="20:24" ht="16.5">
      <c r="T649" s="86" t="s">
        <v>1674</v>
      </c>
      <c r="U649" s="92">
        <v>195.02000427246091</v>
      </c>
      <c r="V649" s="92">
        <v>183.35398864746091</v>
      </c>
      <c r="W649" s="104">
        <v>4534200</v>
      </c>
      <c r="X649" s="92">
        <v>5303.27001953125</v>
      </c>
    </row>
    <row r="650" spans="20:24" ht="16.5">
      <c r="T650" s="86" t="s">
        <v>1675</v>
      </c>
      <c r="U650" s="92">
        <v>199.19999694824219</v>
      </c>
      <c r="V650" s="92">
        <v>187.28395080566409</v>
      </c>
      <c r="W650" s="104">
        <v>5282800</v>
      </c>
      <c r="X650" s="92">
        <v>5308.1298828125</v>
      </c>
    </row>
    <row r="651" spans="20:24" ht="16.5">
      <c r="T651" s="86" t="s">
        <v>1676</v>
      </c>
      <c r="U651" s="92">
        <v>199.00999450683599</v>
      </c>
      <c r="V651" s="92">
        <v>187.10531616210929</v>
      </c>
      <c r="W651" s="104">
        <v>5489100</v>
      </c>
      <c r="X651" s="92">
        <v>5321.41015625</v>
      </c>
    </row>
    <row r="652" spans="20:24" ht="16.5">
      <c r="T652" s="86" t="s">
        <v>1677</v>
      </c>
      <c r="U652" s="92">
        <v>202.53999328613281</v>
      </c>
      <c r="V652" s="92">
        <v>190.42411804199219</v>
      </c>
      <c r="W652" s="104">
        <v>9119000</v>
      </c>
      <c r="X652" s="92">
        <v>5307.009765625</v>
      </c>
    </row>
    <row r="653" spans="20:24" ht="16.5">
      <c r="T653" s="86" t="s">
        <v>1678</v>
      </c>
      <c r="U653" s="92">
        <v>197.28999328613281</v>
      </c>
      <c r="V653" s="92">
        <v>185.48820495605469</v>
      </c>
      <c r="W653" s="104">
        <v>7125400</v>
      </c>
      <c r="X653" s="92">
        <v>5267.83984375</v>
      </c>
    </row>
    <row r="654" spans="20:24" ht="16.5">
      <c r="T654" s="86" t="s">
        <v>1679</v>
      </c>
      <c r="U654" s="92">
        <v>199.17999267578119</v>
      </c>
      <c r="V654" s="92">
        <v>187.26513671875</v>
      </c>
      <c r="W654" s="104">
        <v>4354100</v>
      </c>
      <c r="X654" s="92">
        <v>5304.72021484375</v>
      </c>
    </row>
    <row r="655" spans="20:24" ht="16.5">
      <c r="T655" s="86" t="s">
        <v>1680</v>
      </c>
      <c r="U655" s="92">
        <v>199.6000061035156</v>
      </c>
      <c r="V655" s="92">
        <v>187.66001892089841</v>
      </c>
      <c r="W655" s="104">
        <v>8661000</v>
      </c>
      <c r="X655" s="92">
        <v>5306.0400390625</v>
      </c>
    </row>
    <row r="656" spans="20:24" ht="16.5">
      <c r="T656" s="86" t="s">
        <v>1681</v>
      </c>
      <c r="U656" s="92">
        <v>194.91000366210929</v>
      </c>
      <c r="V656" s="92">
        <v>183.25059509277341</v>
      </c>
      <c r="W656" s="104">
        <v>5607800</v>
      </c>
      <c r="X656" s="92">
        <v>5266.9501953125</v>
      </c>
    </row>
    <row r="657" spans="20:24" ht="16.5">
      <c r="T657" s="86" t="s">
        <v>1682</v>
      </c>
      <c r="U657" s="92">
        <v>195.67999267578119</v>
      </c>
      <c r="V657" s="92">
        <v>183.9744873046875</v>
      </c>
      <c r="W657" s="104">
        <v>5213500</v>
      </c>
      <c r="X657" s="92">
        <v>5235.47998046875</v>
      </c>
    </row>
    <row r="658" spans="20:24" ht="16.5">
      <c r="T658" s="86" t="s">
        <v>1683</v>
      </c>
      <c r="U658" s="92">
        <v>195.00999450683599</v>
      </c>
      <c r="V658" s="92">
        <v>183.3446044921875</v>
      </c>
      <c r="W658" s="104">
        <v>9137300</v>
      </c>
      <c r="X658" s="92">
        <v>5277.509765625</v>
      </c>
    </row>
    <row r="659" spans="20:24" ht="16.5">
      <c r="T659" s="86" t="s">
        <v>1684</v>
      </c>
      <c r="U659" s="92">
        <v>193.7200012207031</v>
      </c>
      <c r="V659" s="92">
        <v>182.13175964355469</v>
      </c>
      <c r="W659" s="104">
        <v>4153500</v>
      </c>
      <c r="X659" s="92">
        <v>5283.39990234375</v>
      </c>
    </row>
    <row r="660" spans="20:24" ht="16.5">
      <c r="T660" s="86" t="s">
        <v>1685</v>
      </c>
      <c r="U660" s="92">
        <v>193.30000305175781</v>
      </c>
      <c r="V660" s="92">
        <v>181.73686218261719</v>
      </c>
      <c r="W660" s="104">
        <v>7221600</v>
      </c>
      <c r="X660" s="92">
        <v>5291.33984375</v>
      </c>
    </row>
    <row r="661" spans="20:24" ht="16.5">
      <c r="T661" s="86" t="s">
        <v>1686</v>
      </c>
      <c r="U661" s="92">
        <v>196.08000183105469</v>
      </c>
      <c r="V661" s="92">
        <v>184.35057067871091</v>
      </c>
      <c r="W661" s="104">
        <v>5988600</v>
      </c>
      <c r="X661" s="92">
        <v>5354.02978515625</v>
      </c>
    </row>
    <row r="662" spans="20:24" ht="16.5">
      <c r="T662" s="86" t="s">
        <v>1687</v>
      </c>
      <c r="U662" s="92">
        <v>196.24000549316409</v>
      </c>
      <c r="V662" s="92">
        <v>184.5010070800781</v>
      </c>
      <c r="W662" s="104">
        <v>3905500</v>
      </c>
      <c r="X662" s="92">
        <v>5352.9599609375</v>
      </c>
    </row>
    <row r="663" spans="20:24" ht="16.5">
      <c r="T663" s="86" t="s">
        <v>1688</v>
      </c>
      <c r="U663" s="92">
        <v>195.61000061035159</v>
      </c>
      <c r="V663" s="92">
        <v>183.90870666503901</v>
      </c>
      <c r="W663" s="104">
        <v>3308400</v>
      </c>
      <c r="X663" s="92">
        <v>5346.990234375</v>
      </c>
    </row>
    <row r="664" spans="20:24" ht="16.5">
      <c r="T664" s="86" t="s">
        <v>1689</v>
      </c>
      <c r="U664" s="92">
        <v>197.6199951171875</v>
      </c>
      <c r="V664" s="92">
        <v>185.7984619140625</v>
      </c>
      <c r="W664" s="104">
        <v>4202400</v>
      </c>
      <c r="X664" s="92">
        <v>5360.7900390625</v>
      </c>
    </row>
    <row r="665" spans="20:24" ht="16.5">
      <c r="T665" s="86" t="s">
        <v>1690</v>
      </c>
      <c r="U665" s="92">
        <v>197.44000244140619</v>
      </c>
      <c r="V665" s="92">
        <v>185.62924194335929</v>
      </c>
      <c r="W665" s="104">
        <v>4193200</v>
      </c>
      <c r="X665" s="92">
        <v>5375.31982421875</v>
      </c>
    </row>
    <row r="666" spans="20:24" ht="16.5">
      <c r="T666" s="86" t="s">
        <v>1691</v>
      </c>
      <c r="U666" s="92">
        <v>198.97999572753901</v>
      </c>
      <c r="V666" s="92">
        <v>187.07710266113281</v>
      </c>
      <c r="W666" s="104">
        <v>4655700</v>
      </c>
      <c r="X666" s="92">
        <v>5421.02978515625</v>
      </c>
    </row>
    <row r="667" spans="20:24" ht="16.5">
      <c r="T667" s="86" t="s">
        <v>1692</v>
      </c>
      <c r="U667" s="92">
        <v>196.2799987792969</v>
      </c>
      <c r="V667" s="92">
        <v>184.53861999511719</v>
      </c>
      <c r="W667" s="104">
        <v>3409900</v>
      </c>
      <c r="X667" s="92">
        <v>5433.740234375</v>
      </c>
    </row>
    <row r="668" spans="20:24" ht="16.5">
      <c r="T668" s="86" t="s">
        <v>1693</v>
      </c>
      <c r="U668" s="92">
        <v>193.8999938964844</v>
      </c>
      <c r="V668" s="92">
        <v>182.30097961425781</v>
      </c>
      <c r="W668" s="104">
        <v>3479100</v>
      </c>
      <c r="X668" s="92">
        <v>5431.60009765625</v>
      </c>
    </row>
    <row r="669" spans="20:24" ht="16.5">
      <c r="T669" s="86" t="s">
        <v>1694</v>
      </c>
      <c r="U669" s="92">
        <v>194.8999938964844</v>
      </c>
      <c r="V669" s="92">
        <v>183.24114990234369</v>
      </c>
      <c r="W669" s="104">
        <v>3804900</v>
      </c>
      <c r="X669" s="92">
        <v>5473.22998046875</v>
      </c>
    </row>
    <row r="670" spans="20:24" ht="16.5">
      <c r="T670" s="86" t="s">
        <v>1695</v>
      </c>
      <c r="U670" s="92">
        <v>196.25</v>
      </c>
      <c r="V670" s="92">
        <v>184.51040649414071</v>
      </c>
      <c r="W670" s="104">
        <v>3036900</v>
      </c>
      <c r="X670" s="92">
        <v>5487.02978515625</v>
      </c>
    </row>
    <row r="671" spans="20:24" ht="16.5">
      <c r="T671" s="86" t="s">
        <v>1696</v>
      </c>
      <c r="U671" s="92">
        <v>192.75999450683599</v>
      </c>
      <c r="V671" s="92">
        <v>181.22918701171881</v>
      </c>
      <c r="W671" s="104">
        <v>5464900</v>
      </c>
      <c r="X671" s="92">
        <v>5473.169921875</v>
      </c>
    </row>
    <row r="672" spans="20:24" ht="16.5">
      <c r="T672" s="86" t="s">
        <v>1697</v>
      </c>
      <c r="U672" s="92">
        <v>195.5299987792969</v>
      </c>
      <c r="V672" s="92">
        <v>183.83349609375</v>
      </c>
      <c r="W672" s="104">
        <v>12516800</v>
      </c>
      <c r="X672" s="92">
        <v>5464.6201171875</v>
      </c>
    </row>
    <row r="673" spans="20:24" ht="16.5">
      <c r="T673" s="86" t="s">
        <v>1698</v>
      </c>
      <c r="U673" s="92">
        <v>193.91000366210929</v>
      </c>
      <c r="V673" s="92">
        <v>182.31040954589841</v>
      </c>
      <c r="W673" s="104">
        <v>3655700</v>
      </c>
      <c r="X673" s="92">
        <v>5447.8701171875</v>
      </c>
    </row>
    <row r="674" spans="20:24" ht="16.5">
      <c r="T674" s="86" t="s">
        <v>1699</v>
      </c>
      <c r="U674" s="92">
        <v>194.4700012207031</v>
      </c>
      <c r="V674" s="92">
        <v>182.83689880371091</v>
      </c>
      <c r="W674" s="104">
        <v>3456400</v>
      </c>
      <c r="X674" s="92">
        <v>5469.2998046875</v>
      </c>
    </row>
    <row r="675" spans="20:24" ht="16.5">
      <c r="T675" s="86" t="s">
        <v>1700</v>
      </c>
      <c r="U675" s="92">
        <v>193.1000061035156</v>
      </c>
      <c r="V675" s="92">
        <v>181.54887390136719</v>
      </c>
      <c r="W675" s="104">
        <v>3301000</v>
      </c>
      <c r="X675" s="92">
        <v>5477.89990234375</v>
      </c>
    </row>
    <row r="676" spans="20:24" ht="16.5">
      <c r="T676" s="86" t="s">
        <v>1701</v>
      </c>
      <c r="U676" s="92">
        <v>193.42999267578119</v>
      </c>
      <c r="V676" s="92">
        <v>181.8591003417969</v>
      </c>
      <c r="W676" s="104">
        <v>3874500</v>
      </c>
      <c r="X676" s="92">
        <v>5482.8701171875</v>
      </c>
    </row>
    <row r="677" spans="20:24" ht="16.5">
      <c r="T677" s="86" t="s">
        <v>1702</v>
      </c>
      <c r="U677" s="92">
        <v>194.5299987792969</v>
      </c>
      <c r="V677" s="92">
        <v>182.89332580566409</v>
      </c>
      <c r="W677" s="104">
        <v>8861000</v>
      </c>
      <c r="X677" s="92">
        <v>5460.47998046875</v>
      </c>
    </row>
    <row r="678" spans="20:24" ht="16.5">
      <c r="T678" s="86" t="s">
        <v>1703</v>
      </c>
      <c r="U678" s="92">
        <v>194.6000061035156</v>
      </c>
      <c r="V678" s="92">
        <v>182.95913696289071</v>
      </c>
      <c r="W678" s="104">
        <v>2873600</v>
      </c>
      <c r="X678" s="92">
        <v>5475.08984375</v>
      </c>
    </row>
    <row r="679" spans="20:24" ht="16.5">
      <c r="T679" s="86" t="s">
        <v>1704</v>
      </c>
      <c r="U679" s="92">
        <v>198.41999816894531</v>
      </c>
      <c r="V679" s="92">
        <v>186.55059814453119</v>
      </c>
      <c r="W679" s="104">
        <v>4168700</v>
      </c>
      <c r="X679" s="92">
        <v>5509.009765625</v>
      </c>
    </row>
    <row r="680" spans="20:24" ht="16.5">
      <c r="T680" s="86" t="s">
        <v>1705</v>
      </c>
      <c r="U680" s="92">
        <v>198.94000244140619</v>
      </c>
      <c r="V680" s="92">
        <v>187.03948974609369</v>
      </c>
      <c r="W680" s="104">
        <v>2454800</v>
      </c>
      <c r="X680" s="92">
        <v>5537.02001953125</v>
      </c>
    </row>
    <row r="681" spans="20:24" ht="16.5">
      <c r="T681" s="86" t="s">
        <v>1706</v>
      </c>
      <c r="U681" s="92">
        <v>198.78999328613281</v>
      </c>
      <c r="V681" s="92">
        <v>186.8984680175781</v>
      </c>
      <c r="W681" s="104">
        <v>2887900</v>
      </c>
      <c r="X681" s="92">
        <v>5567.18994140625</v>
      </c>
    </row>
    <row r="682" spans="20:24" ht="16.5">
      <c r="T682" s="86" t="s">
        <v>1707</v>
      </c>
      <c r="U682" s="92">
        <v>201.4700012207031</v>
      </c>
      <c r="V682" s="92">
        <v>189.41813659667969</v>
      </c>
      <c r="W682" s="104">
        <v>3927100</v>
      </c>
      <c r="X682" s="92">
        <v>5572.85009765625</v>
      </c>
    </row>
    <row r="683" spans="20:24" ht="16.5">
      <c r="T683" s="86" t="s">
        <v>1708</v>
      </c>
      <c r="U683" s="92">
        <v>200.16000366210929</v>
      </c>
      <c r="V683" s="92">
        <v>188.1865234375</v>
      </c>
      <c r="W683" s="104">
        <v>3742300</v>
      </c>
      <c r="X683" s="92">
        <v>5576.97998046875</v>
      </c>
    </row>
    <row r="684" spans="20:24" ht="16.5">
      <c r="T684" s="86" t="s">
        <v>1709</v>
      </c>
      <c r="U684" s="92">
        <v>203.6199951171875</v>
      </c>
      <c r="V684" s="92">
        <v>191.43952941894531</v>
      </c>
      <c r="W684" s="104">
        <v>4559500</v>
      </c>
      <c r="X684" s="92">
        <v>5633.91015625</v>
      </c>
    </row>
    <row r="685" spans="20:24" ht="16.5">
      <c r="T685" s="86" t="s">
        <v>1710</v>
      </c>
      <c r="U685" s="92">
        <v>199.99000549316409</v>
      </c>
      <c r="V685" s="92">
        <v>188.02670288085929</v>
      </c>
      <c r="W685" s="104">
        <v>5585400</v>
      </c>
      <c r="X685" s="92">
        <v>5584.5400390625</v>
      </c>
    </row>
    <row r="686" spans="20:24" ht="16.5">
      <c r="T686" s="86" t="s">
        <v>1711</v>
      </c>
      <c r="U686" s="92">
        <v>201.8699951171875</v>
      </c>
      <c r="V686" s="92">
        <v>189.79423522949219</v>
      </c>
      <c r="W686" s="104">
        <v>3683800</v>
      </c>
      <c r="X686" s="92">
        <v>5615.35009765625</v>
      </c>
    </row>
    <row r="687" spans="20:24" ht="16.5">
      <c r="T687" s="86" t="s">
        <v>1712</v>
      </c>
      <c r="U687" s="92">
        <v>201.75999450683599</v>
      </c>
      <c r="V687" s="92">
        <v>189.69078063964841</v>
      </c>
      <c r="W687" s="104">
        <v>3089500</v>
      </c>
      <c r="X687" s="92">
        <v>5631.22021484375</v>
      </c>
    </row>
    <row r="688" spans="20:24" ht="16.5">
      <c r="T688" s="86" t="s">
        <v>1713</v>
      </c>
      <c r="U688" s="92">
        <v>206.6199951171875</v>
      </c>
      <c r="V688" s="92">
        <v>194.26010131835929</v>
      </c>
      <c r="W688" s="104">
        <v>3134400</v>
      </c>
      <c r="X688" s="92">
        <v>5667.2001953125</v>
      </c>
    </row>
    <row r="689" spans="20:24" ht="16.5">
      <c r="T689" s="86" t="s">
        <v>1714</v>
      </c>
      <c r="U689" s="92">
        <v>204.25999450683599</v>
      </c>
      <c r="V689" s="92">
        <v>192.041259765625</v>
      </c>
      <c r="W689" s="104">
        <v>7792500</v>
      </c>
      <c r="X689" s="92">
        <v>5588.27001953125</v>
      </c>
    </row>
    <row r="690" spans="20:24" ht="16.5">
      <c r="T690" s="86" t="s">
        <v>1715</v>
      </c>
      <c r="U690" s="92">
        <v>205.8699951171875</v>
      </c>
      <c r="V690" s="92">
        <v>193.554931640625</v>
      </c>
      <c r="W690" s="104">
        <v>5497200</v>
      </c>
      <c r="X690" s="92">
        <v>5544.58984375</v>
      </c>
    </row>
    <row r="691" spans="20:24" ht="16.5">
      <c r="T691" s="86" t="s">
        <v>1716</v>
      </c>
      <c r="U691" s="92">
        <v>199.1000061035156</v>
      </c>
      <c r="V691" s="92">
        <v>187.18992614746091</v>
      </c>
      <c r="W691" s="104">
        <v>4868000</v>
      </c>
      <c r="X691" s="92">
        <v>5505</v>
      </c>
    </row>
    <row r="692" spans="20:24" ht="16.5">
      <c r="T692" s="86" t="s">
        <v>1717</v>
      </c>
      <c r="U692" s="92">
        <v>205.8800048828125</v>
      </c>
      <c r="V692" s="92">
        <v>193.5643615722656</v>
      </c>
      <c r="W692" s="104">
        <v>6063800</v>
      </c>
      <c r="X692" s="92">
        <v>5564.41015625</v>
      </c>
    </row>
    <row r="693" spans="20:24" ht="16.5">
      <c r="T693" s="86" t="s">
        <v>1718</v>
      </c>
      <c r="U693" s="92">
        <v>198.28999328613281</v>
      </c>
      <c r="V693" s="92">
        <v>186.42839050292969</v>
      </c>
      <c r="W693" s="104">
        <v>6083300</v>
      </c>
      <c r="X693" s="92">
        <v>5555.740234375</v>
      </c>
    </row>
    <row r="694" spans="20:24" ht="16.5">
      <c r="T694" s="86" t="s">
        <v>1719</v>
      </c>
      <c r="U694" s="92">
        <v>198.2799987792969</v>
      </c>
      <c r="V694" s="92">
        <v>186.41899108886719</v>
      </c>
      <c r="W694" s="104">
        <v>11049100</v>
      </c>
      <c r="X694" s="92">
        <v>5427.1298828125</v>
      </c>
    </row>
    <row r="695" spans="20:24" ht="16.5">
      <c r="T695" s="86" t="s">
        <v>1720</v>
      </c>
      <c r="U695" s="92">
        <v>197.1499938964844</v>
      </c>
      <c r="V695" s="92">
        <v>185.35658264160159</v>
      </c>
      <c r="W695" s="104">
        <v>9555400</v>
      </c>
      <c r="X695" s="92">
        <v>5399.22021484375</v>
      </c>
    </row>
    <row r="696" spans="20:24" ht="16.5">
      <c r="T696" s="86" t="s">
        <v>1721</v>
      </c>
      <c r="U696" s="92">
        <v>201.99000549316409</v>
      </c>
      <c r="V696" s="92">
        <v>189.90705871582031</v>
      </c>
      <c r="W696" s="104">
        <v>5384800</v>
      </c>
      <c r="X696" s="92">
        <v>5459.10009765625</v>
      </c>
    </row>
    <row r="697" spans="20:24" ht="16.5">
      <c r="T697" s="86" t="s">
        <v>1722</v>
      </c>
      <c r="U697" s="92">
        <v>201.8800048828125</v>
      </c>
      <c r="V697" s="92">
        <v>189.80363464355469</v>
      </c>
      <c r="W697" s="104">
        <v>3392000</v>
      </c>
      <c r="X697" s="92">
        <v>5463.5400390625</v>
      </c>
    </row>
    <row r="698" spans="20:24" ht="16.5">
      <c r="T698" s="86" t="s">
        <v>1723</v>
      </c>
      <c r="U698" s="92">
        <v>200.99000549316409</v>
      </c>
      <c r="V698" s="92">
        <v>188.9668884277344</v>
      </c>
      <c r="W698" s="104">
        <v>6062600</v>
      </c>
      <c r="X698" s="92">
        <v>5436.43994140625</v>
      </c>
    </row>
    <row r="699" spans="20:24" ht="16.5">
      <c r="T699" s="86" t="s">
        <v>1724</v>
      </c>
      <c r="U699" s="92">
        <v>203.80999755859369</v>
      </c>
      <c r="V699" s="92">
        <v>192.86561584472659</v>
      </c>
      <c r="W699" s="104">
        <v>7462400</v>
      </c>
      <c r="X699" s="92">
        <v>5522.2998046875</v>
      </c>
    </row>
    <row r="700" spans="20:24" ht="16.5">
      <c r="T700" s="86" t="s">
        <v>1725</v>
      </c>
      <c r="U700" s="92">
        <v>193.33000183105469</v>
      </c>
      <c r="V700" s="92">
        <v>182.94841003417969</v>
      </c>
      <c r="W700" s="104">
        <v>7958500</v>
      </c>
      <c r="X700" s="92">
        <v>5446.68017578125</v>
      </c>
    </row>
    <row r="701" spans="20:24" ht="16.5">
      <c r="T701" s="86" t="s">
        <v>1726</v>
      </c>
      <c r="U701" s="92">
        <v>187.46000671386719</v>
      </c>
      <c r="V701" s="92">
        <v>177.3936462402344</v>
      </c>
      <c r="W701" s="104">
        <v>8050200</v>
      </c>
      <c r="X701" s="92">
        <v>5346.56005859375</v>
      </c>
    </row>
    <row r="702" spans="20:24" ht="16.5">
      <c r="T702" s="86" t="s">
        <v>1727</v>
      </c>
      <c r="U702" s="92">
        <v>181.19000244140619</v>
      </c>
      <c r="V702" s="92">
        <v>171.4602966308594</v>
      </c>
      <c r="W702" s="104">
        <v>8659900</v>
      </c>
      <c r="X702" s="92">
        <v>5186.330078125</v>
      </c>
    </row>
    <row r="703" spans="20:24" ht="16.5">
      <c r="T703" s="86" t="s">
        <v>1728</v>
      </c>
      <c r="U703" s="92">
        <v>186.94999694824219</v>
      </c>
      <c r="V703" s="92">
        <v>176.9109802246094</v>
      </c>
      <c r="W703" s="104">
        <v>6210900</v>
      </c>
      <c r="X703" s="92">
        <v>5240.02978515625</v>
      </c>
    </row>
    <row r="704" spans="20:24" ht="16.5">
      <c r="T704" s="86" t="s">
        <v>1729</v>
      </c>
      <c r="U704" s="92">
        <v>184.07000732421881</v>
      </c>
      <c r="V704" s="92">
        <v>174.18565368652341</v>
      </c>
      <c r="W704" s="104">
        <v>5013000</v>
      </c>
      <c r="X704" s="92">
        <v>5199.5</v>
      </c>
    </row>
    <row r="705" spans="20:24" ht="16.5">
      <c r="T705" s="86" t="s">
        <v>1730</v>
      </c>
      <c r="U705" s="92">
        <v>193.30000305175781</v>
      </c>
      <c r="V705" s="92">
        <v>182.91999816894531</v>
      </c>
      <c r="W705" s="104">
        <v>6180400</v>
      </c>
      <c r="X705" s="92">
        <v>5319.31005859375</v>
      </c>
    </row>
    <row r="706" spans="20:24" ht="16.5">
      <c r="T706" s="86" t="s">
        <v>1731</v>
      </c>
      <c r="U706" s="92">
        <v>192.21000671386719</v>
      </c>
      <c r="V706" s="92">
        <v>181.8885498046875</v>
      </c>
      <c r="W706" s="104">
        <v>3066500</v>
      </c>
      <c r="X706" s="92">
        <v>5344.16015625</v>
      </c>
    </row>
    <row r="707" spans="20:24" ht="16.5">
      <c r="T707" s="86" t="s">
        <v>1732</v>
      </c>
      <c r="U707" s="92">
        <v>192.05999755859369</v>
      </c>
      <c r="V707" s="92">
        <v>181.74658203125</v>
      </c>
      <c r="W707" s="104">
        <v>5235900</v>
      </c>
      <c r="X707" s="92">
        <v>5344.39013671875</v>
      </c>
    </row>
    <row r="708" spans="20:24" ht="16.5">
      <c r="T708" s="86" t="s">
        <v>1733</v>
      </c>
      <c r="U708" s="92">
        <v>197.25</v>
      </c>
      <c r="V708" s="92">
        <v>186.65791320800781</v>
      </c>
      <c r="W708" s="104">
        <v>4969000</v>
      </c>
      <c r="X708" s="92">
        <v>5434.43017578125</v>
      </c>
    </row>
    <row r="709" spans="20:24" ht="16.5">
      <c r="T709" s="86" t="s">
        <v>1734</v>
      </c>
      <c r="U709" s="92">
        <v>195.61000061035159</v>
      </c>
      <c r="V709" s="92">
        <v>185.10594177246091</v>
      </c>
      <c r="W709" s="104">
        <v>3072000</v>
      </c>
      <c r="X709" s="92">
        <v>5455.2099609375</v>
      </c>
    </row>
    <row r="710" spans="20:24" ht="16.5">
      <c r="T710" s="86" t="s">
        <v>1735</v>
      </c>
      <c r="U710" s="92">
        <v>201.92999267578119</v>
      </c>
      <c r="V710" s="92">
        <v>191.08657836914071</v>
      </c>
      <c r="W710" s="104">
        <v>5081900</v>
      </c>
      <c r="X710" s="92">
        <v>5543.22021484375</v>
      </c>
    </row>
    <row r="711" spans="20:24" ht="16.5">
      <c r="T711" s="86" t="s">
        <v>1736</v>
      </c>
      <c r="U711" s="92">
        <v>200.5299987792969</v>
      </c>
      <c r="V711" s="92">
        <v>189.76176452636719</v>
      </c>
      <c r="W711" s="104">
        <v>4236400</v>
      </c>
      <c r="X711" s="92">
        <v>5554.25</v>
      </c>
    </row>
    <row r="712" spans="20:24" ht="16.5">
      <c r="T712" s="86" t="s">
        <v>1737</v>
      </c>
      <c r="U712" s="92">
        <v>200.66000366210929</v>
      </c>
      <c r="V712" s="92">
        <v>189.8847961425781</v>
      </c>
      <c r="W712" s="104">
        <v>3788900</v>
      </c>
      <c r="X712" s="92">
        <v>5608.25</v>
      </c>
    </row>
    <row r="713" spans="20:24" ht="16.5">
      <c r="T713" s="86" t="s">
        <v>1738</v>
      </c>
      <c r="U713" s="92">
        <v>202.53999328613281</v>
      </c>
      <c r="V713" s="92">
        <v>191.663818359375</v>
      </c>
      <c r="W713" s="104">
        <v>7111400</v>
      </c>
      <c r="X713" s="92">
        <v>5597.1201171875</v>
      </c>
    </row>
    <row r="714" spans="20:24" ht="16.5">
      <c r="T714" s="86" t="s">
        <v>1739</v>
      </c>
      <c r="U714" s="92">
        <v>208.3699951171875</v>
      </c>
      <c r="V714" s="92">
        <v>197.1807861328125</v>
      </c>
      <c r="W714" s="104">
        <v>8119300</v>
      </c>
      <c r="X714" s="92">
        <v>5620.85009765625</v>
      </c>
    </row>
    <row r="715" spans="20:24" ht="16.5">
      <c r="T715" s="86" t="s">
        <v>1740</v>
      </c>
      <c r="U715" s="92">
        <v>203.77000427246091</v>
      </c>
      <c r="V715" s="92">
        <v>192.82780456542969</v>
      </c>
      <c r="W715" s="104">
        <v>6879900</v>
      </c>
      <c r="X715" s="92">
        <v>5570.64013671875</v>
      </c>
    </row>
    <row r="716" spans="20:24" ht="16.5">
      <c r="T716" s="86" t="s">
        <v>1741</v>
      </c>
      <c r="U716" s="92">
        <v>209.8800048828125</v>
      </c>
      <c r="V716" s="92">
        <v>198.60968017578119</v>
      </c>
      <c r="W716" s="104">
        <v>6112000</v>
      </c>
      <c r="X716" s="92">
        <v>5634.60986328125</v>
      </c>
    </row>
    <row r="717" spans="20:24" ht="16.5">
      <c r="T717" s="86" t="s">
        <v>1742</v>
      </c>
      <c r="U717" s="92">
        <v>208.25</v>
      </c>
      <c r="V717" s="92">
        <v>197.06721496582031</v>
      </c>
      <c r="W717" s="104">
        <v>5806000</v>
      </c>
      <c r="X717" s="92">
        <v>5616.83984375</v>
      </c>
    </row>
    <row r="718" spans="20:24" ht="16.5">
      <c r="T718" s="86" t="s">
        <v>1743</v>
      </c>
      <c r="U718" s="92">
        <v>210.69000244140619</v>
      </c>
      <c r="V718" s="92">
        <v>199.3761901855469</v>
      </c>
      <c r="W718" s="104">
        <v>4373400</v>
      </c>
      <c r="X718" s="92">
        <v>5625.7998046875</v>
      </c>
    </row>
    <row r="719" spans="20:24" ht="16.5">
      <c r="T719" s="86" t="s">
        <v>1744</v>
      </c>
      <c r="U719" s="92">
        <v>207.74000549316409</v>
      </c>
      <c r="V719" s="92">
        <v>196.58460998535159</v>
      </c>
      <c r="W719" s="104">
        <v>3998100</v>
      </c>
      <c r="X719" s="92">
        <v>5592.18017578125</v>
      </c>
    </row>
    <row r="720" spans="20:24" ht="16.5">
      <c r="T720" s="86" t="s">
        <v>1745</v>
      </c>
      <c r="U720" s="92">
        <v>211.08999633789071</v>
      </c>
      <c r="V720" s="92">
        <v>199.75468444824219</v>
      </c>
      <c r="W720" s="104">
        <v>5622800</v>
      </c>
      <c r="X720" s="92">
        <v>5591.9599609375</v>
      </c>
    </row>
    <row r="721" spans="20:24" ht="16.5">
      <c r="T721" s="86" t="s">
        <v>1746</v>
      </c>
      <c r="U721" s="92">
        <v>214.33999633789071</v>
      </c>
      <c r="V721" s="92">
        <v>202.83018493652341</v>
      </c>
      <c r="W721" s="104">
        <v>5860900</v>
      </c>
      <c r="X721" s="92">
        <v>5648.39990234375</v>
      </c>
    </row>
    <row r="722" spans="20:24" ht="16.5">
      <c r="T722" s="86" t="s">
        <v>1747</v>
      </c>
      <c r="U722" s="92">
        <v>201.83000183105469</v>
      </c>
      <c r="V722" s="92">
        <v>190.99195861816409</v>
      </c>
      <c r="W722" s="104">
        <v>9284000</v>
      </c>
      <c r="X722" s="92">
        <v>5528.93017578125</v>
      </c>
    </row>
    <row r="723" spans="20:24" ht="16.5">
      <c r="T723" s="86" t="s">
        <v>1748</v>
      </c>
      <c r="U723" s="92">
        <v>204</v>
      </c>
      <c r="V723" s="92">
        <v>193.0454406738281</v>
      </c>
      <c r="W723" s="104">
        <v>4650400</v>
      </c>
      <c r="X723" s="92">
        <v>5520.06982421875</v>
      </c>
    </row>
    <row r="724" spans="20:24" ht="16.5">
      <c r="T724" s="86" t="s">
        <v>1749</v>
      </c>
      <c r="U724" s="92">
        <v>201.55000305175781</v>
      </c>
      <c r="V724" s="92">
        <v>190.7269592285156</v>
      </c>
      <c r="W724" s="104">
        <v>4107400</v>
      </c>
      <c r="X724" s="92">
        <v>5503.41015625</v>
      </c>
    </row>
    <row r="725" spans="20:24" ht="16.5">
      <c r="T725" s="86" t="s">
        <v>1750</v>
      </c>
      <c r="U725" s="92">
        <v>197.44999694824219</v>
      </c>
      <c r="V725" s="92">
        <v>186.84715270996091</v>
      </c>
      <c r="W725" s="104">
        <v>6314400</v>
      </c>
      <c r="X725" s="92">
        <v>5408.419921875</v>
      </c>
    </row>
    <row r="726" spans="20:24" ht="16.5">
      <c r="T726" s="86" t="s">
        <v>1751</v>
      </c>
      <c r="U726" s="92">
        <v>201.16999816894531</v>
      </c>
      <c r="V726" s="92">
        <v>190.36741638183599</v>
      </c>
      <c r="W726" s="104">
        <v>4864100</v>
      </c>
      <c r="X726" s="92">
        <v>5471.0498046875</v>
      </c>
    </row>
    <row r="727" spans="20:24" ht="16.5">
      <c r="T727" s="86" t="s">
        <v>1752</v>
      </c>
      <c r="U727" s="92">
        <v>199.80000305175781</v>
      </c>
      <c r="V727" s="92">
        <v>189.07093811035159</v>
      </c>
      <c r="W727" s="104">
        <v>4859400</v>
      </c>
      <c r="X727" s="92">
        <v>5495.52001953125</v>
      </c>
    </row>
    <row r="728" spans="20:24" ht="16.5">
      <c r="T728" s="86" t="s">
        <v>1753</v>
      </c>
      <c r="U728" s="92">
        <v>202.41000366210929</v>
      </c>
      <c r="V728" s="92">
        <v>191.5408020019531</v>
      </c>
      <c r="W728" s="104">
        <v>5900500</v>
      </c>
      <c r="X728" s="92">
        <v>5554.1298828125</v>
      </c>
    </row>
    <row r="729" spans="20:24" ht="16.5">
      <c r="T729" s="86" t="s">
        <v>1754</v>
      </c>
      <c r="U729" s="92">
        <v>195.97999572753901</v>
      </c>
      <c r="V729" s="92">
        <v>185.45610046386719</v>
      </c>
      <c r="W729" s="104">
        <v>7201000</v>
      </c>
      <c r="X729" s="92">
        <v>5595.759765625</v>
      </c>
    </row>
    <row r="730" spans="20:24" ht="16.5">
      <c r="T730" s="86" t="s">
        <v>1755</v>
      </c>
      <c r="U730" s="92">
        <v>199.92999267578119</v>
      </c>
      <c r="V730" s="92">
        <v>189.19398498535159</v>
      </c>
      <c r="W730" s="104">
        <v>4617000</v>
      </c>
      <c r="X730" s="92">
        <v>5626.02001953125</v>
      </c>
    </row>
    <row r="731" spans="20:24" ht="16.5">
      <c r="T731" s="86" t="s">
        <v>1756</v>
      </c>
      <c r="U731" s="92">
        <v>198.4700012207031</v>
      </c>
      <c r="V731" s="92">
        <v>187.81239318847659</v>
      </c>
      <c r="W731" s="104">
        <v>3717800</v>
      </c>
      <c r="X731" s="92">
        <v>5633.08984375</v>
      </c>
    </row>
    <row r="732" spans="20:24" ht="16.5">
      <c r="T732" s="86" t="s">
        <v>1757</v>
      </c>
      <c r="U732" s="92">
        <v>201.38999938964841</v>
      </c>
      <c r="V732" s="92">
        <v>190.57560729980469</v>
      </c>
      <c r="W732" s="104">
        <v>3478500</v>
      </c>
      <c r="X732" s="92">
        <v>5634.580078125</v>
      </c>
    </row>
    <row r="733" spans="20:24" ht="16.5">
      <c r="T733" s="86" t="s">
        <v>1758</v>
      </c>
      <c r="U733" s="92">
        <v>200.71000671386719</v>
      </c>
      <c r="V733" s="92">
        <v>189.93211364746091</v>
      </c>
      <c r="W733" s="104">
        <v>4262100</v>
      </c>
      <c r="X733" s="92">
        <v>5618.259765625</v>
      </c>
    </row>
    <row r="734" spans="20:24" ht="16.5">
      <c r="T734" s="86" t="s">
        <v>1759</v>
      </c>
      <c r="U734" s="92">
        <v>207.6000061035156</v>
      </c>
      <c r="V734" s="92">
        <v>196.4521179199219</v>
      </c>
      <c r="W734" s="104">
        <v>5155600</v>
      </c>
      <c r="X734" s="92">
        <v>5713.64013671875</v>
      </c>
    </row>
    <row r="735" spans="20:24" ht="16.5">
      <c r="T735" s="86" t="s">
        <v>1760</v>
      </c>
      <c r="U735" s="92">
        <v>203.30000305175781</v>
      </c>
      <c r="V735" s="92">
        <v>192.38304138183599</v>
      </c>
      <c r="W735" s="104">
        <v>14502900</v>
      </c>
      <c r="X735" s="92">
        <v>5702.5498046875</v>
      </c>
    </row>
    <row r="736" spans="20:24" ht="16.5">
      <c r="T736" s="86" t="s">
        <v>1761</v>
      </c>
      <c r="U736" s="92">
        <v>203.8500061035156</v>
      </c>
      <c r="V736" s="92">
        <v>192.90350341796881</v>
      </c>
      <c r="W736" s="104">
        <v>2757400</v>
      </c>
      <c r="X736" s="92">
        <v>5718.56982421875</v>
      </c>
    </row>
    <row r="737" spans="20:24" ht="16.5">
      <c r="T737" s="86" t="s">
        <v>1762</v>
      </c>
      <c r="U737" s="92">
        <v>204.94000244140619</v>
      </c>
      <c r="V737" s="92">
        <v>193.9349670410156</v>
      </c>
      <c r="W737" s="104">
        <v>5573200</v>
      </c>
      <c r="X737" s="92">
        <v>5732.93017578125</v>
      </c>
    </row>
    <row r="738" spans="20:24" ht="16.5">
      <c r="T738" s="86" t="s">
        <v>1763</v>
      </c>
      <c r="U738" s="92">
        <v>205.05999755859369</v>
      </c>
      <c r="V738" s="92">
        <v>194.04850769042969</v>
      </c>
      <c r="W738" s="104">
        <v>4124600</v>
      </c>
      <c r="X738" s="92">
        <v>5722.259765625</v>
      </c>
    </row>
    <row r="739" spans="20:24" ht="16.5">
      <c r="T739" s="86" t="s">
        <v>1764</v>
      </c>
      <c r="U739" s="92">
        <v>209.25999450683599</v>
      </c>
      <c r="V739" s="92">
        <v>198.0229797363281</v>
      </c>
      <c r="W739" s="104">
        <v>4521300</v>
      </c>
      <c r="X739" s="92">
        <v>5745.3701171875</v>
      </c>
    </row>
    <row r="740" spans="20:24" ht="16.5">
      <c r="T740" s="86" t="s">
        <v>1765</v>
      </c>
      <c r="U740" s="92">
        <v>209.13999938964841</v>
      </c>
      <c r="V740" s="92">
        <v>197.90943908691409</v>
      </c>
      <c r="W740" s="104">
        <v>3074400</v>
      </c>
      <c r="X740" s="92">
        <v>5738.169921875</v>
      </c>
    </row>
    <row r="741" spans="20:24" ht="16.5">
      <c r="T741" s="86" t="s">
        <v>1766</v>
      </c>
      <c r="U741" s="92">
        <v>206.57000732421881</v>
      </c>
      <c r="V741" s="92">
        <v>195.4774169921875</v>
      </c>
      <c r="W741" s="104">
        <v>5459100</v>
      </c>
      <c r="X741" s="92">
        <v>5762.47998046875</v>
      </c>
    </row>
    <row r="742" spans="20:24" ht="16.5">
      <c r="T742" s="86" t="s">
        <v>1767</v>
      </c>
      <c r="U742" s="92">
        <v>201.6000061035156</v>
      </c>
      <c r="V742" s="92">
        <v>190.7743225097656</v>
      </c>
      <c r="W742" s="104">
        <v>9039900</v>
      </c>
      <c r="X742" s="92">
        <v>5708.75</v>
      </c>
    </row>
    <row r="743" spans="20:24" ht="16.5">
      <c r="T743" s="86" t="s">
        <v>1768</v>
      </c>
      <c r="U743" s="92">
        <v>203.42999267578119</v>
      </c>
      <c r="V743" s="92">
        <v>192.50605773925781</v>
      </c>
      <c r="W743" s="104">
        <v>4389400</v>
      </c>
      <c r="X743" s="92">
        <v>5709.5400390625</v>
      </c>
    </row>
    <row r="744" spans="20:24" ht="16.5">
      <c r="T744" s="86" t="s">
        <v>1769</v>
      </c>
      <c r="U744" s="92">
        <v>201.66999816894531</v>
      </c>
      <c r="V744" s="92">
        <v>190.8405456542969</v>
      </c>
      <c r="W744" s="104">
        <v>3167000</v>
      </c>
      <c r="X744" s="92">
        <v>5699.93994140625</v>
      </c>
    </row>
    <row r="745" spans="20:24" ht="16.5">
      <c r="T745" s="86" t="s">
        <v>1770</v>
      </c>
      <c r="U745" s="92">
        <v>202.71000671386719</v>
      </c>
      <c r="V745" s="92">
        <v>191.82469177246091</v>
      </c>
      <c r="W745" s="104">
        <v>4092900</v>
      </c>
      <c r="X745" s="92">
        <v>5751.06982421875</v>
      </c>
    </row>
    <row r="746" spans="20:24" ht="16.5">
      <c r="T746" s="86" t="s">
        <v>1771</v>
      </c>
      <c r="U746" s="92">
        <v>201.27000427246091</v>
      </c>
      <c r="V746" s="92">
        <v>190.46205139160159</v>
      </c>
      <c r="W746" s="104">
        <v>2772400</v>
      </c>
      <c r="X746" s="92">
        <v>5695.93994140625</v>
      </c>
    </row>
    <row r="747" spans="20:24" ht="16.5">
      <c r="T747" s="86" t="s">
        <v>1772</v>
      </c>
      <c r="U747" s="92">
        <v>202.21000671386719</v>
      </c>
      <c r="V747" s="92">
        <v>191.35157775878901</v>
      </c>
      <c r="W747" s="104">
        <v>6283700</v>
      </c>
      <c r="X747" s="92">
        <v>5751.1298828125</v>
      </c>
    </row>
    <row r="748" spans="20:24" ht="16.5">
      <c r="T748" s="86" t="s">
        <v>1773</v>
      </c>
      <c r="U748" s="92">
        <v>204.9700012207031</v>
      </c>
      <c r="V748" s="92">
        <v>193.96333312988281</v>
      </c>
      <c r="W748" s="104">
        <v>3214900</v>
      </c>
      <c r="X748" s="92">
        <v>5792.0400390625</v>
      </c>
    </row>
    <row r="749" spans="20:24" ht="16.5">
      <c r="T749" s="86" t="s">
        <v>1774</v>
      </c>
      <c r="U749" s="92">
        <v>202.4700012207031</v>
      </c>
      <c r="V749" s="92">
        <v>191.59761047363281</v>
      </c>
      <c r="W749" s="104">
        <v>3649400</v>
      </c>
      <c r="X749" s="92">
        <v>5780.0498046875</v>
      </c>
    </row>
    <row r="750" spans="20:24" ht="16.5">
      <c r="T750" s="86" t="s">
        <v>1775</v>
      </c>
      <c r="U750" s="92">
        <v>205.11000061035159</v>
      </c>
      <c r="V750" s="92">
        <v>194.0958251953125</v>
      </c>
      <c r="W750" s="104">
        <v>2815800</v>
      </c>
      <c r="X750" s="92">
        <v>5815.02978515625</v>
      </c>
    </row>
    <row r="751" spans="20:24" ht="16.5">
      <c r="T751" s="86" t="s">
        <v>1776</v>
      </c>
      <c r="U751" s="92">
        <v>208.66000366210929</v>
      </c>
      <c r="V751" s="92">
        <v>197.45521545410159</v>
      </c>
      <c r="W751" s="104">
        <v>3291600</v>
      </c>
      <c r="X751" s="92">
        <v>5859.85009765625</v>
      </c>
    </row>
    <row r="752" spans="20:24" ht="16.5">
      <c r="T752" s="86" t="s">
        <v>1777</v>
      </c>
      <c r="U752" s="92">
        <v>199.83999633789071</v>
      </c>
      <c r="V752" s="92">
        <v>189.10881042480469</v>
      </c>
      <c r="W752" s="104">
        <v>6818800</v>
      </c>
      <c r="X752" s="92">
        <v>5815.259765625</v>
      </c>
    </row>
    <row r="753" spans="20:24" ht="16.5">
      <c r="T753" s="86" t="s">
        <v>1778</v>
      </c>
      <c r="U753" s="92">
        <v>200.69000244140619</v>
      </c>
      <c r="V753" s="92">
        <v>189.9131774902344</v>
      </c>
      <c r="W753" s="104">
        <v>3311300</v>
      </c>
      <c r="X753" s="92">
        <v>5842.47021484375</v>
      </c>
    </row>
    <row r="754" spans="20:24" ht="16.5">
      <c r="T754" s="86" t="s">
        <v>1779</v>
      </c>
      <c r="U754" s="92">
        <v>198.30000305175781</v>
      </c>
      <c r="V754" s="92">
        <v>187.65153503417969</v>
      </c>
      <c r="W754" s="104">
        <v>4686900</v>
      </c>
      <c r="X754" s="92">
        <v>5841.47021484375</v>
      </c>
    </row>
    <row r="755" spans="20:24" ht="16.5">
      <c r="T755" s="86" t="s">
        <v>1780</v>
      </c>
      <c r="U755" s="92">
        <v>198.4700012207031</v>
      </c>
      <c r="V755" s="92">
        <v>187.81239318847659</v>
      </c>
      <c r="W755" s="104">
        <v>4029500</v>
      </c>
      <c r="X755" s="92">
        <v>5864.669921875</v>
      </c>
    </row>
    <row r="756" spans="20:24" ht="16.5">
      <c r="T756" s="86" t="s">
        <v>1781</v>
      </c>
      <c r="U756" s="92">
        <v>195.77000427246091</v>
      </c>
      <c r="V756" s="92">
        <v>185.25738525390619</v>
      </c>
      <c r="W756" s="104">
        <v>4948100</v>
      </c>
      <c r="X756" s="92">
        <v>5853.97998046875</v>
      </c>
    </row>
    <row r="757" spans="20:24" ht="16.5">
      <c r="T757" s="86" t="s">
        <v>1782</v>
      </c>
      <c r="U757" s="92">
        <v>193.9700012207031</v>
      </c>
      <c r="V757" s="92">
        <v>183.55403137207031</v>
      </c>
      <c r="W757" s="104">
        <v>7910800</v>
      </c>
      <c r="X757" s="92">
        <v>5851.2001953125</v>
      </c>
    </row>
    <row r="758" spans="20:24" ht="16.5">
      <c r="T758" s="86" t="s">
        <v>1783</v>
      </c>
      <c r="U758" s="92">
        <v>201.74000549316409</v>
      </c>
      <c r="V758" s="92">
        <v>190.90678405761719</v>
      </c>
      <c r="W758" s="104">
        <v>10548500</v>
      </c>
      <c r="X758" s="92">
        <v>5797.419921875</v>
      </c>
    </row>
    <row r="759" spans="20:24" ht="16.5">
      <c r="T759" s="86" t="s">
        <v>1784</v>
      </c>
      <c r="U759" s="92">
        <v>206.61000061035159</v>
      </c>
      <c r="V759" s="92">
        <v>195.51527404785159</v>
      </c>
      <c r="W759" s="104">
        <v>9309300</v>
      </c>
      <c r="X759" s="92">
        <v>5809.85986328125</v>
      </c>
    </row>
    <row r="760" spans="20:24" ht="16.5">
      <c r="T760" s="86" t="s">
        <v>1785</v>
      </c>
      <c r="U760" s="92">
        <v>206.92999267578119</v>
      </c>
      <c r="V760" s="92">
        <v>195.8180847167969</v>
      </c>
      <c r="W760" s="104">
        <v>5103100</v>
      </c>
      <c r="X760" s="92">
        <v>5808.1201171875</v>
      </c>
    </row>
    <row r="761" spans="20:24" ht="16.5">
      <c r="T761" s="86" t="s">
        <v>1786</v>
      </c>
      <c r="U761" s="92">
        <v>205.83000183105469</v>
      </c>
      <c r="V761" s="92">
        <v>194.77714538574219</v>
      </c>
      <c r="W761" s="104">
        <v>4409000</v>
      </c>
      <c r="X761" s="92">
        <v>5823.52001953125</v>
      </c>
    </row>
    <row r="762" spans="20:24" ht="16.5">
      <c r="T762" s="86" t="s">
        <v>1787</v>
      </c>
      <c r="U762" s="92">
        <v>211.3500061035156</v>
      </c>
      <c r="V762" s="92">
        <v>200.00074768066409</v>
      </c>
      <c r="W762" s="104">
        <v>5522800</v>
      </c>
      <c r="X762" s="92">
        <v>5832.919921875</v>
      </c>
    </row>
    <row r="763" spans="20:24" ht="16.5">
      <c r="T763" s="86" t="s">
        <v>1788</v>
      </c>
      <c r="U763" s="92">
        <v>207.92999267578119</v>
      </c>
      <c r="V763" s="92">
        <v>196.764404296875</v>
      </c>
      <c r="W763" s="104">
        <v>4914000</v>
      </c>
      <c r="X763" s="92">
        <v>5813.669921875</v>
      </c>
    </row>
    <row r="764" spans="20:24" ht="16.5">
      <c r="T764" s="86" t="s">
        <v>1789</v>
      </c>
      <c r="U764" s="92">
        <v>203.16000366210929</v>
      </c>
      <c r="V764" s="92">
        <v>193.51628112792969</v>
      </c>
      <c r="W764" s="104">
        <v>6543000</v>
      </c>
      <c r="X764" s="92">
        <v>5705.4501953125</v>
      </c>
    </row>
    <row r="765" spans="20:24" ht="16.5">
      <c r="T765" s="86" t="s">
        <v>1790</v>
      </c>
      <c r="U765" s="92">
        <v>204.91999816894531</v>
      </c>
      <c r="V765" s="92">
        <v>195.19271850585929</v>
      </c>
      <c r="W765" s="104">
        <v>4208800</v>
      </c>
      <c r="X765" s="92">
        <v>5728.7998046875</v>
      </c>
    </row>
    <row r="766" spans="20:24" ht="16.5">
      <c r="T766" s="86" t="s">
        <v>1791</v>
      </c>
      <c r="U766" s="92">
        <v>203.66000366210929</v>
      </c>
      <c r="V766" s="92">
        <v>193.99252319335929</v>
      </c>
      <c r="W766" s="104">
        <v>3693800</v>
      </c>
      <c r="X766" s="92">
        <v>5712.68994140625</v>
      </c>
    </row>
    <row r="767" spans="20:24" ht="16.5">
      <c r="T767" s="86" t="s">
        <v>1792</v>
      </c>
      <c r="U767" s="92">
        <v>202.46000671386719</v>
      </c>
      <c r="V767" s="92">
        <v>192.84950256347659</v>
      </c>
      <c r="W767" s="104">
        <v>5253200</v>
      </c>
      <c r="X767" s="92">
        <v>5782.759765625</v>
      </c>
    </row>
    <row r="768" spans="20:24" ht="16.5">
      <c r="T768" s="86" t="s">
        <v>1793</v>
      </c>
      <c r="U768" s="92">
        <v>214.9700012207031</v>
      </c>
      <c r="V768" s="92">
        <v>204.76564025878901</v>
      </c>
      <c r="W768" s="104">
        <v>8527500</v>
      </c>
      <c r="X768" s="92">
        <v>5929.0400390625</v>
      </c>
    </row>
    <row r="769" spans="20:24" ht="16.5">
      <c r="T769" s="86" t="s">
        <v>1794</v>
      </c>
      <c r="U769" s="92">
        <v>217.53999328613281</v>
      </c>
      <c r="V769" s="92">
        <v>207.2136535644531</v>
      </c>
      <c r="W769" s="104">
        <v>6020800</v>
      </c>
      <c r="X769" s="92">
        <v>5973.10009765625</v>
      </c>
    </row>
    <row r="770" spans="20:24" ht="16.5">
      <c r="T770" s="86" t="s">
        <v>1795</v>
      </c>
      <c r="U770" s="92">
        <v>220.28999328613281</v>
      </c>
      <c r="V770" s="92">
        <v>209.83311462402341</v>
      </c>
      <c r="W770" s="104">
        <v>5020700</v>
      </c>
      <c r="X770" s="92">
        <v>5995.5400390625</v>
      </c>
    </row>
    <row r="771" spans="20:24" ht="16.5">
      <c r="T771" s="86" t="s">
        <v>1796</v>
      </c>
      <c r="U771" s="92">
        <v>215.8699951171875</v>
      </c>
      <c r="V771" s="92">
        <v>205.6229553222656</v>
      </c>
      <c r="W771" s="104">
        <v>6154700</v>
      </c>
      <c r="X771" s="92">
        <v>6001.35009765625</v>
      </c>
    </row>
    <row r="772" spans="20:24" ht="16.5">
      <c r="T772" s="86" t="s">
        <v>1797</v>
      </c>
      <c r="U772" s="92">
        <v>212.7799987792969</v>
      </c>
      <c r="V772" s="92">
        <v>202.67961120605469</v>
      </c>
      <c r="W772" s="104">
        <v>4990800</v>
      </c>
      <c r="X772" s="92">
        <v>5983.990234375</v>
      </c>
    </row>
    <row r="773" spans="20:24" ht="16.5">
      <c r="T773" s="86" t="s">
        <v>1798</v>
      </c>
      <c r="U773" s="92">
        <v>205.7200012207031</v>
      </c>
      <c r="V773" s="92">
        <v>195.95474243164071</v>
      </c>
      <c r="W773" s="104">
        <v>7921800</v>
      </c>
      <c r="X773" s="92">
        <v>5985.3798828125</v>
      </c>
    </row>
    <row r="774" spans="20:24" ht="16.5">
      <c r="T774" s="86" t="s">
        <v>1799</v>
      </c>
      <c r="U774" s="92">
        <v>206</v>
      </c>
      <c r="V774" s="92">
        <v>196.221435546875</v>
      </c>
      <c r="W774" s="104">
        <v>4783800</v>
      </c>
      <c r="X774" s="92">
        <v>5949.169921875</v>
      </c>
    </row>
    <row r="775" spans="20:24" ht="16.5">
      <c r="T775" s="86" t="s">
        <v>1800</v>
      </c>
      <c r="U775" s="92">
        <v>201.1199951171875</v>
      </c>
      <c r="V775" s="92">
        <v>191.57307434082031</v>
      </c>
      <c r="W775" s="104">
        <v>5970400</v>
      </c>
      <c r="X775" s="92">
        <v>5870.6201171875</v>
      </c>
    </row>
    <row r="776" spans="20:24" ht="16.5">
      <c r="T776" s="86" t="s">
        <v>1801</v>
      </c>
      <c r="U776" s="92">
        <v>207.17999267578119</v>
      </c>
      <c r="V776" s="92">
        <v>197.34544372558599</v>
      </c>
      <c r="W776" s="104">
        <v>7912100</v>
      </c>
      <c r="X776" s="92">
        <v>5893.6201171875</v>
      </c>
    </row>
    <row r="777" spans="20:24" ht="16.5">
      <c r="T777" s="86" t="s">
        <v>1802</v>
      </c>
      <c r="U777" s="92">
        <v>201.07000732421881</v>
      </c>
      <c r="V777" s="92">
        <v>191.52546691894531</v>
      </c>
      <c r="W777" s="104">
        <v>6716000</v>
      </c>
      <c r="X777" s="92">
        <v>5916.97998046875</v>
      </c>
    </row>
    <row r="778" spans="20:24" ht="16.5">
      <c r="T778" s="86" t="s">
        <v>1803</v>
      </c>
      <c r="U778" s="92">
        <v>198.19000244140619</v>
      </c>
      <c r="V778" s="92">
        <v>188.7821960449219</v>
      </c>
      <c r="W778" s="104">
        <v>7344400</v>
      </c>
      <c r="X778" s="92">
        <v>5917.10986328125</v>
      </c>
    </row>
    <row r="779" spans="20:24" ht="16.5">
      <c r="T779" s="86" t="s">
        <v>1804</v>
      </c>
      <c r="U779" s="92">
        <v>198.19999694824219</v>
      </c>
      <c r="V779" s="92">
        <v>188.79170227050781</v>
      </c>
      <c r="W779" s="104">
        <v>8080300</v>
      </c>
      <c r="X779" s="92">
        <v>5948.7099609375</v>
      </c>
    </row>
    <row r="780" spans="20:24" ht="16.5">
      <c r="T780" s="86" t="s">
        <v>1805</v>
      </c>
      <c r="U780" s="92">
        <v>198</v>
      </c>
      <c r="V780" s="92">
        <v>188.6011962890625</v>
      </c>
      <c r="W780" s="104">
        <v>7861300</v>
      </c>
      <c r="X780" s="92">
        <v>5969.33984375</v>
      </c>
    </row>
    <row r="781" spans="20:24" ht="16.5">
      <c r="T781" s="86" t="s">
        <v>1806</v>
      </c>
      <c r="U781" s="92">
        <v>202.92999267578119</v>
      </c>
      <c r="V781" s="92">
        <v>193.29718017578119</v>
      </c>
      <c r="W781" s="104">
        <v>9274400</v>
      </c>
      <c r="X781" s="92">
        <v>5987.3701171875</v>
      </c>
    </row>
    <row r="782" spans="20:24" ht="16.5">
      <c r="T782" s="86" t="s">
        <v>1807</v>
      </c>
      <c r="U782" s="92">
        <v>200.94999694824219</v>
      </c>
      <c r="V782" s="92">
        <v>191.41114807128901</v>
      </c>
      <c r="W782" s="104">
        <v>5260500</v>
      </c>
      <c r="X782" s="92">
        <v>6021.6298828125</v>
      </c>
    </row>
    <row r="783" spans="20:24" ht="16.5">
      <c r="T783" s="86" t="s">
        <v>1808</v>
      </c>
      <c r="U783" s="92">
        <v>199.19000244140619</v>
      </c>
      <c r="V783" s="92">
        <v>189.73472595214841</v>
      </c>
      <c r="W783" s="104">
        <v>4732200</v>
      </c>
      <c r="X783" s="92">
        <v>5998.740234375</v>
      </c>
    </row>
    <row r="784" spans="20:24" ht="16.5">
      <c r="T784" s="86" t="s">
        <v>1809</v>
      </c>
      <c r="U784" s="92">
        <v>201.0299987792969</v>
      </c>
      <c r="V784" s="92">
        <v>191.48738098144531</v>
      </c>
      <c r="W784" s="104">
        <v>3167400</v>
      </c>
      <c r="X784" s="92">
        <v>6032.3798828125</v>
      </c>
    </row>
    <row r="785" spans="20:24" ht="16.5">
      <c r="T785" s="86" t="s">
        <v>1810</v>
      </c>
      <c r="U785" s="92">
        <v>201.7799987792969</v>
      </c>
      <c r="V785" s="92">
        <v>192.20176696777341</v>
      </c>
      <c r="W785" s="104">
        <v>6373900</v>
      </c>
      <c r="X785" s="92">
        <v>6047.14990234375</v>
      </c>
    </row>
    <row r="786" spans="20:24" ht="16.5">
      <c r="T786" s="86" t="s">
        <v>1811</v>
      </c>
      <c r="U786" s="92">
        <v>197.22999572753901</v>
      </c>
      <c r="V786" s="92">
        <v>187.8677673339844</v>
      </c>
      <c r="W786" s="104">
        <v>4743400</v>
      </c>
      <c r="X786" s="92">
        <v>6049.8798828125</v>
      </c>
    </row>
    <row r="787" spans="20:24" ht="16.5">
      <c r="T787" s="86" t="s">
        <v>1812</v>
      </c>
      <c r="U787" s="92">
        <v>196.6499938964844</v>
      </c>
      <c r="V787" s="92">
        <v>187.31527709960929</v>
      </c>
      <c r="W787" s="104">
        <v>7172600</v>
      </c>
      <c r="X787" s="92">
        <v>6086.490234375</v>
      </c>
    </row>
    <row r="788" spans="20:24" ht="16.5">
      <c r="T788" s="86" t="s">
        <v>1813</v>
      </c>
      <c r="U788" s="92">
        <v>192.99000549316409</v>
      </c>
      <c r="V788" s="92">
        <v>183.82902526855469</v>
      </c>
      <c r="W788" s="104">
        <v>6049100</v>
      </c>
      <c r="X788" s="92">
        <v>6075.10986328125</v>
      </c>
    </row>
    <row r="789" spans="20:24" ht="16.5">
      <c r="T789" s="86" t="s">
        <v>1814</v>
      </c>
      <c r="U789" s="92">
        <v>193.1000061035156</v>
      </c>
      <c r="V789" s="92">
        <v>183.9338073730469</v>
      </c>
      <c r="W789" s="104">
        <v>5140700</v>
      </c>
      <c r="X789" s="92">
        <v>6090.27001953125</v>
      </c>
    </row>
    <row r="790" spans="20:24" ht="16.5">
      <c r="T790" s="86" t="s">
        <v>1815</v>
      </c>
      <c r="U790" s="92">
        <v>193.44999694824219</v>
      </c>
      <c r="V790" s="92">
        <v>184.26716613769531</v>
      </c>
      <c r="W790" s="104">
        <v>3880300</v>
      </c>
      <c r="X790" s="92">
        <v>6052.85009765625</v>
      </c>
    </row>
    <row r="791" spans="20:24" ht="16.5">
      <c r="T791" s="86" t="s">
        <v>1816</v>
      </c>
      <c r="U791" s="92">
        <v>190.17999267578119</v>
      </c>
      <c r="V791" s="92">
        <v>181.15238952636719</v>
      </c>
      <c r="W791" s="104">
        <v>6064200</v>
      </c>
      <c r="X791" s="92">
        <v>6034.91015625</v>
      </c>
    </row>
    <row r="792" spans="20:24" ht="16.5">
      <c r="T792" s="86" t="s">
        <v>1817</v>
      </c>
      <c r="U792" s="92">
        <v>191.69999694824219</v>
      </c>
      <c r="V792" s="92">
        <v>182.60026550292969</v>
      </c>
      <c r="W792" s="104">
        <v>6057800</v>
      </c>
      <c r="X792" s="92">
        <v>6084.18994140625</v>
      </c>
    </row>
    <row r="793" spans="20:24" ht="16.5">
      <c r="T793" s="86" t="s">
        <v>1818</v>
      </c>
      <c r="U793" s="92">
        <v>191.71000671386719</v>
      </c>
      <c r="V793" s="92">
        <v>182.60978698730469</v>
      </c>
      <c r="W793" s="104">
        <v>4025600</v>
      </c>
      <c r="X793" s="92">
        <v>6051.25</v>
      </c>
    </row>
    <row r="794" spans="20:24" ht="16.5">
      <c r="T794" s="86" t="s">
        <v>1819</v>
      </c>
      <c r="U794" s="92">
        <v>191.58999633789071</v>
      </c>
      <c r="V794" s="92">
        <v>182.49546813964841</v>
      </c>
      <c r="W794" s="104">
        <v>4772800</v>
      </c>
      <c r="X794" s="92">
        <v>6051.08984375</v>
      </c>
    </row>
    <row r="795" spans="20:24" ht="16.5">
      <c r="T795" s="86" t="s">
        <v>1820</v>
      </c>
      <c r="U795" s="92">
        <v>189.46000671386719</v>
      </c>
      <c r="V795" s="92">
        <v>180.46659851074219</v>
      </c>
      <c r="W795" s="104">
        <v>5829700</v>
      </c>
      <c r="X795" s="92">
        <v>6074.080078125</v>
      </c>
    </row>
    <row r="796" spans="20:24" ht="16.5">
      <c r="T796" s="86" t="s">
        <v>1821</v>
      </c>
      <c r="U796" s="92">
        <v>188.1199951171875</v>
      </c>
      <c r="V796" s="92">
        <v>179.19020080566409</v>
      </c>
      <c r="W796" s="104">
        <v>5046100</v>
      </c>
      <c r="X796" s="92">
        <v>6050.60986328125</v>
      </c>
    </row>
    <row r="797" spans="20:24" ht="16.5">
      <c r="T797" s="86" t="s">
        <v>1822</v>
      </c>
      <c r="U797" s="92">
        <v>185</v>
      </c>
      <c r="V797" s="92">
        <v>176.2182922363281</v>
      </c>
      <c r="W797" s="104">
        <v>8281900</v>
      </c>
      <c r="X797" s="92">
        <v>5872.16015625</v>
      </c>
    </row>
    <row r="798" spans="20:24" ht="16.5">
      <c r="T798" s="86" t="s">
        <v>1823</v>
      </c>
      <c r="U798" s="92">
        <v>184.4700012207031</v>
      </c>
      <c r="V798" s="92">
        <v>175.71345520019531</v>
      </c>
      <c r="W798" s="104">
        <v>6290000</v>
      </c>
      <c r="X798" s="92">
        <v>5867.080078125</v>
      </c>
    </row>
    <row r="799" spans="20:24" ht="16.5">
      <c r="T799" s="86" t="s">
        <v>1824</v>
      </c>
      <c r="U799" s="92">
        <v>186.8699951171875</v>
      </c>
      <c r="V799" s="92">
        <v>177.99952697753909</v>
      </c>
      <c r="W799" s="104">
        <v>11462100</v>
      </c>
      <c r="X799" s="92">
        <v>5930.85009765625</v>
      </c>
    </row>
    <row r="800" spans="20:24" ht="16.5">
      <c r="T800" s="86" t="s">
        <v>1825</v>
      </c>
      <c r="U800" s="92">
        <v>190.13999938964841</v>
      </c>
      <c r="V800" s="92">
        <v>181.11431884765619</v>
      </c>
      <c r="W800" s="104">
        <v>4297600</v>
      </c>
      <c r="X800" s="92">
        <v>5974.06982421875</v>
      </c>
    </row>
    <row r="801" spans="20:24" ht="16.5">
      <c r="T801" s="86" t="s">
        <v>1826</v>
      </c>
      <c r="U801" s="92">
        <v>192.44000244140619</v>
      </c>
      <c r="V801" s="92">
        <v>183.3051452636719</v>
      </c>
      <c r="W801" s="104">
        <v>1950900</v>
      </c>
      <c r="X801" s="92">
        <v>6040.0400390625</v>
      </c>
    </row>
    <row r="802" spans="20:24" ht="16.5">
      <c r="T802" s="86" t="s">
        <v>1827</v>
      </c>
      <c r="U802" s="92">
        <v>191.72999572753901</v>
      </c>
      <c r="V802" s="92">
        <v>182.62882995605469</v>
      </c>
      <c r="W802" s="104">
        <v>2019000</v>
      </c>
      <c r="X802" s="92">
        <v>6037.58984375</v>
      </c>
    </row>
    <row r="803" spans="20:24" ht="16.5">
      <c r="T803" s="86" t="s">
        <v>1828</v>
      </c>
      <c r="U803" s="92">
        <v>191.17999267578119</v>
      </c>
      <c r="V803" s="92">
        <v>182.10493469238281</v>
      </c>
      <c r="W803" s="104">
        <v>3253500</v>
      </c>
      <c r="X803" s="92">
        <v>5970.83984375</v>
      </c>
    </row>
    <row r="804" spans="20:24" ht="16.5">
      <c r="T804" s="86" t="s">
        <v>1829</v>
      </c>
      <c r="U804" s="92">
        <v>187.96000671386719</v>
      </c>
      <c r="V804" s="92">
        <v>179.03776550292969</v>
      </c>
      <c r="W804" s="104">
        <v>4065200</v>
      </c>
      <c r="X804" s="92">
        <v>5906.93994140625</v>
      </c>
    </row>
    <row r="805" spans="20:24" ht="16.5">
      <c r="T805" s="86" t="s">
        <v>1830</v>
      </c>
      <c r="U805" s="92">
        <v>187.50999450683599</v>
      </c>
      <c r="V805" s="92">
        <v>178.60914611816409</v>
      </c>
      <c r="W805" s="104">
        <v>3050500</v>
      </c>
      <c r="X805" s="92">
        <v>5881.6298828125</v>
      </c>
    </row>
    <row r="806" spans="20:24" ht="16.5">
      <c r="T806" s="86" t="s">
        <v>1831</v>
      </c>
      <c r="U806" s="92">
        <v>186.94999694824219</v>
      </c>
      <c r="V806" s="92">
        <v>178.07572937011719</v>
      </c>
      <c r="W806" s="104">
        <v>4500500</v>
      </c>
      <c r="X806" s="92">
        <v>5868.5498046875</v>
      </c>
    </row>
    <row r="807" spans="20:24" ht="16.5">
      <c r="T807" s="86" t="s">
        <v>1832</v>
      </c>
      <c r="U807" s="92">
        <v>190.50999450683599</v>
      </c>
      <c r="V807" s="92">
        <v>181.46675109863281</v>
      </c>
      <c r="W807" s="104">
        <v>4574100</v>
      </c>
      <c r="X807" s="92">
        <v>5942.47021484375</v>
      </c>
    </row>
    <row r="808" spans="20:24" ht="16.5">
      <c r="T808" s="86" t="s">
        <v>1833</v>
      </c>
      <c r="U808" s="92">
        <v>192.17999267578119</v>
      </c>
      <c r="V808" s="92">
        <v>183.0574951171875</v>
      </c>
      <c r="W808" s="104">
        <v>4682000</v>
      </c>
      <c r="X808" s="92">
        <v>5975.3798828125</v>
      </c>
    </row>
    <row r="809" spans="20:24" ht="16.5">
      <c r="T809" s="86" t="s">
        <v>1834</v>
      </c>
      <c r="U809" s="92">
        <v>192.21000671386719</v>
      </c>
      <c r="V809" s="92">
        <v>183.0860595703125</v>
      </c>
      <c r="W809" s="104">
        <v>5035200</v>
      </c>
      <c r="X809" s="92">
        <v>5909.02978515625</v>
      </c>
    </row>
    <row r="810" spans="20:24" ht="16.5">
      <c r="T810" s="86" t="s">
        <v>1835</v>
      </c>
      <c r="U810" s="92">
        <v>191.66000366210929</v>
      </c>
      <c r="V810" s="92">
        <v>182.56214904785159</v>
      </c>
      <c r="W810" s="104">
        <v>4230400</v>
      </c>
      <c r="X810" s="92">
        <v>5918.25</v>
      </c>
    </row>
    <row r="811" spans="20:24" ht="16.5">
      <c r="T811" s="86" t="s">
        <v>1836</v>
      </c>
      <c r="U811" s="92">
        <v>190.1499938964844</v>
      </c>
      <c r="V811" s="92">
        <v>181.12382507324219</v>
      </c>
      <c r="W811" s="104">
        <v>7223500</v>
      </c>
      <c r="X811" s="92">
        <v>5827.0400390625</v>
      </c>
    </row>
    <row r="812" spans="20:24" ht="16.5">
      <c r="T812" s="86" t="s">
        <v>1837</v>
      </c>
      <c r="U812" s="92">
        <v>191.08999633789071</v>
      </c>
      <c r="V812" s="92">
        <v>182.01922607421881</v>
      </c>
      <c r="W812" s="104">
        <v>4799600</v>
      </c>
      <c r="X812" s="92">
        <v>5836.22021484375</v>
      </c>
    </row>
    <row r="813" spans="20:24" ht="16.5">
      <c r="T813" s="86" t="s">
        <v>1838</v>
      </c>
      <c r="U813" s="92">
        <v>193.5</v>
      </c>
      <c r="V813" s="92">
        <v>184.31480407714841</v>
      </c>
      <c r="W813" s="104">
        <v>4254200</v>
      </c>
      <c r="X813" s="92">
        <v>5842.91015625</v>
      </c>
    </row>
    <row r="814" spans="20:24" ht="16.5">
      <c r="T814" s="86" t="s">
        <v>1839</v>
      </c>
      <c r="U814" s="92">
        <v>197.50999450683599</v>
      </c>
      <c r="V814" s="92">
        <v>188.13446044921881</v>
      </c>
      <c r="W814" s="104">
        <v>6288600</v>
      </c>
      <c r="X814" s="92">
        <v>5949.91015625</v>
      </c>
    </row>
    <row r="815" spans="20:24" ht="16.5">
      <c r="T815" s="86" t="s">
        <v>1840</v>
      </c>
      <c r="U815" s="92">
        <v>187.3699951171875</v>
      </c>
      <c r="V815" s="92">
        <v>178.47578430175781</v>
      </c>
      <c r="W815" s="104">
        <v>7463300</v>
      </c>
      <c r="X815" s="92">
        <v>5937.33984375</v>
      </c>
    </row>
    <row r="816" spans="20:24" ht="16.5">
      <c r="T816" s="86" t="s">
        <v>1841</v>
      </c>
      <c r="U816" s="92">
        <v>192.41999816894531</v>
      </c>
      <c r="V816" s="92">
        <v>183.28608703613281</v>
      </c>
      <c r="W816" s="104">
        <v>5407500</v>
      </c>
      <c r="X816" s="92">
        <v>5996.66015625</v>
      </c>
    </row>
    <row r="817" spans="20:24" ht="16.5">
      <c r="T817" s="86" t="s">
        <v>1842</v>
      </c>
      <c r="U817" s="92">
        <v>195.22999572753901</v>
      </c>
      <c r="V817" s="92">
        <v>185.9626770019531</v>
      </c>
      <c r="W817" s="104">
        <v>9621700</v>
      </c>
      <c r="X817" s="92">
        <v>6049.240234375</v>
      </c>
    </row>
    <row r="818" spans="20:24" ht="16.5">
      <c r="T818" s="86" t="s">
        <v>1843</v>
      </c>
      <c r="U818" s="92">
        <v>197.05000305175781</v>
      </c>
      <c r="V818" s="92">
        <v>187.69627380371091</v>
      </c>
      <c r="W818" s="104">
        <v>8222000</v>
      </c>
      <c r="X818" s="92">
        <v>6086.3701171875</v>
      </c>
    </row>
    <row r="819" spans="20:24" ht="16.5">
      <c r="T819" s="86" t="s">
        <v>1844</v>
      </c>
      <c r="U819" s="92">
        <v>200.61000061035159</v>
      </c>
      <c r="V819" s="92">
        <v>191.08732604980469</v>
      </c>
      <c r="W819" s="104">
        <v>12694700</v>
      </c>
      <c r="X819" s="92">
        <v>6118.7099609375</v>
      </c>
    </row>
    <row r="820" spans="20:24" ht="16.5">
      <c r="T820" s="86" t="s">
        <v>1845</v>
      </c>
      <c r="U820" s="92">
        <v>185.52000427246091</v>
      </c>
      <c r="V820" s="92">
        <v>176.71360778808591</v>
      </c>
      <c r="W820" s="104">
        <v>15856600</v>
      </c>
      <c r="X820" s="92">
        <v>6101.240234375</v>
      </c>
    </row>
    <row r="821" spans="20:24" ht="16.5">
      <c r="T821" s="86" t="s">
        <v>1846</v>
      </c>
      <c r="U821" s="92">
        <v>187.0299987792969</v>
      </c>
      <c r="V821" s="92">
        <v>178.1519470214844</v>
      </c>
      <c r="W821" s="104">
        <v>11771300</v>
      </c>
      <c r="X821" s="92">
        <v>6012.27978515625</v>
      </c>
    </row>
    <row r="822" spans="20:24" ht="16.5">
      <c r="T822" s="86" t="s">
        <v>1847</v>
      </c>
      <c r="U822" s="92">
        <v>180.57000732421881</v>
      </c>
      <c r="V822" s="92">
        <v>171.99859619140619</v>
      </c>
      <c r="W822" s="104">
        <v>8720300</v>
      </c>
      <c r="X822" s="92">
        <v>6067.7001953125</v>
      </c>
    </row>
    <row r="823" spans="20:24" ht="16.5">
      <c r="T823" s="86" t="s">
        <v>1848</v>
      </c>
      <c r="U823" s="92">
        <v>180.27000427246091</v>
      </c>
      <c r="V823" s="92">
        <v>171.71282958984381</v>
      </c>
      <c r="W823" s="104">
        <v>4183800</v>
      </c>
      <c r="X823" s="92">
        <v>6039.31005859375</v>
      </c>
    </row>
    <row r="824" spans="20:24" ht="16.5">
      <c r="T824" s="86" t="s">
        <v>1849</v>
      </c>
      <c r="U824" s="92">
        <v>185.27000427246091</v>
      </c>
      <c r="V824" s="92">
        <v>176.47547912597659</v>
      </c>
      <c r="W824" s="104">
        <v>5807100</v>
      </c>
      <c r="X824" s="92">
        <v>6071.169921875</v>
      </c>
    </row>
    <row r="825" spans="20:24" ht="16.5">
      <c r="T825" s="86" t="s">
        <v>1850</v>
      </c>
      <c r="U825" s="92">
        <v>184.61000061035159</v>
      </c>
      <c r="V825" s="92">
        <v>177.14717102050781</v>
      </c>
      <c r="W825" s="104">
        <v>6333700</v>
      </c>
      <c r="X825" s="92">
        <v>6040.52978515625</v>
      </c>
    </row>
    <row r="826" spans="20:24" ht="16.5">
      <c r="T826" s="86" t="s">
        <v>1851</v>
      </c>
      <c r="U826" s="92">
        <v>180.94000244140619</v>
      </c>
      <c r="V826" s="92">
        <v>173.62553405761719</v>
      </c>
      <c r="W826" s="104">
        <v>6311500</v>
      </c>
      <c r="X826" s="92">
        <v>5994.56982421875</v>
      </c>
    </row>
    <row r="827" spans="20:24" ht="16.5">
      <c r="T827" s="86" t="s">
        <v>1852</v>
      </c>
      <c r="U827" s="92">
        <v>180.55999755859369</v>
      </c>
      <c r="V827" s="92">
        <v>173.2608947753906</v>
      </c>
      <c r="W827" s="104">
        <v>5785700</v>
      </c>
      <c r="X827" s="92">
        <v>6037.8798828125</v>
      </c>
    </row>
    <row r="828" spans="20:24" ht="16.5">
      <c r="T828" s="86" t="s">
        <v>1853</v>
      </c>
      <c r="U828" s="92">
        <v>181.58999633789071</v>
      </c>
      <c r="V828" s="92">
        <v>174.249267578125</v>
      </c>
      <c r="W828" s="104">
        <v>5939800</v>
      </c>
      <c r="X828" s="92">
        <v>6061.47998046875</v>
      </c>
    </row>
    <row r="829" spans="20:24" ht="16.5">
      <c r="T829" s="86" t="s">
        <v>1854</v>
      </c>
      <c r="U829" s="92">
        <v>183.2799987792969</v>
      </c>
      <c r="V829" s="92">
        <v>175.8709411621094</v>
      </c>
      <c r="W829" s="104">
        <v>5089800</v>
      </c>
      <c r="X829" s="92">
        <v>6083.56982421875</v>
      </c>
    </row>
    <row r="830" spans="20:24" ht="16.5">
      <c r="T830" s="86" t="s">
        <v>1855</v>
      </c>
      <c r="U830" s="92">
        <v>180</v>
      </c>
      <c r="V830" s="92">
        <v>172.7235412597656</v>
      </c>
      <c r="W830" s="104">
        <v>5380500</v>
      </c>
      <c r="X830" s="92">
        <v>6025.990234375</v>
      </c>
    </row>
    <row r="831" spans="20:24" ht="16.5">
      <c r="T831" s="86" t="s">
        <v>1856</v>
      </c>
      <c r="U831" s="92">
        <v>180.30999755859369</v>
      </c>
      <c r="V831" s="92">
        <v>173.02101135253909</v>
      </c>
      <c r="W831" s="104">
        <v>3827100</v>
      </c>
      <c r="X831" s="92">
        <v>6066.43994140625</v>
      </c>
    </row>
    <row r="832" spans="20:24" ht="16.5">
      <c r="T832" s="86" t="s">
        <v>1857</v>
      </c>
      <c r="U832" s="92">
        <v>179.25</v>
      </c>
      <c r="V832" s="92">
        <v>172.00386047363281</v>
      </c>
      <c r="W832" s="104">
        <v>3795300</v>
      </c>
      <c r="X832" s="92">
        <v>6068.5</v>
      </c>
    </row>
    <row r="833" spans="20:24" ht="16.5">
      <c r="T833" s="86" t="s">
        <v>1858</v>
      </c>
      <c r="U833" s="92">
        <v>179.99000549316409</v>
      </c>
      <c r="V833" s="92">
        <v>172.71394348144531</v>
      </c>
      <c r="W833" s="104">
        <v>5364200</v>
      </c>
      <c r="X833" s="92">
        <v>6051.97021484375</v>
      </c>
    </row>
    <row r="834" spans="20:24" ht="16.5">
      <c r="T834" s="86" t="s">
        <v>1859</v>
      </c>
      <c r="U834" s="92">
        <v>180.80000305175781</v>
      </c>
      <c r="V834" s="92">
        <v>173.4912109375</v>
      </c>
      <c r="W834" s="104">
        <v>3737300</v>
      </c>
      <c r="X834" s="92">
        <v>6115.06982421875</v>
      </c>
    </row>
    <row r="835" spans="20:24" ht="16.5">
      <c r="T835" s="86" t="s">
        <v>1860</v>
      </c>
      <c r="U835" s="92">
        <v>183.0299987792969</v>
      </c>
      <c r="V835" s="92">
        <v>175.63105773925781</v>
      </c>
      <c r="W835" s="104">
        <v>4137900</v>
      </c>
      <c r="X835" s="92">
        <v>6114.6298828125</v>
      </c>
    </row>
    <row r="836" spans="20:24" ht="16.5">
      <c r="T836" s="86" t="s">
        <v>1861</v>
      </c>
      <c r="U836" s="92">
        <v>186.46000671386719</v>
      </c>
      <c r="V836" s="92">
        <v>178.92240905761719</v>
      </c>
      <c r="W836" s="104">
        <v>4578700</v>
      </c>
      <c r="X836" s="92">
        <v>6129.580078125</v>
      </c>
    </row>
    <row r="837" spans="20:24" ht="16.5">
      <c r="T837" s="86" t="s">
        <v>1862</v>
      </c>
      <c r="U837" s="92">
        <v>196.32000732421881</v>
      </c>
      <c r="V837" s="92">
        <v>188.3838195800781</v>
      </c>
      <c r="W837" s="104">
        <v>8438300</v>
      </c>
      <c r="X837" s="92">
        <v>6144.14990234375</v>
      </c>
    </row>
    <row r="838" spans="20:24" ht="16.5">
      <c r="T838" s="86" t="s">
        <v>1863</v>
      </c>
      <c r="U838" s="92">
        <v>203.96000671386719</v>
      </c>
      <c r="V838" s="92">
        <v>195.7149658203125</v>
      </c>
      <c r="W838" s="104">
        <v>9190100</v>
      </c>
      <c r="X838" s="92">
        <v>6117.52001953125</v>
      </c>
    </row>
    <row r="839" spans="20:24" ht="16.5">
      <c r="T839" s="86" t="s">
        <v>1864</v>
      </c>
      <c r="U839" s="92">
        <v>202</v>
      </c>
      <c r="V839" s="92">
        <v>193.8341979980469</v>
      </c>
      <c r="W839" s="104">
        <v>7349900</v>
      </c>
      <c r="X839" s="92">
        <v>6013.1298828125</v>
      </c>
    </row>
    <row r="840" spans="20:24" ht="16.5">
      <c r="T840" s="86" t="s">
        <v>1865</v>
      </c>
      <c r="U840" s="92">
        <v>200.74000549316409</v>
      </c>
      <c r="V840" s="92">
        <v>192.6251220703125</v>
      </c>
      <c r="W840" s="104">
        <v>7675900</v>
      </c>
      <c r="X840" s="92">
        <v>5983.25</v>
      </c>
    </row>
    <row r="841" spans="20:24" ht="16.5">
      <c r="T841" s="86" t="s">
        <v>1866</v>
      </c>
      <c r="U841" s="92">
        <v>199.97999572753901</v>
      </c>
      <c r="V841" s="92">
        <v>191.89584350585929</v>
      </c>
      <c r="W841" s="104">
        <v>7441700</v>
      </c>
      <c r="X841" s="92">
        <v>5955.25</v>
      </c>
    </row>
    <row r="842" spans="20:24" ht="16.5">
      <c r="T842" s="86" t="s">
        <v>1867</v>
      </c>
      <c r="U842" s="92">
        <v>198.24000549316409</v>
      </c>
      <c r="V842" s="92">
        <v>190.22618103027341</v>
      </c>
      <c r="W842" s="104">
        <v>5611600</v>
      </c>
      <c r="X842" s="92">
        <v>5956.06005859375</v>
      </c>
    </row>
    <row r="843" spans="20:24" ht="16.5">
      <c r="T843" s="86" t="s">
        <v>1868</v>
      </c>
      <c r="U843" s="92">
        <v>191.30000305175781</v>
      </c>
      <c r="V843" s="92">
        <v>183.56675720214841</v>
      </c>
      <c r="W843" s="104">
        <v>7761700</v>
      </c>
      <c r="X843" s="92">
        <v>5861.56982421875</v>
      </c>
    </row>
    <row r="844" spans="20:24" ht="16.5">
      <c r="T844" s="86" t="s">
        <v>1869</v>
      </c>
      <c r="U844" s="92">
        <v>195.99000549316409</v>
      </c>
      <c r="V844" s="92">
        <v>188.067138671875</v>
      </c>
      <c r="W844" s="104">
        <v>9024500</v>
      </c>
      <c r="X844" s="92">
        <v>5954.5</v>
      </c>
    </row>
    <row r="845" spans="20:24" ht="16.5">
      <c r="T845" s="86" t="s">
        <v>1870</v>
      </c>
      <c r="U845" s="92">
        <v>194.38999938964841</v>
      </c>
      <c r="V845" s="92">
        <v>186.5318298339844</v>
      </c>
      <c r="W845" s="104">
        <v>6141300</v>
      </c>
      <c r="X845" s="92">
        <v>5849.72021484375</v>
      </c>
    </row>
    <row r="846" spans="20:24" ht="16.5">
      <c r="T846" s="86" t="s">
        <v>1871</v>
      </c>
      <c r="U846" s="92">
        <v>194.83999633789071</v>
      </c>
      <c r="V846" s="92">
        <v>186.96363830566409</v>
      </c>
      <c r="W846" s="104">
        <v>7159200</v>
      </c>
      <c r="X846" s="92">
        <v>5778.14990234375</v>
      </c>
    </row>
    <row r="847" spans="20:24" ht="16.5">
      <c r="T847" s="86" t="s">
        <v>1872</v>
      </c>
      <c r="U847" s="92">
        <v>195.57000732421881</v>
      </c>
      <c r="V847" s="92">
        <v>187.66413879394531</v>
      </c>
      <c r="W847" s="104">
        <v>5484400</v>
      </c>
      <c r="X847" s="92">
        <v>5842.6298828125</v>
      </c>
    </row>
    <row r="848" spans="20:24" ht="16.5">
      <c r="T848" s="86" t="s">
        <v>1873</v>
      </c>
      <c r="U848" s="92">
        <v>189.33999633789071</v>
      </c>
      <c r="V848" s="92">
        <v>181.68595886230469</v>
      </c>
      <c r="W848" s="104">
        <v>7120200</v>
      </c>
      <c r="X848" s="92">
        <v>5738.52001953125</v>
      </c>
    </row>
    <row r="849" spans="20:24" ht="16.5">
      <c r="T849" s="86" t="s">
        <v>1874</v>
      </c>
      <c r="U849" s="92">
        <v>190.52000427246091</v>
      </c>
      <c r="V849" s="92">
        <v>182.81828308105469</v>
      </c>
      <c r="W849" s="104">
        <v>7706800</v>
      </c>
      <c r="X849" s="92">
        <v>5770.2001953125</v>
      </c>
    </row>
    <row r="850" spans="20:24" ht="16.5">
      <c r="T850" s="86" t="s">
        <v>1875</v>
      </c>
      <c r="U850" s="92">
        <v>186.49000549316409</v>
      </c>
      <c r="V850" s="92">
        <v>178.95118713378909</v>
      </c>
      <c r="W850" s="104">
        <v>9161400</v>
      </c>
      <c r="X850" s="92">
        <v>5614.56005859375</v>
      </c>
    </row>
    <row r="851" spans="20:24" ht="16.5">
      <c r="T851" s="86" t="s">
        <v>1876</v>
      </c>
      <c r="U851" s="92">
        <v>177.3399963378906</v>
      </c>
      <c r="V851" s="92">
        <v>170.17106628417969</v>
      </c>
      <c r="W851" s="104">
        <v>7981400</v>
      </c>
      <c r="X851" s="92">
        <v>5572.06982421875</v>
      </c>
    </row>
    <row r="852" spans="20:24" ht="16.5">
      <c r="T852" s="86" t="s">
        <v>1877</v>
      </c>
      <c r="U852" s="92">
        <v>175.69999694824219</v>
      </c>
      <c r="V852" s="92">
        <v>168.59736633300781</v>
      </c>
      <c r="W852" s="104">
        <v>5436100</v>
      </c>
      <c r="X852" s="92">
        <v>5599.2998046875</v>
      </c>
    </row>
    <row r="853" spans="20:24" ht="16.5">
      <c r="T853" s="86" t="s">
        <v>1878</v>
      </c>
      <c r="U853" s="92">
        <v>173.6000061035156</v>
      </c>
      <c r="V853" s="92">
        <v>166.58226013183591</v>
      </c>
      <c r="W853" s="104">
        <v>5277200</v>
      </c>
      <c r="X853" s="92">
        <v>5521.52001953125</v>
      </c>
    </row>
    <row r="854" spans="20:24" ht="16.5">
      <c r="T854" s="86" t="s">
        <v>1879</v>
      </c>
      <c r="U854" s="92">
        <v>176.41999816894531</v>
      </c>
      <c r="V854" s="92">
        <v>169.28825378417969</v>
      </c>
      <c r="W854" s="104">
        <v>4927900</v>
      </c>
      <c r="X854" s="92">
        <v>5638.93994140625</v>
      </c>
    </row>
    <row r="855" spans="20:24" ht="16.5">
      <c r="T855" s="86" t="s">
        <v>1880</v>
      </c>
      <c r="U855" s="92">
        <v>179.99000549316409</v>
      </c>
      <c r="V855" s="92">
        <v>172.71394348144531</v>
      </c>
      <c r="W855" s="104">
        <v>4940400</v>
      </c>
      <c r="X855" s="92">
        <v>5675.1201171875</v>
      </c>
    </row>
    <row r="856" spans="20:24" ht="16.5">
      <c r="T856" s="86" t="s">
        <v>1881</v>
      </c>
      <c r="U856" s="92">
        <v>179.44999694824219</v>
      </c>
      <c r="V856" s="92">
        <v>172.1957702636719</v>
      </c>
      <c r="W856" s="104">
        <v>4077700</v>
      </c>
      <c r="X856" s="92">
        <v>5614.66015625</v>
      </c>
    </row>
    <row r="857" spans="20:24" ht="16.5">
      <c r="T857" s="86" t="s">
        <v>1882</v>
      </c>
      <c r="U857" s="92">
        <v>181.74000549316409</v>
      </c>
      <c r="V857" s="92">
        <v>174.39320373535159</v>
      </c>
      <c r="W857" s="104">
        <v>5675000</v>
      </c>
      <c r="X857" s="92">
        <v>5675.2900390625</v>
      </c>
    </row>
    <row r="858" spans="20:24" ht="16.5">
      <c r="T858" s="86" t="s">
        <v>1883</v>
      </c>
      <c r="U858" s="92">
        <v>180.67999267578119</v>
      </c>
      <c r="V858" s="92">
        <v>173.37603759765619</v>
      </c>
      <c r="W858" s="104">
        <v>4980000</v>
      </c>
      <c r="X858" s="92">
        <v>5662.89013671875</v>
      </c>
    </row>
    <row r="859" spans="20:24" ht="16.5">
      <c r="T859" s="86" t="s">
        <v>1884</v>
      </c>
      <c r="U859" s="92">
        <v>179</v>
      </c>
      <c r="V859" s="92">
        <v>171.76396179199219</v>
      </c>
      <c r="W859" s="104">
        <v>11822900</v>
      </c>
      <c r="X859" s="92">
        <v>5667.56005859375</v>
      </c>
    </row>
    <row r="860" spans="20:24" ht="16.5">
      <c r="T860" s="86" t="s">
        <v>1885</v>
      </c>
      <c r="U860" s="92">
        <v>185.50999450683599</v>
      </c>
      <c r="V860" s="92">
        <v>178.01080322265619</v>
      </c>
      <c r="W860" s="104">
        <v>5694900</v>
      </c>
      <c r="X860" s="92">
        <v>5767.56982421875</v>
      </c>
    </row>
    <row r="861" spans="20:24" ht="16.5">
      <c r="T861" s="86" t="s">
        <v>1886</v>
      </c>
      <c r="U861" s="92">
        <v>183.9700012207031</v>
      </c>
      <c r="V861" s="92">
        <v>176.53303527832031</v>
      </c>
      <c r="W861" s="104">
        <v>4357200</v>
      </c>
      <c r="X861" s="92">
        <v>5776.64990234375</v>
      </c>
    </row>
    <row r="862" spans="20:24" ht="16.5">
      <c r="T862" s="86" t="s">
        <v>1887</v>
      </c>
      <c r="U862" s="92">
        <v>184.49000549316409</v>
      </c>
      <c r="V862" s="92">
        <v>177.03202819824219</v>
      </c>
      <c r="W862" s="104">
        <v>5814200</v>
      </c>
      <c r="X862" s="92">
        <v>5712.2001953125</v>
      </c>
    </row>
    <row r="863" spans="20:24" ht="16.5">
      <c r="T863" s="86" t="s">
        <v>1888</v>
      </c>
      <c r="U863" s="92">
        <v>180.75999450683599</v>
      </c>
      <c r="V863" s="92">
        <v>173.45281982421881</v>
      </c>
      <c r="W863" s="104">
        <v>5035900</v>
      </c>
      <c r="X863" s="92">
        <v>5693.31005859375</v>
      </c>
    </row>
    <row r="864" spans="20:24" ht="16.5">
      <c r="T864" s="86" t="s">
        <v>1889</v>
      </c>
      <c r="U864" s="92">
        <v>176.33000183105469</v>
      </c>
      <c r="V864" s="92">
        <v>169.20188903808591</v>
      </c>
      <c r="W864" s="104">
        <v>5490600</v>
      </c>
      <c r="X864" s="92">
        <v>5580.93994140625</v>
      </c>
    </row>
    <row r="865" spans="20:24" ht="16.5">
      <c r="T865" s="86" t="s">
        <v>1890</v>
      </c>
      <c r="U865" s="92">
        <v>179.69999694824219</v>
      </c>
      <c r="V865" s="92">
        <v>172.43565368652341</v>
      </c>
      <c r="W865" s="104">
        <v>9222700</v>
      </c>
      <c r="X865" s="92">
        <v>5611.85009765625</v>
      </c>
    </row>
    <row r="866" spans="20:24" ht="16.5">
      <c r="T866" s="86" t="s">
        <v>1891</v>
      </c>
      <c r="U866" s="92">
        <v>177.99000549316409</v>
      </c>
      <c r="V866" s="92">
        <v>170.7947998046875</v>
      </c>
      <c r="W866" s="104">
        <v>5965400</v>
      </c>
      <c r="X866" s="92">
        <v>5633.06982421875</v>
      </c>
    </row>
    <row r="867" spans="20:24" ht="16.5">
      <c r="T867" s="86" t="s">
        <v>1892</v>
      </c>
      <c r="U867" s="92">
        <v>178.19000244140619</v>
      </c>
      <c r="V867" s="92">
        <v>170.9866943359375</v>
      </c>
      <c r="W867" s="104">
        <v>4368900</v>
      </c>
      <c r="X867" s="92">
        <v>5670.97021484375</v>
      </c>
    </row>
    <row r="868" spans="20:24" ht="16.5">
      <c r="T868" s="86" t="s">
        <v>1893</v>
      </c>
      <c r="U868" s="92">
        <v>164.19999694824219</v>
      </c>
      <c r="V868" s="92">
        <v>157.56224060058591</v>
      </c>
      <c r="W868" s="104">
        <v>11895300</v>
      </c>
      <c r="X868" s="92">
        <v>5396.52001953125</v>
      </c>
    </row>
    <row r="869" spans="20:24" ht="16.5">
      <c r="T869" s="86" t="s">
        <v>1894</v>
      </c>
      <c r="U869" s="92">
        <v>151.38999938964841</v>
      </c>
      <c r="V869" s="92">
        <v>145.27009582519531</v>
      </c>
      <c r="W869" s="104">
        <v>14976900</v>
      </c>
      <c r="X869" s="92">
        <v>5074.080078125</v>
      </c>
    </row>
    <row r="870" spans="20:24" ht="16.5">
      <c r="T870" s="86" t="s">
        <v>1895</v>
      </c>
      <c r="U870" s="92">
        <v>154</v>
      </c>
      <c r="V870" s="92">
        <v>147.7745666503906</v>
      </c>
      <c r="W870" s="104">
        <v>18337200</v>
      </c>
      <c r="X870" s="92">
        <v>5062.25</v>
      </c>
    </row>
    <row r="871" spans="20:24" ht="16.5">
      <c r="T871" s="86" t="s">
        <v>1896</v>
      </c>
      <c r="U871" s="92">
        <v>146.00999450683591</v>
      </c>
      <c r="V871" s="92">
        <v>140.1075744628906</v>
      </c>
      <c r="W871" s="104">
        <v>13902800</v>
      </c>
      <c r="X871" s="92">
        <v>4982.77001953125</v>
      </c>
    </row>
    <row r="872" spans="20:24" ht="16.5">
      <c r="T872" s="86" t="s">
        <v>1897</v>
      </c>
      <c r="U872" s="92">
        <v>169.5</v>
      </c>
      <c r="V872" s="92">
        <v>162.6479797363281</v>
      </c>
      <c r="W872" s="104">
        <v>21578500</v>
      </c>
      <c r="X872" s="92">
        <v>5456.89990234375</v>
      </c>
    </row>
    <row r="873" spans="20:24" ht="16.5">
      <c r="T873" s="86" t="s">
        <v>1898</v>
      </c>
      <c r="U873" s="92">
        <v>156.6000061035156</v>
      </c>
      <c r="V873" s="92">
        <v>150.26947021484381</v>
      </c>
      <c r="W873" s="104">
        <v>16019500</v>
      </c>
      <c r="X873" s="92">
        <v>5268.0498046875</v>
      </c>
    </row>
    <row r="874" spans="20:24" ht="16.5">
      <c r="T874" s="86" t="s">
        <v>1899</v>
      </c>
      <c r="U874" s="92">
        <v>147.6000061035156</v>
      </c>
      <c r="V874" s="92">
        <v>141.63330078125</v>
      </c>
      <c r="W874" s="104">
        <v>21113300</v>
      </c>
      <c r="X874" s="92">
        <v>5363.35986328125</v>
      </c>
    </row>
    <row r="875" spans="20:24" ht="16.5">
      <c r="T875" s="86" t="s">
        <v>1900</v>
      </c>
      <c r="U875" s="92">
        <v>150.97999572753909</v>
      </c>
      <c r="V875" s="92">
        <v>144.87666320800781</v>
      </c>
      <c r="W875" s="104">
        <v>10356600</v>
      </c>
      <c r="X875" s="92">
        <v>5405.97021484375</v>
      </c>
    </row>
    <row r="876" spans="20:24" ht="16.5">
      <c r="T876" s="86" t="s">
        <v>1901</v>
      </c>
      <c r="U876" s="92">
        <v>151.17999267578119</v>
      </c>
      <c r="V876" s="92">
        <v>145.06858825683591</v>
      </c>
      <c r="W876" s="104">
        <v>6958900</v>
      </c>
      <c r="X876" s="92">
        <v>5396.6298828125</v>
      </c>
    </row>
    <row r="877" spans="20:24" ht="16.5">
      <c r="T877" s="86" t="s">
        <v>1902</v>
      </c>
      <c r="U877" s="92">
        <v>146.55000305175781</v>
      </c>
      <c r="V877" s="92">
        <v>140.6257629394531</v>
      </c>
      <c r="W877" s="104">
        <v>10862500</v>
      </c>
      <c r="X877" s="92">
        <v>5275.7001953125</v>
      </c>
    </row>
    <row r="878" spans="20:24" ht="16.5">
      <c r="T878" s="86" t="s">
        <v>1903</v>
      </c>
      <c r="U878" s="92">
        <v>148.44000244140619</v>
      </c>
      <c r="V878" s="92">
        <v>142.4393615722656</v>
      </c>
      <c r="W878" s="104">
        <v>5739200</v>
      </c>
      <c r="X878" s="92">
        <v>5282.7001953125</v>
      </c>
    </row>
    <row r="879" spans="20:24" ht="16.5">
      <c r="T879" s="86" t="s">
        <v>1904</v>
      </c>
      <c r="U879" s="92">
        <v>145.61000061035159</v>
      </c>
      <c r="V879" s="92">
        <v>139.72373962402341</v>
      </c>
      <c r="W879" s="104">
        <v>8275000</v>
      </c>
      <c r="X879" s="92">
        <v>5158.2001953125</v>
      </c>
    </row>
    <row r="880" spans="20:24" ht="16.5">
      <c r="T880" s="86" t="s">
        <v>1905</v>
      </c>
      <c r="U880" s="92">
        <v>146.75999450683591</v>
      </c>
      <c r="V880" s="92">
        <v>140.8272705078125</v>
      </c>
      <c r="W880" s="104">
        <v>9139900</v>
      </c>
      <c r="X880" s="92">
        <v>5287.759765625</v>
      </c>
    </row>
    <row r="881" spans="20:24" ht="16.5">
      <c r="T881" s="86" t="s">
        <v>1906</v>
      </c>
      <c r="U881" s="92">
        <v>152.1499938964844</v>
      </c>
      <c r="V881" s="92">
        <v>145.99934387207031</v>
      </c>
      <c r="W881" s="104">
        <v>14125000</v>
      </c>
      <c r="X881" s="92">
        <v>5375.85986328125</v>
      </c>
    </row>
    <row r="882" spans="20:24" ht="16.5">
      <c r="T882" s="86" t="s">
        <v>1907</v>
      </c>
      <c r="U882" s="92">
        <v>162.1300048828125</v>
      </c>
      <c r="V882" s="92">
        <v>155.575927734375</v>
      </c>
      <c r="W882" s="104">
        <v>18950400</v>
      </c>
      <c r="X882" s="92">
        <v>5484.77001953125</v>
      </c>
    </row>
    <row r="883" spans="20:24" ht="16.5">
      <c r="T883" s="86" t="s">
        <v>1908</v>
      </c>
      <c r="U883" s="92">
        <v>162.86000061035159</v>
      </c>
      <c r="V883" s="92">
        <v>156.27641296386719</v>
      </c>
      <c r="W883" s="104">
        <v>8383300</v>
      </c>
      <c r="X883" s="92">
        <v>5525.2099609375</v>
      </c>
    </row>
    <row r="884" spans="20:24" ht="16.5">
      <c r="T884" s="86" t="s">
        <v>1909</v>
      </c>
      <c r="U884" s="92">
        <v>162.44000244140619</v>
      </c>
      <c r="V884" s="92">
        <v>155.87339782714841</v>
      </c>
      <c r="W884" s="104">
        <v>5170500</v>
      </c>
      <c r="X884" s="92">
        <v>5528.75</v>
      </c>
    </row>
    <row r="885" spans="20:24" ht="16.5">
      <c r="T885" s="86" t="s">
        <v>1910</v>
      </c>
      <c r="U885" s="92">
        <v>160.77000427246091</v>
      </c>
      <c r="V885" s="92">
        <v>154.27091979980469</v>
      </c>
      <c r="W885" s="104">
        <v>6566500</v>
      </c>
      <c r="X885" s="92">
        <v>5560.830078125</v>
      </c>
    </row>
    <row r="886" spans="20:24" ht="16.5">
      <c r="T886" s="86" t="s">
        <v>1911</v>
      </c>
      <c r="U886" s="92">
        <v>160.05000305175781</v>
      </c>
      <c r="V886" s="92">
        <v>154.8902587890625</v>
      </c>
      <c r="W886" s="104">
        <v>6158600</v>
      </c>
      <c r="X886" s="92">
        <v>5569.06005859375</v>
      </c>
    </row>
    <row r="887" spans="20:24" ht="16.5">
      <c r="T887" s="86" t="s">
        <v>1912</v>
      </c>
      <c r="U887" s="92">
        <v>158.25999450683591</v>
      </c>
      <c r="V887" s="92">
        <v>153.1579895019531</v>
      </c>
      <c r="W887" s="104">
        <v>6124900</v>
      </c>
      <c r="X887" s="92">
        <v>5604.14013671875</v>
      </c>
    </row>
    <row r="888" spans="20:24" ht="16.5">
      <c r="T888" s="86" t="s">
        <v>1913</v>
      </c>
      <c r="U888" s="92">
        <v>164.50999450683591</v>
      </c>
      <c r="V888" s="92">
        <v>159.20648193359381</v>
      </c>
      <c r="W888" s="104">
        <v>7642400</v>
      </c>
      <c r="X888" s="92">
        <v>5686.669921875</v>
      </c>
    </row>
    <row r="889" spans="20:24" ht="16.5">
      <c r="T889" s="86" t="s">
        <v>1914</v>
      </c>
      <c r="U889" s="92">
        <v>162.41999816894531</v>
      </c>
      <c r="V889" s="92">
        <v>157.1838684082031</v>
      </c>
      <c r="W889" s="104">
        <v>4803600</v>
      </c>
      <c r="X889" s="92">
        <v>5650.3798828125</v>
      </c>
    </row>
    <row r="890" spans="20:24" ht="16.5">
      <c r="T890" s="86" t="s">
        <v>1915</v>
      </c>
      <c r="U890" s="92">
        <v>161.0899963378906</v>
      </c>
      <c r="V890" s="92">
        <v>155.89674377441409</v>
      </c>
      <c r="W890" s="104">
        <v>4531400</v>
      </c>
      <c r="X890" s="92">
        <v>5606.91015625</v>
      </c>
    </row>
    <row r="891" spans="20:24" ht="16.5">
      <c r="T891" s="86" t="s">
        <v>1916</v>
      </c>
      <c r="U891" s="92">
        <v>164.78999328613281</v>
      </c>
      <c r="V891" s="92">
        <v>159.47746276855469</v>
      </c>
      <c r="W891" s="104">
        <v>5669700</v>
      </c>
      <c r="X891" s="92">
        <v>5631.27978515625</v>
      </c>
    </row>
    <row r="892" spans="20:24" ht="16.5">
      <c r="T892" s="86" t="s">
        <v>1917</v>
      </c>
      <c r="U892" s="92">
        <v>165.63999938964841</v>
      </c>
      <c r="V892" s="92">
        <v>160.300048828125</v>
      </c>
      <c r="W892" s="104">
        <v>5171200</v>
      </c>
      <c r="X892" s="92">
        <v>5663.93994140625</v>
      </c>
    </row>
    <row r="893" spans="20:24" ht="16.5">
      <c r="T893" s="86" t="s">
        <v>1918</v>
      </c>
      <c r="U893" s="92">
        <v>172.27000427246091</v>
      </c>
      <c r="V893" s="92">
        <v>166.71630859375</v>
      </c>
      <c r="W893" s="104">
        <v>8655100</v>
      </c>
      <c r="X893" s="92">
        <v>5659.91015625</v>
      </c>
    </row>
    <row r="894" spans="20:24" ht="16.5">
      <c r="T894" s="86" t="s">
        <v>1919</v>
      </c>
      <c r="U894" s="92">
        <v>187.2799987792969</v>
      </c>
      <c r="V894" s="92">
        <v>181.242431640625</v>
      </c>
      <c r="W894" s="104">
        <v>16210400</v>
      </c>
      <c r="X894" s="92">
        <v>5844.18994140625</v>
      </c>
    </row>
    <row r="895" spans="20:24" ht="16.5">
      <c r="T895" s="86" t="s">
        <v>1920</v>
      </c>
      <c r="U895" s="92">
        <v>188.19999694824219</v>
      </c>
      <c r="V895" s="92">
        <v>182.1327819824219</v>
      </c>
      <c r="W895" s="104">
        <v>9837500</v>
      </c>
      <c r="X895" s="92">
        <v>5886.5498046875</v>
      </c>
    </row>
    <row r="896" spans="20:24" ht="16.5">
      <c r="T896" s="86" t="s">
        <v>1921</v>
      </c>
      <c r="U896" s="92">
        <v>187.33999633789071</v>
      </c>
      <c r="V896" s="92">
        <v>181.30049133300781</v>
      </c>
      <c r="W896" s="104">
        <v>6552300</v>
      </c>
      <c r="X896" s="92">
        <v>5892.580078125</v>
      </c>
    </row>
    <row r="897" spans="20:24" ht="16.5">
      <c r="T897" s="86" t="s">
        <v>1922</v>
      </c>
      <c r="U897" s="92">
        <v>187.83000183105469</v>
      </c>
      <c r="V897" s="92">
        <v>181.7746887207031</v>
      </c>
      <c r="W897" s="104">
        <v>5534000</v>
      </c>
      <c r="X897" s="92">
        <v>5916.93017578125</v>
      </c>
    </row>
    <row r="898" spans="20:24" ht="16.5">
      <c r="T898" s="86" t="s">
        <v>1923</v>
      </c>
      <c r="U898" s="92">
        <v>188.5</v>
      </c>
      <c r="V898" s="92">
        <v>182.42308044433599</v>
      </c>
      <c r="W898" s="104">
        <v>4518700</v>
      </c>
      <c r="X898" s="92">
        <v>5958.3798828125</v>
      </c>
    </row>
    <row r="899" spans="20:24" ht="16.5">
      <c r="T899" s="86" t="s">
        <v>1924</v>
      </c>
      <c r="U899" s="92">
        <v>188.33999633789071</v>
      </c>
      <c r="V899" s="92">
        <v>182.26821899414071</v>
      </c>
      <c r="W899" s="104">
        <v>6460900</v>
      </c>
      <c r="X899" s="92">
        <v>5963.60009765625</v>
      </c>
    </row>
    <row r="900" spans="20:24" ht="16.5">
      <c r="T900" s="86" t="s">
        <v>1925</v>
      </c>
      <c r="U900" s="92">
        <v>188.71000671386719</v>
      </c>
      <c r="V900" s="92">
        <v>182.6263427734375</v>
      </c>
      <c r="W900" s="104">
        <v>5289200</v>
      </c>
      <c r="X900" s="92">
        <v>5940.4599609375</v>
      </c>
    </row>
    <row r="901" spans="20:24" ht="16.5">
      <c r="T901" s="86" t="s">
        <v>1926</v>
      </c>
      <c r="U901" s="92">
        <v>185.41999816894531</v>
      </c>
      <c r="V901" s="92">
        <v>179.4423828125</v>
      </c>
      <c r="W901" s="104">
        <v>8977400</v>
      </c>
      <c r="X901" s="92">
        <v>5844.60986328125</v>
      </c>
    </row>
    <row r="902" spans="20:24" ht="16.5">
      <c r="T902" s="86" t="s">
        <v>1927</v>
      </c>
      <c r="U902" s="92">
        <v>180.21000671386719</v>
      </c>
      <c r="V902" s="92">
        <v>174.4003601074219</v>
      </c>
      <c r="W902" s="104">
        <v>7500800</v>
      </c>
      <c r="X902" s="92">
        <v>5842.009765625</v>
      </c>
    </row>
    <row r="903" spans="20:24" ht="16.5">
      <c r="T903" s="86" t="s">
        <v>1928</v>
      </c>
      <c r="U903" s="92">
        <v>176.30000305175781</v>
      </c>
      <c r="V903" s="92">
        <v>170.61639404296881</v>
      </c>
      <c r="W903" s="104">
        <v>7416700</v>
      </c>
      <c r="X903" s="92">
        <v>5802.81982421875</v>
      </c>
    </row>
    <row r="904" spans="20:24" ht="16.5">
      <c r="T904" s="86" t="s">
        <v>1929</v>
      </c>
      <c r="U904" s="92">
        <v>183.24000549316409</v>
      </c>
      <c r="V904" s="92">
        <v>177.33265686035159</v>
      </c>
      <c r="W904" s="104">
        <v>7939400</v>
      </c>
      <c r="X904" s="92">
        <v>5921.5400390625</v>
      </c>
    </row>
    <row r="905" spans="20:24" ht="16.5">
      <c r="T905" s="86" t="s">
        <v>1930</v>
      </c>
      <c r="U905" s="92">
        <v>184.1499938964844</v>
      </c>
      <c r="V905" s="92">
        <v>178.21331787109381</v>
      </c>
      <c r="W905" s="104">
        <v>5752800</v>
      </c>
      <c r="X905" s="92">
        <v>5888.5498046875</v>
      </c>
    </row>
    <row r="906" spans="20:24" ht="16.5">
      <c r="T906" s="86" t="s">
        <v>1931</v>
      </c>
      <c r="U906" s="92">
        <v>184.99000549316409</v>
      </c>
      <c r="V906" s="92">
        <v>179.0262451171875</v>
      </c>
      <c r="W906" s="104">
        <v>4533800</v>
      </c>
      <c r="X906" s="92">
        <v>5912.169921875</v>
      </c>
    </row>
    <row r="907" spans="20:24" ht="16.5">
      <c r="T907" s="86" t="s">
        <v>1932</v>
      </c>
      <c r="U907" s="92">
        <v>182.8500061035156</v>
      </c>
      <c r="V907" s="92">
        <v>176.9552307128906</v>
      </c>
      <c r="W907" s="104">
        <v>15101100</v>
      </c>
      <c r="X907" s="92">
        <v>5911.68994140625</v>
      </c>
    </row>
    <row r="908" spans="20:24" ht="16.5">
      <c r="T908" s="86" t="s">
        <v>1933</v>
      </c>
      <c r="U908" s="92">
        <v>184.21000671386719</v>
      </c>
      <c r="V908" s="92">
        <v>178.2713928222656</v>
      </c>
      <c r="W908" s="104">
        <v>5648300</v>
      </c>
      <c r="X908" s="92">
        <v>5935.93994140625</v>
      </c>
    </row>
    <row r="909" spans="20:24" ht="16.5">
      <c r="T909" s="86" t="s">
        <v>1934</v>
      </c>
      <c r="U909" s="92">
        <v>188.08000183105469</v>
      </c>
      <c r="V909" s="92">
        <v>182.0166320800781</v>
      </c>
      <c r="W909" s="104">
        <v>5612600</v>
      </c>
      <c r="X909" s="92">
        <v>5970.3701171875</v>
      </c>
    </row>
    <row r="910" spans="20:24" ht="16.5">
      <c r="T910" s="86" t="s">
        <v>1935</v>
      </c>
      <c r="U910" s="92">
        <v>190.7200012207031</v>
      </c>
      <c r="V910" s="92">
        <v>184.57151794433599</v>
      </c>
      <c r="W910" s="104">
        <v>5780600</v>
      </c>
      <c r="X910" s="92">
        <v>5970.81005859375</v>
      </c>
    </row>
    <row r="911" spans="20:24" ht="16.5">
      <c r="T911" s="86" t="s">
        <v>1936</v>
      </c>
      <c r="U911" s="92">
        <v>190.49000549316409</v>
      </c>
      <c r="V911" s="92">
        <v>184.34893798828119</v>
      </c>
      <c r="W911" s="104">
        <v>6017700</v>
      </c>
      <c r="X911" s="92">
        <v>5939.2998046875</v>
      </c>
    </row>
    <row r="912" spans="20:24" ht="16.5">
      <c r="T912" s="86" t="s">
        <v>1937</v>
      </c>
      <c r="U912" s="92">
        <v>192.41999816894531</v>
      </c>
      <c r="V912" s="92">
        <v>186.21672058105469</v>
      </c>
      <c r="W912" s="104">
        <v>5338800</v>
      </c>
      <c r="X912" s="92">
        <v>6000.35986328125</v>
      </c>
    </row>
    <row r="913" spans="20:24" ht="16.5">
      <c r="T913" s="86" t="s">
        <v>1938</v>
      </c>
      <c r="U913" s="92">
        <v>199.21000671386719</v>
      </c>
      <c r="V913" s="92">
        <v>192.78782653808599</v>
      </c>
      <c r="W913" s="104">
        <v>6869700</v>
      </c>
      <c r="X913" s="92">
        <v>6005.8798828125</v>
      </c>
    </row>
    <row r="914" spans="20:24" ht="16.5">
      <c r="T914" s="86" t="s">
        <v>1939</v>
      </c>
      <c r="U914" s="92">
        <v>202.28999328613281</v>
      </c>
      <c r="V914" s="92">
        <v>195.7685241699219</v>
      </c>
      <c r="W914" s="104">
        <v>6247700</v>
      </c>
      <c r="X914" s="92">
        <v>6038.81005859375</v>
      </c>
    </row>
    <row r="915" spans="20:24" ht="16.5">
      <c r="T915" s="86" t="s">
        <v>1940</v>
      </c>
      <c r="U915" s="92">
        <v>199.69000244140619</v>
      </c>
      <c r="V915" s="92">
        <v>193.25236511230469</v>
      </c>
      <c r="W915" s="104">
        <v>5062100</v>
      </c>
      <c r="X915" s="92">
        <v>6022.240234375</v>
      </c>
    </row>
    <row r="916" spans="20:24" ht="16.5">
      <c r="T916" s="86" t="s">
        <v>1941</v>
      </c>
      <c r="U916" s="92">
        <v>199.66000366210929</v>
      </c>
      <c r="V916" s="92">
        <v>193.22331237792969</v>
      </c>
      <c r="W916" s="104">
        <v>3257600</v>
      </c>
      <c r="X916" s="92">
        <v>6045.259765625</v>
      </c>
    </row>
    <row r="917" spans="20:24" ht="16.5">
      <c r="T917" s="86" t="s">
        <v>1942</v>
      </c>
      <c r="U917" s="92">
        <v>195</v>
      </c>
      <c r="V917" s="92">
        <v>188.71353149414071</v>
      </c>
      <c r="W917" s="104">
        <v>5138200</v>
      </c>
      <c r="X917" s="92">
        <v>5976.97021484375</v>
      </c>
    </row>
    <row r="918" spans="20:24" ht="16.5">
      <c r="T918" s="86" t="s">
        <v>1943</v>
      </c>
      <c r="U918" s="92">
        <v>199.2200012207031</v>
      </c>
      <c r="V918" s="92">
        <v>192.79750061035159</v>
      </c>
      <c r="W918" s="104">
        <v>5864500</v>
      </c>
      <c r="X918" s="92">
        <v>6033.10986328125</v>
      </c>
    </row>
    <row r="919" spans="20:24" ht="16.5">
      <c r="T919" s="86" t="s">
        <v>1944</v>
      </c>
      <c r="U919" s="92">
        <v>197.69000244140619</v>
      </c>
      <c r="V919" s="92">
        <v>191.31683349609369</v>
      </c>
      <c r="W919" s="104">
        <v>4656300</v>
      </c>
      <c r="X919" s="92">
        <v>5982.72021484375</v>
      </c>
    </row>
    <row r="920" spans="20:24" ht="16.5">
      <c r="T920" s="86" t="s">
        <v>1945</v>
      </c>
      <c r="U920" s="92">
        <v>198.3500061035156</v>
      </c>
      <c r="V920" s="92">
        <v>191.95556640625</v>
      </c>
      <c r="W920" s="104">
        <v>3742000</v>
      </c>
      <c r="X920" s="92">
        <v>5980.8701171875</v>
      </c>
    </row>
    <row r="921" spans="20:24" ht="16.5">
      <c r="T921" s="86" t="s">
        <v>1946</v>
      </c>
      <c r="U921" s="92">
        <v>198.19999694824219</v>
      </c>
      <c r="V921" s="92">
        <v>191.81037902832031</v>
      </c>
      <c r="W921" s="104">
        <v>12910000</v>
      </c>
      <c r="X921" s="92">
        <v>5967.83984375</v>
      </c>
    </row>
    <row r="922" spans="20:24" ht="16.5">
      <c r="T922" s="86" t="s">
        <v>1947</v>
      </c>
      <c r="U922" s="92">
        <v>201.38999938964841</v>
      </c>
      <c r="V922" s="92">
        <v>194.89753723144531</v>
      </c>
      <c r="W922" s="104">
        <v>4565400</v>
      </c>
      <c r="X922" s="92">
        <v>6025.169921875</v>
      </c>
    </row>
    <row r="923" spans="20:24" ht="16.5">
      <c r="T923" s="86" t="s">
        <v>1948</v>
      </c>
      <c r="U923" s="92">
        <v>205.80999755859369</v>
      </c>
      <c r="V923" s="92">
        <v>199.175048828125</v>
      </c>
      <c r="W923" s="104">
        <v>7597800</v>
      </c>
      <c r="X923" s="92">
        <v>6092.18017578125</v>
      </c>
    </row>
    <row r="924" spans="20:24" ht="16.5">
      <c r="T924" s="86" t="s">
        <v>1949</v>
      </c>
      <c r="U924" s="92">
        <v>205.3800048828125</v>
      </c>
      <c r="V924" s="92">
        <v>198.75892639160159</v>
      </c>
      <c r="W924" s="104">
        <v>4748300</v>
      </c>
      <c r="X924" s="92">
        <v>6092.16015625</v>
      </c>
    </row>
    <row r="925" spans="20:24" ht="16.5">
      <c r="T925" s="86" t="s">
        <v>1950</v>
      </c>
      <c r="U925" s="92">
        <v>206.30999755859369</v>
      </c>
      <c r="V925" s="92">
        <v>199.658935546875</v>
      </c>
      <c r="W925" s="104">
        <v>4579200</v>
      </c>
      <c r="X925" s="92">
        <v>6141.02001953125</v>
      </c>
    </row>
    <row r="926" spans="20:24" ht="16.5">
      <c r="T926" s="86" t="s">
        <v>1951</v>
      </c>
      <c r="U926" s="92">
        <v>207.08000183105469</v>
      </c>
      <c r="V926" s="92">
        <v>200.40411376953119</v>
      </c>
      <c r="W926" s="104">
        <v>8585100</v>
      </c>
      <c r="X926" s="92">
        <v>6173.06982421875</v>
      </c>
    </row>
    <row r="927" spans="20:24" ht="16.5">
      <c r="T927" s="86" t="s">
        <v>1952</v>
      </c>
      <c r="U927" s="92">
        <v>207.6199951171875</v>
      </c>
      <c r="V927" s="92">
        <v>200.92669677734369</v>
      </c>
      <c r="W927" s="104">
        <v>5319900</v>
      </c>
      <c r="X927" s="92">
        <v>6204.9501953125</v>
      </c>
    </row>
    <row r="928" spans="20:24" ht="16.5">
      <c r="T928" s="86" t="s">
        <v>1953</v>
      </c>
      <c r="U928" s="92">
        <v>210.44999694824219</v>
      </c>
      <c r="V928" s="92">
        <v>203.66546630859369</v>
      </c>
      <c r="W928" s="104">
        <v>5856200</v>
      </c>
      <c r="X928" s="92">
        <v>6198.009765625</v>
      </c>
    </row>
    <row r="929" spans="20:24" ht="16.5">
      <c r="T929" s="86" t="s">
        <v>1954</v>
      </c>
      <c r="U929" s="92">
        <v>215.58999633789071</v>
      </c>
      <c r="V929" s="92">
        <v>208.63975524902341</v>
      </c>
      <c r="W929" s="104">
        <v>5533400</v>
      </c>
      <c r="X929" s="92">
        <v>6227.419921875</v>
      </c>
    </row>
    <row r="930" spans="20:24" ht="16.5">
      <c r="T930" s="86" t="s">
        <v>1955</v>
      </c>
      <c r="U930" s="92">
        <v>216.02000427246091</v>
      </c>
      <c r="V930" s="92">
        <v>209.055908203125</v>
      </c>
      <c r="W930" s="104">
        <v>2561100</v>
      </c>
      <c r="X930" s="92">
        <v>6279.35009765625</v>
      </c>
    </row>
    <row r="931" spans="20:24" ht="16.5">
      <c r="T931" s="86" t="s">
        <v>1956</v>
      </c>
      <c r="U931" s="92">
        <v>213.41000366210929</v>
      </c>
      <c r="V931" s="92">
        <v>206.530029296875</v>
      </c>
      <c r="W931" s="104">
        <v>5221400</v>
      </c>
      <c r="X931" s="92">
        <v>6229.97998046875</v>
      </c>
    </row>
    <row r="932" spans="20:24" ht="16.5">
      <c r="T932" s="86" t="s">
        <v>1957</v>
      </c>
      <c r="U932" s="92">
        <v>216.6300048828125</v>
      </c>
      <c r="V932" s="92">
        <v>209.646240234375</v>
      </c>
      <c r="W932" s="104">
        <v>6844600</v>
      </c>
      <c r="X932" s="92">
        <v>6225.52001953125</v>
      </c>
    </row>
    <row r="933" spans="20:24" ht="16.5">
      <c r="T933" s="86" t="s">
        <v>1958</v>
      </c>
      <c r="U933" s="92">
        <v>216.38999938964841</v>
      </c>
      <c r="V933" s="92">
        <v>209.41395568847659</v>
      </c>
      <c r="W933" s="104">
        <v>5231400</v>
      </c>
      <c r="X933" s="92">
        <v>6263.259765625</v>
      </c>
    </row>
    <row r="934" spans="20:24" ht="16.5">
      <c r="T934" s="86" t="s">
        <v>1959</v>
      </c>
      <c r="U934" s="92">
        <v>219.66000366210929</v>
      </c>
      <c r="V934" s="92">
        <v>212.57855224609369</v>
      </c>
      <c r="W934" s="104">
        <v>3971400</v>
      </c>
      <c r="X934" s="92">
        <v>6280.4599609375</v>
      </c>
    </row>
    <row r="935" spans="20:24" ht="16.5">
      <c r="T935" s="86" t="s">
        <v>1960</v>
      </c>
      <c r="U935" s="92">
        <v>221.25</v>
      </c>
      <c r="V935" s="92">
        <v>214.1172790527344</v>
      </c>
      <c r="W935" s="104">
        <v>5396300</v>
      </c>
      <c r="X935" s="92">
        <v>6259.75</v>
      </c>
    </row>
    <row r="936" spans="20:24" ht="16.5">
      <c r="T936" s="86" t="s">
        <v>1961</v>
      </c>
      <c r="U936" s="92">
        <v>220.05000305175781</v>
      </c>
      <c r="V936" s="92">
        <v>212.95599365234369</v>
      </c>
      <c r="W936" s="104">
        <v>4723600</v>
      </c>
      <c r="X936" s="92">
        <v>6268.56005859375</v>
      </c>
    </row>
    <row r="937" spans="20:24" ht="16.5">
      <c r="T937" s="86" t="s">
        <v>1962</v>
      </c>
      <c r="U937" s="92">
        <v>218.36000061035159</v>
      </c>
      <c r="V937" s="92">
        <v>211.32044982910159</v>
      </c>
      <c r="W937" s="104">
        <v>4419700</v>
      </c>
      <c r="X937" s="92">
        <v>6243.759765625</v>
      </c>
    </row>
    <row r="938" spans="20:24" ht="16.5">
      <c r="T938" s="86" t="s">
        <v>1963</v>
      </c>
      <c r="U938" s="92">
        <v>216.63999938964841</v>
      </c>
      <c r="V938" s="92">
        <v>209.65591430664071</v>
      </c>
      <c r="W938" s="104">
        <v>6420900</v>
      </c>
      <c r="X938" s="92">
        <v>6263.7001953125</v>
      </c>
    </row>
    <row r="939" spans="20:24" ht="16.5">
      <c r="T939" s="86" t="s">
        <v>1964</v>
      </c>
      <c r="U939" s="92">
        <v>216.58999633789071</v>
      </c>
      <c r="V939" s="92">
        <v>209.6075134277344</v>
      </c>
      <c r="W939" s="104">
        <v>4920100</v>
      </c>
      <c r="X939" s="92">
        <v>6297.35986328125</v>
      </c>
    </row>
    <row r="940" spans="20:24" ht="16.5">
      <c r="T940" s="86" t="s">
        <v>1965</v>
      </c>
      <c r="U940" s="92">
        <v>216.6199951171875</v>
      </c>
      <c r="V940" s="92">
        <v>209.63653564453119</v>
      </c>
      <c r="W940" s="104">
        <v>4550100</v>
      </c>
      <c r="X940" s="92">
        <v>6296.7900390625</v>
      </c>
    </row>
    <row r="941" spans="20:24" ht="16.5">
      <c r="T941" s="86" t="s">
        <v>1966</v>
      </c>
      <c r="U941" s="92">
        <v>214.57000732421881</v>
      </c>
      <c r="V941" s="92">
        <v>207.65264892578119</v>
      </c>
      <c r="W941" s="104">
        <v>8269800</v>
      </c>
      <c r="X941" s="92">
        <v>6305.60009765625</v>
      </c>
    </row>
    <row r="942" spans="20:24" ht="16.5">
      <c r="T942" s="86" t="s">
        <v>1967</v>
      </c>
      <c r="U942" s="92">
        <v>214.91999816894531</v>
      </c>
      <c r="V942" s="92">
        <v>207.99134826660159</v>
      </c>
      <c r="W942" s="104">
        <v>11730800</v>
      </c>
      <c r="X942" s="92">
        <v>6309.6201171875</v>
      </c>
    </row>
    <row r="943" spans="20:24" ht="16.5">
      <c r="T943" s="86" t="s">
        <v>1968</v>
      </c>
      <c r="U943" s="92">
        <v>186.25</v>
      </c>
      <c r="V943" s="92">
        <v>180.24562072753901</v>
      </c>
      <c r="W943" s="104">
        <v>30755700</v>
      </c>
      <c r="X943" s="92">
        <v>6358.91015625</v>
      </c>
    </row>
    <row r="944" spans="20:24" ht="16.5">
      <c r="T944" s="86" t="s">
        <v>1969</v>
      </c>
      <c r="U944" s="92">
        <v>185.69000244140619</v>
      </c>
      <c r="V944" s="92">
        <v>179.70367431640619</v>
      </c>
      <c r="W944" s="104">
        <v>9049500</v>
      </c>
      <c r="X944" s="92">
        <v>6363.35009765625</v>
      </c>
    </row>
    <row r="945" spans="20:24" ht="16.5">
      <c r="T945" s="86" t="s">
        <v>1970</v>
      </c>
      <c r="U945" s="92">
        <v>184.99000549316409</v>
      </c>
      <c r="V945" s="92">
        <v>179.0262451171875</v>
      </c>
      <c r="W945" s="104">
        <v>7031800</v>
      </c>
      <c r="X945" s="92">
        <v>6388.64013671875</v>
      </c>
    </row>
    <row r="946" spans="20:24" ht="16.5">
      <c r="T946" s="86" t="s">
        <v>1971</v>
      </c>
      <c r="U946" s="92">
        <v>189.25</v>
      </c>
      <c r="V946" s="92">
        <v>183.14891052246091</v>
      </c>
      <c r="W946" s="104">
        <v>8586800</v>
      </c>
      <c r="X946" s="92">
        <v>6389.77001953125</v>
      </c>
    </row>
    <row r="947" spans="20:24" ht="16.5">
      <c r="T947" s="86" t="s">
        <v>1972</v>
      </c>
      <c r="U947" s="92">
        <v>191.3800048828125</v>
      </c>
      <c r="V947" s="92">
        <v>185.2102355957031</v>
      </c>
      <c r="W947" s="104">
        <v>7144700</v>
      </c>
      <c r="X947" s="92">
        <v>6370.85986328125</v>
      </c>
    </row>
    <row r="948" spans="20:24" ht="16.5">
      <c r="T948" s="86" t="s">
        <v>1973</v>
      </c>
      <c r="U948" s="92">
        <v>189.52000427246091</v>
      </c>
      <c r="V948" s="92">
        <v>183.41020202636719</v>
      </c>
      <c r="W948" s="104">
        <v>6985100</v>
      </c>
      <c r="X948" s="92">
        <v>6362.89990234375</v>
      </c>
    </row>
    <row r="949" spans="20:24" ht="16.5">
      <c r="T949" s="86" t="s">
        <v>1974</v>
      </c>
      <c r="U949" s="92">
        <v>181.05999755859369</v>
      </c>
      <c r="V949" s="92">
        <v>176.48944091796881</v>
      </c>
      <c r="W949" s="104">
        <v>10144000</v>
      </c>
      <c r="X949" s="92">
        <v>6339.39013671875</v>
      </c>
    </row>
    <row r="950" spans="20:24" ht="16.5">
      <c r="T950" s="86" t="s">
        <v>1975</v>
      </c>
      <c r="U950" s="92">
        <v>180.86000061035159</v>
      </c>
      <c r="V950" s="92">
        <v>176.29449462890619</v>
      </c>
      <c r="W950" s="104">
        <v>6625100</v>
      </c>
      <c r="X950" s="92">
        <v>6238.009765625</v>
      </c>
    </row>
    <row r="951" spans="20:24" ht="16.5">
      <c r="T951" s="86" t="s">
        <v>1976</v>
      </c>
      <c r="U951" s="92">
        <v>182.72999572753901</v>
      </c>
      <c r="V951" s="92">
        <v>178.1172790527344</v>
      </c>
      <c r="W951" s="104">
        <v>4682700</v>
      </c>
      <c r="X951" s="92">
        <v>6329.93994140625</v>
      </c>
    </row>
    <row r="952" spans="20:24" ht="16.5">
      <c r="T952" s="86" t="s">
        <v>1977</v>
      </c>
      <c r="U952" s="92">
        <v>185.3999938964844</v>
      </c>
      <c r="V952" s="92">
        <v>180.71986389160159</v>
      </c>
      <c r="W952" s="104">
        <v>5761900</v>
      </c>
      <c r="X952" s="92">
        <v>6299.18994140625</v>
      </c>
    </row>
    <row r="953" spans="20:24" ht="16.5">
      <c r="T953" s="86" t="s">
        <v>1978</v>
      </c>
      <c r="U953" s="92">
        <v>185.91000366210929</v>
      </c>
      <c r="V953" s="92">
        <v>181.2170104980469</v>
      </c>
      <c r="W953" s="104">
        <v>7089000</v>
      </c>
      <c r="X953" s="92">
        <v>6345.06005859375</v>
      </c>
    </row>
    <row r="954" spans="20:24" ht="16.5">
      <c r="T954" s="86" t="s">
        <v>1979</v>
      </c>
      <c r="U954" s="92">
        <v>185.91000366210929</v>
      </c>
      <c r="V954" s="92">
        <v>181.2170104980469</v>
      </c>
      <c r="W954" s="104">
        <v>6563900</v>
      </c>
      <c r="X954" s="92">
        <v>6340</v>
      </c>
    </row>
    <row r="955" spans="20:24" ht="16.5">
      <c r="T955" s="86" t="s">
        <v>1980</v>
      </c>
      <c r="U955" s="92">
        <v>187.2200012207031</v>
      </c>
      <c r="V955" s="92">
        <v>182.4939270019531</v>
      </c>
      <c r="W955" s="104">
        <v>5946200</v>
      </c>
      <c r="X955" s="92">
        <v>6389.4501953125</v>
      </c>
    </row>
    <row r="956" spans="20:24" ht="16.5">
      <c r="T956" s="86" t="s">
        <v>1981</v>
      </c>
      <c r="U956" s="92">
        <v>183.71000671386719</v>
      </c>
      <c r="V956" s="92">
        <v>179.0725402832031</v>
      </c>
      <c r="W956" s="104">
        <v>6457800</v>
      </c>
      <c r="X956" s="92">
        <v>6373.4501953125</v>
      </c>
    </row>
    <row r="957" spans="20:24" ht="16.5">
      <c r="T957" s="86" t="s">
        <v>1982</v>
      </c>
      <c r="U957" s="92">
        <v>192.9700012207031</v>
      </c>
      <c r="V957" s="92">
        <v>188.09880065917969</v>
      </c>
      <c r="W957" s="104">
        <v>9961500</v>
      </c>
      <c r="X957" s="92">
        <v>6445.759765625</v>
      </c>
    </row>
    <row r="958" spans="20:24" ht="16.5">
      <c r="T958" s="86" t="s">
        <v>1983</v>
      </c>
      <c r="U958" s="92">
        <v>193.28999328613281</v>
      </c>
      <c r="V958" s="92">
        <v>188.41069030761719</v>
      </c>
      <c r="W958" s="104">
        <v>4966300</v>
      </c>
      <c r="X958" s="92">
        <v>6466.580078125</v>
      </c>
    </row>
    <row r="959" spans="20:24" ht="16.5">
      <c r="T959" s="86" t="s">
        <v>1984</v>
      </c>
      <c r="U959" s="92">
        <v>193.71000671386719</v>
      </c>
      <c r="V959" s="92">
        <v>188.82011413574219</v>
      </c>
      <c r="W959" s="104">
        <v>3917300</v>
      </c>
      <c r="X959" s="92">
        <v>6468.5400390625</v>
      </c>
    </row>
    <row r="960" spans="20:24" ht="16.5">
      <c r="T960" s="86" t="s">
        <v>1985</v>
      </c>
      <c r="U960" s="92">
        <v>194.57000732421881</v>
      </c>
      <c r="V960" s="92">
        <v>189.65840148925781</v>
      </c>
      <c r="W960" s="104">
        <v>5872900</v>
      </c>
      <c r="X960" s="92">
        <v>6449.7998046875</v>
      </c>
    </row>
    <row r="961" spans="20:24" ht="16.5">
      <c r="T961" s="86" t="s">
        <v>1986</v>
      </c>
      <c r="U961" s="92">
        <v>194.33000183105469</v>
      </c>
      <c r="V961" s="92">
        <v>189.42446899414071</v>
      </c>
      <c r="W961" s="104">
        <v>2763600</v>
      </c>
      <c r="X961" s="92">
        <v>6449.14990234375</v>
      </c>
    </row>
    <row r="962" spans="20:24" ht="16.5">
      <c r="T962" s="86" t="s">
        <v>1987</v>
      </c>
      <c r="U962" s="92">
        <v>195.94000244140619</v>
      </c>
      <c r="V962" s="92">
        <v>190.99380493164071</v>
      </c>
      <c r="W962" s="104">
        <v>5491100</v>
      </c>
      <c r="X962" s="92">
        <v>6411.3701171875</v>
      </c>
    </row>
    <row r="963" spans="20:24" ht="16.5">
      <c r="T963" s="86" t="s">
        <v>1988</v>
      </c>
      <c r="U963" s="92">
        <v>200.77000427246091</v>
      </c>
      <c r="V963" s="92">
        <v>195.70188903808599</v>
      </c>
      <c r="W963" s="104">
        <v>8107300</v>
      </c>
      <c r="X963" s="92">
        <v>6395.77978515625</v>
      </c>
    </row>
    <row r="964" spans="20:24" ht="16.5">
      <c r="T964" s="86" t="s">
        <v>1989</v>
      </c>
      <c r="U964" s="92">
        <v>200.71000671386719</v>
      </c>
      <c r="V964" s="92">
        <v>195.64341735839841</v>
      </c>
      <c r="W964" s="104">
        <v>5291100</v>
      </c>
      <c r="X964" s="92">
        <v>6370.169921875</v>
      </c>
    </row>
    <row r="965" spans="20:24" ht="16.5">
      <c r="T965" s="86" t="s">
        <v>1990</v>
      </c>
      <c r="U965" s="92">
        <v>206.05999755859369</v>
      </c>
      <c r="V965" s="92">
        <v>200.8583679199219</v>
      </c>
      <c r="W965" s="104">
        <v>6177700</v>
      </c>
      <c r="X965" s="92">
        <v>6466.91015625</v>
      </c>
    </row>
    <row r="966" spans="20:24" ht="16.5">
      <c r="T966" s="86" t="s">
        <v>1991</v>
      </c>
      <c r="U966" s="92">
        <v>205.9700012207031</v>
      </c>
      <c r="V966" s="92">
        <v>200.7706298828125</v>
      </c>
      <c r="W966" s="104">
        <v>3442600</v>
      </c>
      <c r="X966" s="92">
        <v>6439.31982421875</v>
      </c>
    </row>
    <row r="967" spans="20:24" ht="16.5">
      <c r="T967" s="86" t="s">
        <v>1992</v>
      </c>
      <c r="U967" s="92">
        <v>205.97999572753901</v>
      </c>
      <c r="V967" s="92">
        <v>200.7803649902344</v>
      </c>
      <c r="W967" s="104">
        <v>4549700</v>
      </c>
      <c r="X967" s="92">
        <v>6465.93994140625</v>
      </c>
    </row>
    <row r="968" spans="20:24" ht="16.5">
      <c r="T968" s="86" t="s">
        <v>1993</v>
      </c>
      <c r="U968" s="92">
        <v>205.4700012207031</v>
      </c>
      <c r="V968" s="92">
        <v>200.28324890136719</v>
      </c>
      <c r="W968" s="104">
        <v>4189700</v>
      </c>
      <c r="X968" s="92">
        <v>6481.39990234375</v>
      </c>
    </row>
    <row r="969" spans="20:24" ht="16.5">
      <c r="T969" s="86" t="s">
        <v>1994</v>
      </c>
      <c r="U969" s="92">
        <v>204.08999633789071</v>
      </c>
      <c r="V969" s="92">
        <v>198.9380798339844</v>
      </c>
      <c r="W969" s="104">
        <v>6166400</v>
      </c>
      <c r="X969" s="92">
        <v>6501.85986328125</v>
      </c>
    </row>
    <row r="970" spans="20:24" ht="16.5">
      <c r="T970" s="86" t="s">
        <v>1995</v>
      </c>
      <c r="U970" s="92">
        <v>202.47999572753901</v>
      </c>
      <c r="V970" s="92">
        <v>197.36872863769531</v>
      </c>
      <c r="W970" s="104">
        <v>5372700</v>
      </c>
      <c r="X970" s="92">
        <v>6460.259765625</v>
      </c>
    </row>
    <row r="971" spans="20:24" ht="16.5">
      <c r="T971" s="86" t="s">
        <v>1996</v>
      </c>
      <c r="U971" s="92">
        <v>199.80999755859369</v>
      </c>
      <c r="V971" s="92">
        <v>194.76612854003901</v>
      </c>
      <c r="W971" s="104">
        <v>6238400</v>
      </c>
      <c r="X971" s="92">
        <v>6415.5400390625</v>
      </c>
    </row>
    <row r="972" spans="20:24" ht="16.5">
      <c r="T972" s="86" t="s">
        <v>1997</v>
      </c>
      <c r="U972" s="92">
        <v>195.74000549316409</v>
      </c>
      <c r="V972" s="92">
        <v>190.79887390136719</v>
      </c>
      <c r="W972" s="104">
        <v>7039600</v>
      </c>
      <c r="X972" s="92">
        <v>6448.259765625</v>
      </c>
    </row>
    <row r="973" spans="20:24" ht="16.5">
      <c r="T973" s="86" t="s">
        <v>1998</v>
      </c>
      <c r="U973" s="92">
        <v>187.28999328613281</v>
      </c>
      <c r="V973" s="92">
        <v>182.56214904785159</v>
      </c>
      <c r="W973" s="104">
        <v>11335900</v>
      </c>
      <c r="X973" s="92">
        <v>6502.080078125</v>
      </c>
    </row>
    <row r="974" spans="20:24" ht="16.5">
      <c r="T974" s="86" t="s">
        <v>1999</v>
      </c>
      <c r="U974" s="92">
        <v>187.92999267578119</v>
      </c>
      <c r="V974" s="92">
        <v>183.1860046386719</v>
      </c>
      <c r="W974" s="104">
        <v>9491200</v>
      </c>
      <c r="X974" s="92">
        <v>6481.5</v>
      </c>
    </row>
    <row r="975" spans="20:24" ht="16.5">
      <c r="T975" s="86" t="s">
        <v>2000</v>
      </c>
      <c r="U975" s="92">
        <v>185.82000732421881</v>
      </c>
      <c r="V975" s="92">
        <v>181.12928771972659</v>
      </c>
      <c r="W975" s="104">
        <v>9701200</v>
      </c>
      <c r="X975" s="92">
        <v>6495.14990234375</v>
      </c>
    </row>
    <row r="976" spans="20:24" ht="16.5">
      <c r="T976" s="86" t="s">
        <v>2001</v>
      </c>
      <c r="U976" s="92">
        <v>185.0299987792969</v>
      </c>
      <c r="V976" s="92">
        <v>180.35922241210929</v>
      </c>
      <c r="W976" s="104">
        <v>6135000</v>
      </c>
      <c r="X976" s="92">
        <v>6512.60986328125</v>
      </c>
    </row>
    <row r="977" spans="20:24" ht="16.5">
      <c r="T977" s="86" t="s">
        <v>2002</v>
      </c>
      <c r="U977" s="92">
        <v>184.00999450683599</v>
      </c>
      <c r="V977" s="92">
        <v>179.36497497558591</v>
      </c>
      <c r="W977" s="104">
        <v>5957500</v>
      </c>
      <c r="X977" s="92">
        <v>6532.0400390625</v>
      </c>
    </row>
    <row r="978" spans="20:24" ht="16.5">
      <c r="T978" s="86" t="s">
        <v>2003</v>
      </c>
      <c r="U978" s="92">
        <v>184.3500061035156</v>
      </c>
      <c r="V978" s="92">
        <v>179.69639587402341</v>
      </c>
      <c r="W978" s="104">
        <v>6596000</v>
      </c>
      <c r="X978" s="92">
        <v>6587.47021484375</v>
      </c>
    </row>
    <row r="979" spans="20:24" ht="16.5">
      <c r="T979" s="86" t="s">
        <v>2004</v>
      </c>
      <c r="U979" s="92">
        <v>182.6000061035156</v>
      </c>
      <c r="V979" s="92">
        <v>177.9905700683594</v>
      </c>
      <c r="W979" s="104">
        <v>6284200</v>
      </c>
      <c r="X979" s="92">
        <v>6584.2900390625</v>
      </c>
    </row>
    <row r="980" spans="20:24" ht="16.5">
      <c r="T980" s="86" t="s">
        <v>2005</v>
      </c>
      <c r="U980" s="92">
        <v>178.19999694824219</v>
      </c>
      <c r="V980" s="92">
        <v>173.70161437988281</v>
      </c>
      <c r="W980" s="104">
        <v>11658400</v>
      </c>
      <c r="X980" s="92">
        <v>6615.27978515625</v>
      </c>
    </row>
    <row r="981" spans="20:24" ht="16.5">
      <c r="T981" s="86" t="s">
        <v>2006</v>
      </c>
      <c r="U981" s="92">
        <v>177.6300048828125</v>
      </c>
      <c r="V981" s="92">
        <v>173.1460266113281</v>
      </c>
      <c r="W981" s="104">
        <v>7920300</v>
      </c>
      <c r="X981" s="92">
        <v>6606.759765625</v>
      </c>
    </row>
    <row r="982" spans="20:24" ht="16.5">
      <c r="T982" s="86" t="s">
        <v>2007</v>
      </c>
      <c r="U982" s="92">
        <v>180.30000305175781</v>
      </c>
      <c r="V982" s="92">
        <v>175.7486267089844</v>
      </c>
      <c r="W982" s="104">
        <v>7209700</v>
      </c>
      <c r="X982" s="92">
        <v>6600.35009765625</v>
      </c>
    </row>
    <row r="983" spans="20:24" ht="16.5">
      <c r="T983" s="86" t="s">
        <v>2008</v>
      </c>
      <c r="U983" s="92">
        <v>181.6199951171875</v>
      </c>
      <c r="V983" s="92">
        <v>177.0353088378906</v>
      </c>
      <c r="W983" s="104">
        <v>7937100</v>
      </c>
      <c r="X983" s="92">
        <v>6631.9599609375</v>
      </c>
    </row>
    <row r="984" spans="20:24" ht="16.5">
      <c r="T984" s="86" t="s">
        <v>2009</v>
      </c>
      <c r="U984" s="92">
        <v>179.3699951171875</v>
      </c>
      <c r="V984" s="92">
        <v>174.84208679199219</v>
      </c>
      <c r="W984" s="104">
        <v>16206700</v>
      </c>
      <c r="X984" s="92">
        <v>6664.35986328125</v>
      </c>
    </row>
    <row r="985" spans="20:24" ht="16.5">
      <c r="T985" s="86" t="s">
        <v>2010</v>
      </c>
      <c r="U985" s="92">
        <v>179.6199951171875</v>
      </c>
      <c r="V985" s="92">
        <v>175.0857849121094</v>
      </c>
      <c r="W985" s="104">
        <v>7030300</v>
      </c>
      <c r="X985" s="92">
        <v>6693.75</v>
      </c>
    </row>
    <row r="986" spans="20:24" ht="16.5">
      <c r="T986" s="86" t="s">
        <v>2011</v>
      </c>
      <c r="U986" s="92">
        <v>182.03999328613281</v>
      </c>
      <c r="V986" s="92">
        <v>177.4447021484375</v>
      </c>
      <c r="W986" s="104">
        <v>5900800</v>
      </c>
      <c r="X986" s="92">
        <v>6656.919921875</v>
      </c>
    </row>
    <row r="987" spans="20:24" ht="16.5">
      <c r="T987" s="86" t="s">
        <v>2012</v>
      </c>
      <c r="U987" s="92">
        <v>184.44000244140619</v>
      </c>
      <c r="V987" s="92">
        <v>179.78410339355469</v>
      </c>
      <c r="W987" s="104">
        <v>5905100</v>
      </c>
      <c r="X987" s="92">
        <v>6637.97021484375</v>
      </c>
    </row>
    <row r="988" spans="20:24" ht="16.5">
      <c r="T988" s="86" t="s">
        <v>2013</v>
      </c>
      <c r="U988" s="92">
        <v>182.03999328613281</v>
      </c>
      <c r="V988" s="92">
        <v>177.4447021484375</v>
      </c>
      <c r="W988" s="104">
        <v>4042300</v>
      </c>
      <c r="X988" s="92">
        <v>6604.72021484375</v>
      </c>
    </row>
    <row r="989" spans="20:24" ht="16.5">
      <c r="T989" s="86" t="s">
        <v>2014</v>
      </c>
      <c r="U989" s="92">
        <v>184.55000305175781</v>
      </c>
      <c r="V989" s="92">
        <v>179.89134216308591</v>
      </c>
      <c r="W989" s="104">
        <v>6206300</v>
      </c>
      <c r="X989" s="92">
        <v>6643.7001953125</v>
      </c>
    </row>
    <row r="990" spans="20:24" ht="16.5">
      <c r="T990" s="86" t="s">
        <v>2015</v>
      </c>
      <c r="U990" s="92">
        <v>183.22999572753901</v>
      </c>
      <c r="V990" s="92">
        <v>178.6046447753906</v>
      </c>
      <c r="W990" s="104">
        <v>5090700</v>
      </c>
      <c r="X990" s="92">
        <v>6661.2099609375</v>
      </c>
    </row>
    <row r="991" spans="20:24" ht="16.5">
      <c r="T991" s="86" t="s">
        <v>2016</v>
      </c>
      <c r="U991" s="92">
        <v>183.72999572753901</v>
      </c>
      <c r="V991" s="92">
        <v>179.092041015625</v>
      </c>
      <c r="W991" s="104">
        <v>3873100</v>
      </c>
      <c r="X991" s="92">
        <v>6688.4599609375</v>
      </c>
    </row>
    <row r="992" spans="20:24" ht="16.5">
      <c r="T992" s="86" t="s">
        <v>2017</v>
      </c>
      <c r="U992" s="92">
        <v>180.38999938964841</v>
      </c>
      <c r="V992" s="92">
        <v>175.83634948730469</v>
      </c>
      <c r="W992" s="104">
        <v>7705000</v>
      </c>
      <c r="X992" s="92">
        <v>6711.2001953125</v>
      </c>
    </row>
    <row r="993" spans="20:24" ht="16.5">
      <c r="T993" s="86" t="s">
        <v>2018</v>
      </c>
      <c r="U993" s="92">
        <v>182.32000732421881</v>
      </c>
      <c r="V993" s="92">
        <v>177.71763610839841</v>
      </c>
      <c r="W993" s="104">
        <v>6798000</v>
      </c>
      <c r="X993" s="92">
        <v>6715.35009765625</v>
      </c>
    </row>
    <row r="994" spans="20:24" ht="16.5">
      <c r="T994" s="86" t="s">
        <v>2019</v>
      </c>
      <c r="U994" s="92">
        <v>180.32000732421881</v>
      </c>
      <c r="V994" s="92">
        <v>175.76812744140619</v>
      </c>
      <c r="W994" s="104">
        <v>5167600</v>
      </c>
      <c r="X994" s="92">
        <v>6715.7900390625</v>
      </c>
    </row>
    <row r="995" spans="20:24" ht="16.5">
      <c r="T995" s="86" t="s">
        <v>2020</v>
      </c>
      <c r="U995" s="92">
        <v>181.80999755859369</v>
      </c>
      <c r="V995" s="92">
        <v>177.22050476074219</v>
      </c>
      <c r="W995" s="104">
        <v>6019800</v>
      </c>
      <c r="X995" s="92">
        <v>6740.27978515625</v>
      </c>
    </row>
    <row r="996" spans="20:24" ht="16.5">
      <c r="T996" s="86" t="s">
        <v>2021</v>
      </c>
      <c r="U996" s="92">
        <v>177.05000305175781</v>
      </c>
      <c r="V996" s="92">
        <v>172.5806579589844</v>
      </c>
      <c r="W996" s="104">
        <v>5396100</v>
      </c>
      <c r="X996" s="92">
        <v>6714.58984375</v>
      </c>
    </row>
    <row r="997" spans="20:24" ht="16.5">
      <c r="T997" s="86" t="s">
        <v>2022</v>
      </c>
      <c r="U997" s="92">
        <v>181.6000061035156</v>
      </c>
      <c r="V997" s="92">
        <v>177.01580810546881</v>
      </c>
      <c r="W997" s="104">
        <v>6377700</v>
      </c>
      <c r="X997" s="92">
        <v>6753.72021484375</v>
      </c>
    </row>
    <row r="998" spans="20:24" ht="16.5">
      <c r="T998" s="86" t="s">
        <v>2023</v>
      </c>
      <c r="U998" s="92">
        <v>178.96000671386719</v>
      </c>
      <c r="V998" s="92">
        <v>174.44245910644531</v>
      </c>
      <c r="W998" s="104">
        <v>5006100</v>
      </c>
      <c r="X998" s="92">
        <v>6735.10986328125</v>
      </c>
    </row>
    <row r="999" spans="20:24" ht="16.5">
      <c r="T999" s="86" t="s">
        <v>2024</v>
      </c>
      <c r="U999" s="92">
        <v>171.69999694824219</v>
      </c>
      <c r="V999" s="92">
        <v>167.36570739746091</v>
      </c>
      <c r="W999" s="104">
        <v>9630200</v>
      </c>
      <c r="X999" s="92">
        <v>6552.509765625</v>
      </c>
    </row>
    <row r="1000" spans="20:24" ht="16.5">
      <c r="T1000" s="86" t="s">
        <v>2025</v>
      </c>
      <c r="U1000" s="92">
        <v>175.11000061035159</v>
      </c>
      <c r="V1000" s="92">
        <v>170.68963623046881</v>
      </c>
      <c r="W1000" s="104">
        <v>8610300</v>
      </c>
      <c r="X1000" s="92">
        <v>6654.72021484375</v>
      </c>
    </row>
    <row r="1001" spans="20:24" ht="16.5">
      <c r="T1001" s="86" t="s">
        <v>2026</v>
      </c>
      <c r="U1001" s="92">
        <v>173.94000244140619</v>
      </c>
      <c r="V1001" s="92">
        <v>169.5491638183594</v>
      </c>
      <c r="W1001" s="104">
        <v>9919400</v>
      </c>
      <c r="X1001" s="92">
        <v>6644.31005859375</v>
      </c>
    </row>
    <row r="1002" spans="20:24" ht="16.5">
      <c r="T1002" s="86" t="s">
        <v>2027</v>
      </c>
      <c r="U1002" s="92">
        <v>175.27000427246091</v>
      </c>
      <c r="V1002" s="92">
        <v>170.8456115722656</v>
      </c>
      <c r="W1002" s="104">
        <v>9416800</v>
      </c>
      <c r="X1002" s="92">
        <v>6671.06005859375</v>
      </c>
    </row>
    <row r="1003" spans="20:24" ht="16.5">
      <c r="T1003" s="86" t="s">
        <v>2028</v>
      </c>
      <c r="U1003" s="92">
        <v>175.47999572753909</v>
      </c>
      <c r="V1003" s="92">
        <v>171.05029296875</v>
      </c>
      <c r="W1003" s="104">
        <v>7188200</v>
      </c>
      <c r="X1003" s="92">
        <v>6629.06982421875</v>
      </c>
    </row>
    <row r="1004" spans="20:24" ht="16.5">
      <c r="T1004" s="86" t="s">
        <v>2029</v>
      </c>
      <c r="U1004" s="92">
        <v>176.58000183105469</v>
      </c>
      <c r="V1004" s="92">
        <v>172.12254333496091</v>
      </c>
      <c r="W1004" s="104">
        <v>5082600</v>
      </c>
      <c r="X1004" s="92">
        <v>6664.009765625</v>
      </c>
    </row>
    <row r="1005" spans="20:24" ht="16.5">
      <c r="T1005" s="86" t="s">
        <v>2030</v>
      </c>
      <c r="U1005" s="92">
        <v>179.5899963378906</v>
      </c>
      <c r="V1005" s="92">
        <v>175.0565490722656</v>
      </c>
      <c r="W1005" s="104">
        <v>6620200</v>
      </c>
      <c r="X1005" s="92">
        <v>6735.1298828125</v>
      </c>
    </row>
    <row r="1006" spans="20:24" ht="16.5">
      <c r="T1006" s="86" t="s">
        <v>2031</v>
      </c>
      <c r="U1006" s="92">
        <v>180.83999633789071</v>
      </c>
      <c r="V1006" s="92">
        <v>176.2749938964844</v>
      </c>
      <c r="W1006" s="104">
        <v>10301500</v>
      </c>
      <c r="X1006" s="92">
        <v>6735.35009765625</v>
      </c>
    </row>
    <row r="1007" spans="20:24" ht="16.5">
      <c r="T1007" s="86" t="s">
        <v>2032</v>
      </c>
      <c r="U1007" s="92">
        <v>170.71000671386719</v>
      </c>
      <c r="V1007" s="92">
        <v>166.40069580078119</v>
      </c>
      <c r="W1007" s="104">
        <v>25834500</v>
      </c>
      <c r="X1007" s="92">
        <v>6699.39990234375</v>
      </c>
    </row>
    <row r="1008" spans="20:24" ht="16.5">
      <c r="T1008" s="86" t="s">
        <v>2033</v>
      </c>
      <c r="U1008" s="92">
        <v>172.19000244140619</v>
      </c>
      <c r="V1008" s="92">
        <v>167.8433532714844</v>
      </c>
      <c r="W1008" s="104">
        <v>8412500</v>
      </c>
      <c r="X1008" s="92">
        <v>6738.43994140625</v>
      </c>
    </row>
    <row r="1009" spans="20:24" ht="16.5">
      <c r="T1009" s="86" t="s">
        <v>2034</v>
      </c>
      <c r="U1009" s="92">
        <v>169.1300048828125</v>
      </c>
      <c r="V1009" s="92">
        <v>164.860595703125</v>
      </c>
      <c r="W1009" s="104">
        <v>7691800</v>
      </c>
      <c r="X1009" s="92">
        <v>6791.68994140625</v>
      </c>
    </row>
    <row r="1010" spans="20:24" ht="16.5">
      <c r="T1010" s="86" t="s">
        <v>2035</v>
      </c>
      <c r="U1010" s="92">
        <v>169.4100036621094</v>
      </c>
      <c r="V1010" s="92">
        <v>165.1335144042969</v>
      </c>
      <c r="W1010" s="104">
        <v>8606300</v>
      </c>
      <c r="X1010" s="92">
        <v>6875.16015625</v>
      </c>
    </row>
    <row r="1011" spans="20:24" ht="16.5">
      <c r="T1011" s="86" t="s">
        <v>2036</v>
      </c>
      <c r="U1011" s="92">
        <v>166.9100036621094</v>
      </c>
      <c r="V1011" s="92">
        <v>162.6966247558594</v>
      </c>
      <c r="W1011" s="104">
        <v>9646600</v>
      </c>
      <c r="X1011" s="92">
        <v>6890.89013671875</v>
      </c>
    </row>
    <row r="1012" spans="20:24" ht="16.5">
      <c r="T1012" s="86" t="s">
        <v>2037</v>
      </c>
      <c r="U1012" s="92">
        <v>160.25999450683591</v>
      </c>
      <c r="V1012" s="92">
        <v>156.21449279785159</v>
      </c>
      <c r="W1012" s="104">
        <v>11961900</v>
      </c>
      <c r="X1012" s="92">
        <v>6890.58984375</v>
      </c>
    </row>
    <row r="1013" spans="20:24" ht="16.5">
      <c r="T1013" s="86" t="s">
        <v>2038</v>
      </c>
      <c r="U1013" s="92">
        <v>160.50999450683591</v>
      </c>
      <c r="V1013" s="92">
        <v>156.45817565917969</v>
      </c>
      <c r="W1013" s="104">
        <v>9477600</v>
      </c>
      <c r="X1013" s="92">
        <v>6822.33984375</v>
      </c>
    </row>
    <row r="1014" spans="20:24" ht="16.5">
      <c r="T1014" s="86" t="s">
        <v>2039</v>
      </c>
      <c r="U1014" s="92">
        <v>161.46000671386719</v>
      </c>
      <c r="V1014" s="92">
        <v>158.78900146484381</v>
      </c>
      <c r="W1014" s="104">
        <v>8707900</v>
      </c>
      <c r="X1014" s="92">
        <v>6840.2001953125</v>
      </c>
    </row>
    <row r="1015" spans="20:24" ht="16.5">
      <c r="T1015" s="86" t="s">
        <v>2040</v>
      </c>
      <c r="U1015" s="92">
        <v>161.46000671386719</v>
      </c>
      <c r="V1015" s="92">
        <v>158.78900146484381</v>
      </c>
      <c r="W1015" s="104">
        <v>5208300</v>
      </c>
      <c r="X1015" s="92">
        <v>6851.97021484375</v>
      </c>
    </row>
    <row r="1016" spans="20:24" ht="16.5">
      <c r="T1016" s="86" t="s">
        <v>2041</v>
      </c>
      <c r="U1016" s="92">
        <v>159.36000061035159</v>
      </c>
      <c r="V1016" s="92">
        <v>156.7237243652344</v>
      </c>
      <c r="W1016" s="104">
        <v>11462300</v>
      </c>
      <c r="X1016" s="92">
        <v>6771.5498046875</v>
      </c>
    </row>
    <row r="1017" spans="20:24" ht="16.5">
      <c r="T1017" s="86" t="s">
        <v>2042</v>
      </c>
      <c r="U1017" s="92">
        <v>163.57000732421881</v>
      </c>
      <c r="V1017" s="92">
        <v>160.86408996582031</v>
      </c>
      <c r="W1017" s="104">
        <v>9770200</v>
      </c>
      <c r="X1017" s="92">
        <v>6796.2900390625</v>
      </c>
    </row>
    <row r="1018" spans="20:24" ht="16.5">
      <c r="T1018" s="86" t="s">
        <v>2043</v>
      </c>
      <c r="U1018" s="92">
        <v>161.3800048828125</v>
      </c>
      <c r="V1018" s="92">
        <v>158.7102966308594</v>
      </c>
      <c r="W1018" s="104">
        <v>5859500</v>
      </c>
      <c r="X1018" s="92">
        <v>6720.31982421875</v>
      </c>
    </row>
    <row r="1019" spans="20:24" ht="16.5">
      <c r="T1019" s="86" t="s">
        <v>2044</v>
      </c>
      <c r="U1019" s="92">
        <v>160.55000305175781</v>
      </c>
      <c r="V1019" s="92">
        <v>157.89404296875</v>
      </c>
      <c r="W1019" s="104">
        <v>8837700</v>
      </c>
      <c r="X1019" s="92">
        <v>6728.7998046875</v>
      </c>
    </row>
    <row r="1020" spans="20:24" ht="16.5">
      <c r="T1020" s="86" t="s">
        <v>2045</v>
      </c>
      <c r="U1020" s="92">
        <v>160.58000183105469</v>
      </c>
      <c r="V1020" s="92">
        <v>157.92353820800781</v>
      </c>
      <c r="W1020" s="104">
        <v>7677900</v>
      </c>
      <c r="X1020" s="92">
        <v>6832.43017578125</v>
      </c>
    </row>
    <row r="1021" spans="20:24" ht="16.5">
      <c r="T1021" s="86" t="s">
        <v>2046</v>
      </c>
      <c r="U1021" s="92">
        <v>159.72999572753909</v>
      </c>
      <c r="V1021" s="92">
        <v>157.08760070800781</v>
      </c>
      <c r="W1021" s="104">
        <v>7274200</v>
      </c>
      <c r="X1021" s="92">
        <v>6846.60986328125</v>
      </c>
    </row>
    <row r="1022" spans="20:24" ht="16.5">
      <c r="T1022" s="86" t="s">
        <v>2047</v>
      </c>
      <c r="U1022" s="92">
        <v>163.0899963378906</v>
      </c>
      <c r="V1022" s="92">
        <v>160.39201354980469</v>
      </c>
      <c r="W1022" s="104">
        <v>6241200</v>
      </c>
      <c r="X1022" s="92">
        <v>6850.919921875</v>
      </c>
    </row>
    <row r="1023" spans="20:24" ht="16.5">
      <c r="T1023" s="86" t="s">
        <v>2048</v>
      </c>
      <c r="U1023" s="92">
        <v>162.22999572753909</v>
      </c>
      <c r="V1023" s="92">
        <v>159.54624938964841</v>
      </c>
      <c r="W1023" s="104">
        <v>7719600</v>
      </c>
      <c r="X1023" s="92">
        <v>6737.490234375</v>
      </c>
    </row>
    <row r="1024" spans="20:24" ht="16.5">
      <c r="T1024" s="86" t="s">
        <v>2049</v>
      </c>
      <c r="U1024" s="92">
        <v>159.33000183105469</v>
      </c>
      <c r="V1024" s="92">
        <v>156.69422912597659</v>
      </c>
      <c r="W1024" s="104">
        <v>6041500</v>
      </c>
      <c r="X1024" s="92">
        <v>6734.10986328125</v>
      </c>
    </row>
    <row r="1025" spans="20:24" ht="16.5">
      <c r="T1025" s="86" t="s">
        <v>2050</v>
      </c>
      <c r="U1025" s="92">
        <v>154.99000549316409</v>
      </c>
      <c r="V1025" s="92">
        <v>152.426025390625</v>
      </c>
      <c r="W1025" s="104">
        <v>7343400</v>
      </c>
      <c r="X1025" s="92">
        <v>6672.41015625</v>
      </c>
    </row>
    <row r="1026" spans="20:24" ht="16.5">
      <c r="T1026" s="86" t="s">
        <v>2051</v>
      </c>
      <c r="U1026" s="92">
        <v>157.32000732421881</v>
      </c>
      <c r="V1026" s="92">
        <v>154.71748352050781</v>
      </c>
      <c r="W1026" s="104">
        <v>8164700</v>
      </c>
      <c r="X1026" s="92">
        <v>6617.31982421875</v>
      </c>
    </row>
    <row r="1027" spans="20:24" ht="16.5">
      <c r="T1027" s="86" t="s">
        <v>2052</v>
      </c>
      <c r="U1027" s="92">
        <v>157.0899963378906</v>
      </c>
      <c r="V1027" s="92">
        <v>154.49127197265619</v>
      </c>
      <c r="W1027" s="104">
        <v>5568500</v>
      </c>
      <c r="X1027" s="92">
        <v>6642.16015625</v>
      </c>
    </row>
    <row r="1028" spans="20:24" ht="16.5">
      <c r="T1028" s="86" t="s">
        <v>2053</v>
      </c>
      <c r="U1028" s="92">
        <v>153.33000183105469</v>
      </c>
      <c r="V1028" s="92">
        <v>150.79347229003909</v>
      </c>
      <c r="W1028" s="104">
        <v>7890900</v>
      </c>
      <c r="X1028" s="92">
        <v>6538.759765625</v>
      </c>
    </row>
    <row r="1029" spans="20:24" ht="16.5">
      <c r="T1029" s="86" t="s">
        <v>2054</v>
      </c>
      <c r="U1029" s="92">
        <v>159.3999938964844</v>
      </c>
      <c r="V1029" s="92">
        <v>156.76304626464841</v>
      </c>
      <c r="W1029" s="104">
        <v>11711300</v>
      </c>
      <c r="X1029" s="92">
        <v>6602.990234375</v>
      </c>
    </row>
    <row r="1030" spans="20:24" ht="16.5">
      <c r="T1030" s="86" t="s">
        <v>2055</v>
      </c>
      <c r="U1030" s="92">
        <v>161.25999450683591</v>
      </c>
      <c r="V1030" s="92">
        <v>158.59228515625</v>
      </c>
      <c r="W1030" s="104">
        <v>9466500</v>
      </c>
      <c r="X1030" s="92">
        <v>6705.1201171875</v>
      </c>
    </row>
    <row r="1031" spans="20:24" ht="16.5">
      <c r="T1031" s="86" t="s">
        <v>2056</v>
      </c>
      <c r="U1031" s="92">
        <v>161.77000427246091</v>
      </c>
      <c r="V1031" s="92">
        <v>159.09385681152341</v>
      </c>
      <c r="W1031" s="104">
        <v>7406700</v>
      </c>
      <c r="X1031" s="92">
        <v>6765.8798828125</v>
      </c>
    </row>
    <row r="1032" spans="20:24" ht="16.5">
      <c r="T1032" s="86" t="s">
        <v>2057</v>
      </c>
      <c r="U1032" s="92">
        <v>165.3500061035156</v>
      </c>
      <c r="V1032" s="92">
        <v>162.61463928222659</v>
      </c>
      <c r="W1032" s="104">
        <v>7346300</v>
      </c>
      <c r="X1032" s="92">
        <v>6812.60986328125</v>
      </c>
    </row>
    <row r="1033" spans="20:24" ht="16.5">
      <c r="T1033" s="86" t="s">
        <v>2058</v>
      </c>
      <c r="U1033" s="92">
        <v>168.27000427246091</v>
      </c>
      <c r="V1033" s="92">
        <v>165.48634338378909</v>
      </c>
      <c r="W1033" s="104">
        <v>4018100</v>
      </c>
      <c r="X1033" s="92">
        <v>6849.08984375</v>
      </c>
    </row>
    <row r="1034" spans="20:24" ht="16.5">
      <c r="T1034" s="86" t="s">
        <v>2059</v>
      </c>
      <c r="U1034" s="92">
        <v>168.1600036621094</v>
      </c>
      <c r="V1034" s="92">
        <v>165.3781433105469</v>
      </c>
      <c r="W1034" s="104">
        <v>6170800</v>
      </c>
      <c r="X1034" s="92">
        <v>6812.6298828125</v>
      </c>
    </row>
    <row r="1035" spans="20:24" ht="16.5">
      <c r="T1035" s="86" t="s">
        <v>2060</v>
      </c>
      <c r="U1035" s="92">
        <v>175.25999450683591</v>
      </c>
      <c r="V1035" s="92">
        <v>172.3606872558594</v>
      </c>
      <c r="W1035" s="104">
        <v>9438900</v>
      </c>
      <c r="X1035" s="92">
        <v>6829.3701171875</v>
      </c>
    </row>
    <row r="1036" spans="20:24" ht="16.5">
      <c r="T1036" s="86" t="s">
        <v>2061</v>
      </c>
      <c r="U1036" s="92">
        <v>182.6000061035156</v>
      </c>
      <c r="V1036" s="92">
        <v>179.57926940917969</v>
      </c>
      <c r="W1036" s="104">
        <v>9259300</v>
      </c>
      <c r="X1036" s="92">
        <v>6849.72021484375</v>
      </c>
    </row>
    <row r="1037" spans="20:24" ht="16.5">
      <c r="T1037" s="86" t="s">
        <v>2062</v>
      </c>
      <c r="U1037" s="92">
        <v>180.1199951171875</v>
      </c>
      <c r="V1037" s="92">
        <v>177.14030456542969</v>
      </c>
      <c r="W1037" s="104">
        <v>6724100</v>
      </c>
      <c r="X1037" s="92">
        <v>6857.1201171875</v>
      </c>
    </row>
    <row r="1038" spans="20:24" ht="16.5">
      <c r="T1038" s="86" t="s">
        <v>2063</v>
      </c>
      <c r="U1038" s="92">
        <v>182.53999328613281</v>
      </c>
      <c r="V1038" s="92">
        <v>179.520263671875</v>
      </c>
      <c r="W1038" s="104">
        <v>6584600</v>
      </c>
      <c r="X1038" s="92">
        <v>6870.39990234375</v>
      </c>
    </row>
    <row r="1039" spans="20:24" ht="16.5">
      <c r="T1039" s="86" t="s">
        <v>2064</v>
      </c>
      <c r="U1039" s="92">
        <v>180.94000244140619</v>
      </c>
      <c r="V1039" s="92">
        <v>177.94673156738281</v>
      </c>
      <c r="W1039" s="104">
        <v>6427600</v>
      </c>
      <c r="X1039" s="92">
        <v>6846.509765625</v>
      </c>
    </row>
    <row r="1040" spans="20:24" ht="16.5">
      <c r="T1040" s="86" t="s">
        <v>2065</v>
      </c>
      <c r="U1040" s="92">
        <v>179.52000427246091</v>
      </c>
      <c r="V1040" s="92">
        <v>176.55021667480469</v>
      </c>
      <c r="W1040" s="104">
        <v>3760400</v>
      </c>
      <c r="X1040" s="92">
        <v>6840.509765625</v>
      </c>
    </row>
    <row r="1041" spans="20:24" ht="16.5">
      <c r="T1041" s="86" t="s">
        <v>2066</v>
      </c>
      <c r="U1041" s="92">
        <v>181.66999816894531</v>
      </c>
      <c r="V1041" s="92">
        <v>178.66465759277341</v>
      </c>
      <c r="W1041" s="104">
        <v>5268900</v>
      </c>
      <c r="X1041" s="92">
        <v>6886.68017578125</v>
      </c>
    </row>
    <row r="1042" spans="20:24" ht="16.5">
      <c r="T1042" s="86" t="s">
        <v>2067</v>
      </c>
      <c r="U1042" s="92">
        <v>181.66999816894531</v>
      </c>
      <c r="V1042" s="92">
        <v>178.66465759277341</v>
      </c>
      <c r="W1042" s="104">
        <v>4838000</v>
      </c>
      <c r="X1042" s="92">
        <v>6901</v>
      </c>
    </row>
    <row r="1043" spans="20:24" ht="16.5">
      <c r="T1043" s="86" t="s">
        <v>2068</v>
      </c>
      <c r="U1043" s="92">
        <v>179.41999816894531</v>
      </c>
      <c r="V1043" s="92">
        <v>176.4518737792969</v>
      </c>
      <c r="W1043" s="104">
        <v>5980500</v>
      </c>
      <c r="X1043" s="92">
        <v>6827.41015625</v>
      </c>
    </row>
    <row r="1044" spans="20:24" ht="16.5">
      <c r="T1044" s="86" t="s">
        <v>2069</v>
      </c>
      <c r="U1044" s="92">
        <v>177.9700012207031</v>
      </c>
      <c r="V1044" s="92">
        <v>175.02586364746091</v>
      </c>
      <c r="W1044" s="104">
        <v>9037500</v>
      </c>
      <c r="X1044" s="92">
        <v>6816.509765625</v>
      </c>
    </row>
    <row r="1045" spans="20:24" ht="16.5">
      <c r="T1045" s="86" t="s">
        <v>2070</v>
      </c>
      <c r="U1045" s="92">
        <v>177.55999755859381</v>
      </c>
      <c r="V1045" s="92">
        <v>174.6226501464844</v>
      </c>
      <c r="W1045" s="104">
        <v>5746900</v>
      </c>
      <c r="X1045" s="92">
        <v>6800.259765625</v>
      </c>
    </row>
    <row r="1046" spans="20:24" ht="16.5">
      <c r="T1046" s="86" t="s">
        <v>2071</v>
      </c>
      <c r="U1046" s="92">
        <v>174.49000549316409</v>
      </c>
      <c r="V1046" s="92">
        <v>171.60343933105469</v>
      </c>
      <c r="W1046" s="104">
        <v>8865600</v>
      </c>
      <c r="X1046" s="92">
        <v>6721.43017578125</v>
      </c>
    </row>
    <row r="1047" spans="20:24" ht="16.5">
      <c r="T1047" s="86" t="s">
        <v>2072</v>
      </c>
      <c r="U1047" s="92">
        <v>176.19000244140619</v>
      </c>
      <c r="V1047" s="92">
        <v>173.27531433105469</v>
      </c>
      <c r="W1047" s="104">
        <v>8546200</v>
      </c>
      <c r="X1047" s="92">
        <v>6774.759765625</v>
      </c>
    </row>
    <row r="1048" spans="20:24" ht="16.5">
      <c r="T1048" s="86" t="s">
        <v>2073</v>
      </c>
      <c r="U1048" s="92">
        <v>176.28999328613281</v>
      </c>
      <c r="V1048" s="92">
        <v>173.3736572265625</v>
      </c>
      <c r="W1048" s="104">
        <v>19091700</v>
      </c>
      <c r="X1048" s="92">
        <v>6834.5</v>
      </c>
    </row>
    <row r="1049" spans="20:24" ht="16.5">
      <c r="T1049" s="86" t="s">
        <v>2074</v>
      </c>
      <c r="U1049" s="92">
        <v>178.82000732421881</v>
      </c>
      <c r="V1049" s="92">
        <v>175.86181640625</v>
      </c>
      <c r="W1049" s="104">
        <v>5373100</v>
      </c>
      <c r="X1049" s="92">
        <v>6878.490234375</v>
      </c>
    </row>
    <row r="1050" spans="20:24" ht="16.5">
      <c r="T1050" s="86" t="s">
        <v>2075</v>
      </c>
      <c r="U1050" s="92">
        <v>177.08000183105469</v>
      </c>
      <c r="V1050" s="92">
        <v>174.15058898925781</v>
      </c>
      <c r="W1050" s="104">
        <v>3500300</v>
      </c>
      <c r="X1050" s="92">
        <v>6909.7900390625</v>
      </c>
    </row>
    <row r="1051" spans="20:24" ht="16.5">
      <c r="T1051" s="86" t="s">
        <v>2076</v>
      </c>
      <c r="U1051" s="92">
        <v>177.1300048828125</v>
      </c>
      <c r="V1051" s="92">
        <v>174.19976806640619</v>
      </c>
      <c r="W1051" s="104">
        <v>1266500</v>
      </c>
      <c r="X1051" s="92">
        <v>6932.0498046875</v>
      </c>
    </row>
    <row r="1052" spans="20:24" ht="16.5">
      <c r="T1052" s="86" t="s">
        <v>2077</v>
      </c>
      <c r="U1052" s="92">
        <v>176.8800048828125</v>
      </c>
      <c r="V1052" s="92">
        <v>173.95390319824219</v>
      </c>
      <c r="W1052" s="104">
        <v>3191100</v>
      </c>
      <c r="X1052" s="92">
        <v>6929.93994140625</v>
      </c>
    </row>
    <row r="1053" spans="20:24" ht="16.5">
      <c r="T1053" s="86" t="s">
        <v>2078</v>
      </c>
      <c r="U1053" s="92">
        <v>175.69000244140619</v>
      </c>
      <c r="V1053" s="92">
        <v>172.7835693359375</v>
      </c>
      <c r="W1053" s="104">
        <v>4163200</v>
      </c>
      <c r="X1053" s="92">
        <v>6905.740234375</v>
      </c>
    </row>
    <row r="1054" spans="20:24" ht="16.5">
      <c r="T1054" s="86" t="s">
        <v>2079</v>
      </c>
      <c r="U1054" s="92">
        <v>175.41999816894531</v>
      </c>
      <c r="V1054" s="92">
        <v>172.51805114746091</v>
      </c>
      <c r="W1054" s="104">
        <v>3904600</v>
      </c>
      <c r="X1054" s="92">
        <v>6896.240234375</v>
      </c>
    </row>
    <row r="1055" spans="20:24" ht="16.5">
      <c r="T1055" s="86" t="s">
        <v>2080</v>
      </c>
      <c r="U1055" s="92">
        <v>173.49000549316409</v>
      </c>
      <c r="V1055" s="92">
        <v>170.61997985839841</v>
      </c>
      <c r="W1055" s="104">
        <v>3426900</v>
      </c>
      <c r="X1055" s="92">
        <v>6845.5</v>
      </c>
    </row>
    <row r="1056" spans="20:24" ht="16.5">
      <c r="T1056" s="86" t="s">
        <v>2081</v>
      </c>
      <c r="U1056" s="92">
        <v>177.52000427246091</v>
      </c>
      <c r="V1056" s="92">
        <v>174.58329772949219</v>
      </c>
      <c r="W1056" s="104">
        <v>6133600</v>
      </c>
      <c r="X1056" s="92">
        <v>6858.47021484375</v>
      </c>
    </row>
    <row r="1057" spans="20:24" ht="16.5">
      <c r="T1057" s="86" t="s">
        <v>2082</v>
      </c>
      <c r="U1057" s="92">
        <v>177.16999816894531</v>
      </c>
      <c r="V1057" s="92">
        <v>174.2391052246094</v>
      </c>
      <c r="W1057" s="104">
        <v>6755000</v>
      </c>
      <c r="X1057" s="92">
        <v>6902.0498046875</v>
      </c>
    </row>
    <row r="1058" spans="20:24" ht="16.5">
      <c r="T1058" s="86" t="s">
        <v>2083</v>
      </c>
      <c r="U1058" s="92">
        <v>192.1000061035156</v>
      </c>
      <c r="V1058" s="92">
        <v>188.92213439941409</v>
      </c>
      <c r="W1058" s="104">
        <v>13219400</v>
      </c>
      <c r="X1058" s="92">
        <v>6944.81982421875</v>
      </c>
    </row>
    <row r="1059" spans="20:24" ht="16.5">
      <c r="T1059" s="86" t="s">
        <v>2084</v>
      </c>
      <c r="U1059" s="92">
        <v>185.71000671386719</v>
      </c>
      <c r="V1059" s="92">
        <v>182.63783264160159</v>
      </c>
      <c r="W1059" s="104">
        <v>8341300</v>
      </c>
      <c r="X1059" s="92">
        <v>6920.93017578125</v>
      </c>
    </row>
    <row r="1060" spans="20:24" ht="16.5">
      <c r="T1060" s="86" t="s">
        <v>2085</v>
      </c>
      <c r="U1060" s="92">
        <v>188.44999694824219</v>
      </c>
      <c r="V1060" s="92">
        <v>185.3324890136719</v>
      </c>
      <c r="W1060" s="104">
        <v>6857300</v>
      </c>
      <c r="X1060" s="92">
        <v>6921.4599609375</v>
      </c>
    </row>
    <row r="1061" spans="20:24" ht="16.5">
      <c r="T1061" s="86" t="s">
        <v>2086</v>
      </c>
      <c r="U1061" s="92">
        <v>190.30999755859369</v>
      </c>
      <c r="V1061" s="92">
        <v>187.16172790527341</v>
      </c>
      <c r="W1061" s="104">
        <v>6018300</v>
      </c>
      <c r="X1061" s="92">
        <v>6966.27978515625</v>
      </c>
    </row>
    <row r="1062" spans="20:24" ht="16.5">
      <c r="T1062" s="86" t="s">
        <v>2087</v>
      </c>
      <c r="U1062" s="92">
        <v>189.07000732421881</v>
      </c>
      <c r="V1062" s="92">
        <v>185.94223022460929</v>
      </c>
      <c r="W1062" s="104">
        <v>6502600</v>
      </c>
      <c r="X1062" s="92">
        <v>6977.27001953125</v>
      </c>
    </row>
    <row r="1063" spans="20:24" ht="16.5">
      <c r="T1063" s="86" t="s">
        <v>2088</v>
      </c>
      <c r="U1063" s="92">
        <v>188.5299987792969</v>
      </c>
      <c r="V1063" s="92">
        <v>185.4111633300781</v>
      </c>
      <c r="W1063" s="104">
        <v>4135000</v>
      </c>
      <c r="X1063" s="92">
        <v>6963.740234375</v>
      </c>
    </row>
    <row r="1064" spans="20:24" ht="16.5">
      <c r="T1064" s="86" t="s">
        <v>2089</v>
      </c>
      <c r="U1064" s="92">
        <v>193.44999694824219</v>
      </c>
      <c r="V1064" s="92">
        <v>190.24977111816409</v>
      </c>
      <c r="W1064" s="104">
        <v>7988800</v>
      </c>
      <c r="X1064" s="92">
        <v>6926.60009765625</v>
      </c>
    </row>
    <row r="1065" spans="20:24" ht="16.5">
      <c r="T1065" s="86" t="s">
        <v>2090</v>
      </c>
      <c r="U1065" s="92">
        <v>189.1199951171875</v>
      </c>
      <c r="V1065" s="92">
        <v>185.99139404296881</v>
      </c>
      <c r="W1065" s="104">
        <v>6942600</v>
      </c>
      <c r="X1065" s="92">
        <v>6944.47021484375</v>
      </c>
    </row>
    <row r="1066" spans="20:24" ht="16.5">
      <c r="T1066" s="86" t="s">
        <v>2091</v>
      </c>
      <c r="U1066" s="92">
        <v>191.58000183105469</v>
      </c>
      <c r="V1066" s="92">
        <v>188.41072082519531</v>
      </c>
      <c r="W1066" s="104">
        <v>6944800</v>
      </c>
      <c r="X1066" s="92">
        <v>6940.009765625</v>
      </c>
    </row>
    <row r="1067" spans="20:24" ht="16.5">
      <c r="T1067" s="86" t="s">
        <v>2092</v>
      </c>
      <c r="U1067" s="92">
        <v>189.58999633789071</v>
      </c>
      <c r="V1067" s="92">
        <v>186.45362854003901</v>
      </c>
      <c r="W1067" s="104">
        <v>9516600</v>
      </c>
      <c r="X1067" s="92">
        <v>6796.85986328125</v>
      </c>
    </row>
    <row r="1068" spans="20:24" ht="16.5">
      <c r="T1068" s="86" t="s">
        <v>2093</v>
      </c>
      <c r="U1068" s="92">
        <v>194.41000366210929</v>
      </c>
      <c r="V1068" s="92">
        <v>191.19389343261719</v>
      </c>
      <c r="W1068" s="104">
        <v>7272000</v>
      </c>
      <c r="X1068" s="92">
        <v>6875.6201171875</v>
      </c>
    </row>
    <row r="1069" spans="20:24" ht="16.5">
      <c r="T1069" s="86" t="s">
        <v>2094</v>
      </c>
      <c r="U1069" s="92">
        <v>194.99000549316409</v>
      </c>
      <c r="V1069" s="92">
        <v>191.76431274414071</v>
      </c>
      <c r="W1069" s="104">
        <v>7264000</v>
      </c>
      <c r="X1069" s="92">
        <v>6913.35009765625</v>
      </c>
    </row>
    <row r="1070" spans="20:24" ht="16.5">
      <c r="T1070" s="86" t="s">
        <v>2095</v>
      </c>
      <c r="U1070" s="92">
        <v>193.30999755859369</v>
      </c>
      <c r="V1070" s="92">
        <v>190.11210632324219</v>
      </c>
      <c r="W1070" s="104">
        <v>6691300</v>
      </c>
      <c r="X1070" s="92">
        <v>6915.60986328125</v>
      </c>
    </row>
    <row r="1071" spans="20:24" ht="16.5">
      <c r="T1071" s="86" t="s">
        <v>2096</v>
      </c>
      <c r="U1071" s="92">
        <v>196.58999633789071</v>
      </c>
      <c r="V1071" s="92">
        <v>193.33782958984369</v>
      </c>
      <c r="W1071" s="104">
        <v>9169300</v>
      </c>
      <c r="X1071" s="92">
        <v>6950.22998046875</v>
      </c>
    </row>
    <row r="1072" spans="20:24" ht="16.5">
      <c r="T1072" s="86" t="s">
        <v>2097</v>
      </c>
      <c r="U1072" s="92">
        <v>196.6300048828125</v>
      </c>
      <c r="V1072" s="92">
        <v>193.37718200683599</v>
      </c>
      <c r="W1072" s="104">
        <v>10748800</v>
      </c>
      <c r="X1072" s="92">
        <v>6978.60009765625</v>
      </c>
    </row>
    <row r="1073" spans="20:24" ht="16.5">
      <c r="T1073" s="86" t="s">
        <v>2098</v>
      </c>
      <c r="U1073" s="92">
        <v>216.16999816894531</v>
      </c>
      <c r="V1073" s="92">
        <v>212.59393310546881</v>
      </c>
      <c r="W1073" s="104">
        <v>19603400</v>
      </c>
      <c r="X1073" s="92">
        <v>6978.02978515625</v>
      </c>
    </row>
    <row r="1074" spans="20:24" ht="16.5">
      <c r="T1074" s="86" t="s">
        <v>2099</v>
      </c>
      <c r="U1074" s="92">
        <v>218.9700012207031</v>
      </c>
      <c r="V1074" s="92">
        <v>215.34761047363281</v>
      </c>
      <c r="W1074" s="104">
        <v>14120000</v>
      </c>
      <c r="X1074" s="92">
        <v>6969.009765625</v>
      </c>
    </row>
    <row r="1075" spans="20:24" ht="16.5">
      <c r="T1075" s="86" t="s">
        <v>2100</v>
      </c>
      <c r="U1075" s="92">
        <v>215.55000305175781</v>
      </c>
      <c r="V1075" s="92">
        <v>213.36785888671881</v>
      </c>
      <c r="W1075" s="104">
        <v>9086800</v>
      </c>
      <c r="X1075" s="92">
        <v>6939.02978515625</v>
      </c>
    </row>
    <row r="1076" spans="20:24" ht="16.5">
      <c r="T1076" s="86" t="s">
        <v>2101</v>
      </c>
      <c r="U1076" s="92">
        <v>225.00999450683599</v>
      </c>
      <c r="V1076" s="92">
        <v>222.73207092285159</v>
      </c>
      <c r="W1076" s="104">
        <v>11194900</v>
      </c>
      <c r="X1076" s="92">
        <v>6976.43994140625</v>
      </c>
    </row>
    <row r="1077" spans="20:24" ht="16.5">
      <c r="T1077" s="86" t="s">
        <v>2102</v>
      </c>
      <c r="U1077" s="92">
        <v>225.21000671386719</v>
      </c>
      <c r="V1077" s="92">
        <v>222.93006896972659</v>
      </c>
      <c r="W1077" s="104">
        <v>15207600</v>
      </c>
      <c r="X1077" s="92">
        <v>6917.81005859375</v>
      </c>
    </row>
    <row r="1078" spans="20:24" ht="16.5">
      <c r="T1078" s="86" t="s">
        <v>2103</v>
      </c>
      <c r="U1078" s="92">
        <v>222.91999816894531</v>
      </c>
      <c r="V1078" s="92">
        <v>220.66325378417969</v>
      </c>
      <c r="W1078" s="104">
        <v>14542500</v>
      </c>
      <c r="X1078" s="92">
        <v>6882.72021484375</v>
      </c>
    </row>
    <row r="1079" spans="20:24" ht="16.5">
      <c r="T1079" s="86" t="s">
        <v>2104</v>
      </c>
      <c r="U1079" s="92">
        <v>223.97999572753901</v>
      </c>
      <c r="V1079" s="92">
        <v>221.7125244140625</v>
      </c>
      <c r="W1079" s="104">
        <v>11044200</v>
      </c>
      <c r="X1079" s="92">
        <v>6798.39990234375</v>
      </c>
    </row>
    <row r="1080" spans="20:24" ht="16.5">
      <c r="T1080" s="86" t="s">
        <v>2105</v>
      </c>
      <c r="U1080" s="92">
        <v>221.44000244140619</v>
      </c>
      <c r="V1080" s="92">
        <v>219.19822692871091</v>
      </c>
      <c r="W1080" s="104">
        <v>9397500</v>
      </c>
      <c r="X1080" s="92">
        <v>6932.2998046875</v>
      </c>
    </row>
    <row r="1081" spans="20:24" ht="16.5">
      <c r="T1081" s="86" t="s">
        <v>2106</v>
      </c>
      <c r="U1081" s="92">
        <v>218.77000427246091</v>
      </c>
      <c r="V1081" s="92">
        <v>216.5552673339844</v>
      </c>
      <c r="W1081" s="104">
        <v>9246700</v>
      </c>
      <c r="X1081" s="92">
        <v>6964.81982421875</v>
      </c>
    </row>
    <row r="1082" spans="20:24" ht="16.5">
      <c r="T1082" s="86" t="s">
        <v>2107</v>
      </c>
      <c r="U1082" s="92">
        <v>220.91999816894531</v>
      </c>
      <c r="V1082" s="92">
        <v>218.68348693847659</v>
      </c>
      <c r="W1082" s="104">
        <v>5101000</v>
      </c>
      <c r="X1082" s="92">
        <v>6941.81005859375</v>
      </c>
    </row>
    <row r="1083" spans="20:24" ht="16.5">
      <c r="T1083" s="86" t="s">
        <v>2108</v>
      </c>
      <c r="U1083" s="92">
        <v>226.55999755859369</v>
      </c>
      <c r="V1083" s="92">
        <v>224.26640319824219</v>
      </c>
      <c r="W1083" s="104">
        <v>9132600</v>
      </c>
      <c r="X1083" s="92">
        <v>6941.47021484375</v>
      </c>
    </row>
    <row r="1084" spans="20:24" ht="16.5">
      <c r="T1084" s="86" t="s">
        <v>2109</v>
      </c>
      <c r="U1084" s="92">
        <v>223</v>
      </c>
      <c r="V1084" s="92">
        <v>220.742431640625</v>
      </c>
      <c r="W1084" s="104">
        <v>8474700</v>
      </c>
      <c r="X1084" s="92">
        <v>6832.759765625</v>
      </c>
    </row>
    <row r="1085" spans="20:24" ht="16.5">
      <c r="T1085" s="86" t="s">
        <v>2110</v>
      </c>
      <c r="U1085" s="92">
        <v>226.16000366210929</v>
      </c>
      <c r="V1085" s="92">
        <v>223.87043762207031</v>
      </c>
      <c r="W1085" s="104">
        <v>5011900</v>
      </c>
      <c r="X1085" s="92">
        <v>6836.169921875</v>
      </c>
    </row>
    <row r="1086" spans="20:24" ht="16.5">
      <c r="T1086" s="86" t="s">
        <v>2111</v>
      </c>
      <c r="U1086" s="92">
        <v>225.69000244140619</v>
      </c>
      <c r="V1086" s="92">
        <v>223.40521240234369</v>
      </c>
      <c r="W1086" s="104">
        <v>5454800</v>
      </c>
      <c r="X1086" s="92">
        <v>6843.22021484375</v>
      </c>
    </row>
    <row r="1087" spans="20:24" ht="16.5">
      <c r="T1087" s="86" t="s">
        <v>2112</v>
      </c>
      <c r="U1087" s="92">
        <v>223.32000732421881</v>
      </c>
      <c r="V1087" s="92">
        <v>221.0592041015625</v>
      </c>
      <c r="W1087" s="104">
        <v>6667800</v>
      </c>
      <c r="X1087" s="92">
        <v>6881.31005859375</v>
      </c>
    </row>
    <row r="1088" spans="20:24" ht="16.5">
      <c r="T1088" s="86" t="s">
        <v>2113</v>
      </c>
      <c r="U1088" s="92">
        <v>218.05000305175781</v>
      </c>
      <c r="V1088" s="92">
        <v>215.84254455566409</v>
      </c>
      <c r="W1088" s="104">
        <v>5002200</v>
      </c>
      <c r="X1088" s="92">
        <v>6861.89013671875</v>
      </c>
    </row>
    <row r="1089" spans="20:24" ht="16.5">
      <c r="T1089" s="86" t="s">
        <v>2114</v>
      </c>
      <c r="U1089" s="92">
        <v>219.72999572753901</v>
      </c>
      <c r="V1089" s="92">
        <v>217.50553894042969</v>
      </c>
      <c r="W1089" s="104">
        <v>5457500</v>
      </c>
      <c r="X1089" s="92">
        <v>6909.509765625</v>
      </c>
    </row>
    <row r="1090" spans="20:24" ht="16.5">
      <c r="T1090" s="86" t="s">
        <v>2115</v>
      </c>
      <c r="U1090" s="92">
        <v>219.86000061035159</v>
      </c>
      <c r="V1090" s="92">
        <v>217.63421630859369</v>
      </c>
      <c r="W1090" s="104">
        <v>7877400</v>
      </c>
      <c r="X1090" s="92">
        <v>6837.75</v>
      </c>
    </row>
    <row r="1091" spans="20:24" ht="16.5">
      <c r="T1091" s="86" t="s">
        <v>2116</v>
      </c>
      <c r="U1091" s="92">
        <v>213.3500061035156</v>
      </c>
      <c r="V1091" s="92">
        <v>211.19012451171881</v>
      </c>
      <c r="W1091" s="104">
        <v>9494300</v>
      </c>
      <c r="X1091" s="92">
        <v>6890.06982421875</v>
      </c>
    </row>
    <row r="1092" spans="20:24" ht="16.5">
      <c r="T1092" s="86" t="s">
        <v>2117</v>
      </c>
      <c r="U1092" s="92">
        <v>213.8999938964844</v>
      </c>
      <c r="V1092" s="92">
        <v>211.73455810546881</v>
      </c>
      <c r="W1092" s="104">
        <v>6997300</v>
      </c>
      <c r="X1092" s="92">
        <v>6946.1298828125</v>
      </c>
    </row>
    <row r="1093" spans="20:24" ht="16.5">
      <c r="T1093" s="86" t="s">
        <v>2118</v>
      </c>
      <c r="U1093" s="92">
        <v>212.6300048828125</v>
      </c>
      <c r="V1093" s="92">
        <v>210.4774169921875</v>
      </c>
      <c r="W1093" s="104">
        <v>6041500</v>
      </c>
      <c r="X1093" s="92">
        <v>6908.85986328125</v>
      </c>
    </row>
    <row r="1094" spans="20:24" ht="16.5">
      <c r="T1094" s="86" t="s">
        <v>2119</v>
      </c>
      <c r="U1094" s="92">
        <v>212.11000061035159</v>
      </c>
      <c r="V1094" s="92">
        <v>209.9626770019531</v>
      </c>
      <c r="W1094" s="104">
        <v>8275100</v>
      </c>
      <c r="X1094" s="92">
        <v>6878.8798828125</v>
      </c>
    </row>
    <row r="1095" spans="20:24" ht="16.5">
      <c r="T1095" s="86" t="s">
        <v>2120</v>
      </c>
      <c r="U1095" s="92">
        <v>209.82000732421881</v>
      </c>
      <c r="V1095" s="92">
        <v>207.69587707519531</v>
      </c>
      <c r="W1095" s="104">
        <v>6811300</v>
      </c>
      <c r="X1095" s="92">
        <v>6881.6201171875</v>
      </c>
    </row>
    <row r="1096" spans="20:24" ht="16.5">
      <c r="T1096" s="86" t="s">
        <v>2121</v>
      </c>
      <c r="U1096" s="92">
        <v>202.66999816894531</v>
      </c>
      <c r="V1096" s="92">
        <v>200.6182556152344</v>
      </c>
      <c r="W1096" s="104">
        <v>7496500</v>
      </c>
      <c r="X1096" s="92">
        <v>6816.6298828125</v>
      </c>
    </row>
    <row r="1097" spans="20:24" ht="16.5">
      <c r="T1097" s="86" t="s">
        <v>2122</v>
      </c>
      <c r="U1097" s="92">
        <v>202.38999938964841</v>
      </c>
      <c r="V1097" s="92">
        <v>200.34107971191409</v>
      </c>
      <c r="W1097" s="104">
        <v>5451500</v>
      </c>
      <c r="X1097" s="92">
        <v>6869.5</v>
      </c>
    </row>
    <row r="1098" spans="20:24" ht="16.5">
      <c r="T1098" s="86" t="s">
        <v>2123</v>
      </c>
      <c r="U1098" s="92">
        <v>197.97999572753901</v>
      </c>
      <c r="V1098" s="92">
        <v>195.97573852539071</v>
      </c>
      <c r="W1098" s="104">
        <v>8051800</v>
      </c>
      <c r="X1098" s="92">
        <v>6830.7099609375</v>
      </c>
    </row>
    <row r="1099" spans="20:24" ht="16.5">
      <c r="T1099" s="86" t="s">
        <v>2124</v>
      </c>
      <c r="U1099" s="92">
        <v>193.22999572753901</v>
      </c>
      <c r="V1099" s="92">
        <v>191.2738037109375</v>
      </c>
      <c r="W1099" s="104">
        <v>7220500</v>
      </c>
      <c r="X1099" s="92">
        <v>6740.02001953125</v>
      </c>
    </row>
    <row r="1100" spans="20:24" ht="16.5">
      <c r="T1100" s="86" t="s">
        <v>2125</v>
      </c>
      <c r="U1100" s="92">
        <v>196.19999694824219</v>
      </c>
      <c r="V1100" s="92">
        <v>194.2137451171875</v>
      </c>
      <c r="W1100" s="104">
        <v>7597500</v>
      </c>
      <c r="X1100" s="92">
        <v>6795.990234375</v>
      </c>
    </row>
    <row r="1101" spans="20:24" ht="16.5">
      <c r="T1101" s="86" t="s">
        <v>2126</v>
      </c>
      <c r="U1101" s="92">
        <v>197.46000671386719</v>
      </c>
      <c r="V1101" s="92">
        <v>195.46099853515619</v>
      </c>
      <c r="W1101" s="104">
        <v>5929200</v>
      </c>
      <c r="X1101" s="92">
        <v>6781.47998046875</v>
      </c>
    </row>
    <row r="1102" spans="20:24" ht="16.5">
      <c r="T1102" s="86" t="s">
        <v>2127</v>
      </c>
      <c r="U1102" s="92">
        <v>198.66999816894531</v>
      </c>
      <c r="V1102" s="92">
        <v>196.65873718261719</v>
      </c>
      <c r="W1102" s="104">
        <v>4995200</v>
      </c>
      <c r="X1102" s="92">
        <v>6775.7998046875</v>
      </c>
    </row>
    <row r="1103" spans="20:24" ht="16.5">
      <c r="T1103" s="86" t="s">
        <v>2128</v>
      </c>
      <c r="U1103" s="92">
        <v>190.05000305175781</v>
      </c>
      <c r="V1103" s="92">
        <v>188.1260070800781</v>
      </c>
      <c r="W1103" s="104">
        <v>8156800</v>
      </c>
      <c r="X1103" s="92">
        <v>6672.6201171875</v>
      </c>
    </row>
    <row r="1104" spans="20:24" ht="16.5">
      <c r="T1104" s="86" t="s">
        <v>2129</v>
      </c>
      <c r="U1104" s="92">
        <v>190.7799987792969</v>
      </c>
      <c r="V1104" s="92">
        <v>188.84861755371091</v>
      </c>
      <c r="W1104" s="104">
        <v>3688400</v>
      </c>
      <c r="X1104" s="92">
        <v>6632.18994140625</v>
      </c>
    </row>
    <row r="1105" spans="20:24" ht="16.5">
      <c r="T1105" s="86" t="s">
        <v>2130</v>
      </c>
      <c r="U1105" s="92">
        <v>194.1300048828125</v>
      </c>
      <c r="V1105" s="92">
        <v>192.16470336914071</v>
      </c>
      <c r="W1105" s="104">
        <v>4754900</v>
      </c>
      <c r="X1105" s="92">
        <v>6699.3798828125</v>
      </c>
    </row>
    <row r="1106" spans="20:24" ht="16.5">
      <c r="T1106" s="86" t="s">
        <v>2131</v>
      </c>
      <c r="U1106" s="92">
        <v>194.44999694824219</v>
      </c>
      <c r="V1106" s="92">
        <v>192.48146057128901</v>
      </c>
      <c r="W1106" s="104">
        <v>3385200</v>
      </c>
      <c r="X1106" s="92">
        <v>6716.08984375</v>
      </c>
    </row>
    <row r="1107" spans="20:24" ht="16.5">
      <c r="T1107" s="86" t="s">
        <v>2132</v>
      </c>
      <c r="U1107" s="92">
        <v>190.7799987792969</v>
      </c>
      <c r="V1107" s="92">
        <v>188.84861755371091</v>
      </c>
      <c r="W1107" s="104">
        <v>5069200</v>
      </c>
      <c r="X1107" s="92">
        <v>6624.7001953125</v>
      </c>
    </row>
    <row r="1108" spans="20:24" ht="16.5">
      <c r="T1108" s="86" t="s">
        <v>2133</v>
      </c>
      <c r="U1108" s="92">
        <v>188.28999328613281</v>
      </c>
      <c r="V1108" s="92">
        <v>186.3838195800781</v>
      </c>
      <c r="W1108" s="104">
        <v>5868100</v>
      </c>
      <c r="X1108" s="92">
        <v>6606.490234375</v>
      </c>
    </row>
    <row r="1109" spans="20:24" ht="16.5">
      <c r="T1109" s="86" t="s">
        <v>2134</v>
      </c>
      <c r="U1109" s="92">
        <v>187.19000244140619</v>
      </c>
      <c r="V1109" s="92">
        <v>185.2949523925781</v>
      </c>
      <c r="W1109" s="104">
        <v>15025200</v>
      </c>
      <c r="X1109" s="92">
        <v>6506.47998046875</v>
      </c>
    </row>
    <row r="1110" spans="20:24" ht="16.5">
      <c r="T1110" s="86" t="s">
        <v>2135</v>
      </c>
      <c r="U1110" s="92">
        <v>188.6300048828125</v>
      </c>
      <c r="V1110" s="92">
        <v>186.72038269042969</v>
      </c>
      <c r="W1110" s="104">
        <v>7452800</v>
      </c>
      <c r="X1110" s="92">
        <v>6581</v>
      </c>
    </row>
    <row r="1111" spans="20:24" ht="16.5">
      <c r="T1111" s="86" t="s">
        <v>2136</v>
      </c>
      <c r="U1111" s="92">
        <v>194.6300048828125</v>
      </c>
      <c r="V1111" s="92">
        <v>192.6596374511719</v>
      </c>
      <c r="W1111" s="104">
        <v>7015200</v>
      </c>
      <c r="X1111" s="92">
        <v>6556.3701171875</v>
      </c>
    </row>
    <row r="1112" spans="20:24" ht="16.5">
      <c r="T1112" s="86" t="s">
        <v>2137</v>
      </c>
      <c r="U1112" s="92">
        <v>196.77000427246091</v>
      </c>
      <c r="V1112" s="92">
        <v>194.77796936035159</v>
      </c>
      <c r="W1112" s="104">
        <v>4505800</v>
      </c>
      <c r="X1112" s="92">
        <v>6591.89990234375</v>
      </c>
    </row>
    <row r="1113" spans="20:24" ht="16.5">
      <c r="T1113" s="86" t="s">
        <v>2138</v>
      </c>
      <c r="U1113" s="92">
        <v>193.41000366210929</v>
      </c>
      <c r="V1113" s="92">
        <v>191.45199584960929</v>
      </c>
      <c r="W1113" s="104">
        <v>6314400</v>
      </c>
      <c r="X1113" s="92">
        <v>6477.16015625</v>
      </c>
    </row>
    <row r="1114" spans="20:24" ht="16.5">
      <c r="T1114" s="86" t="s">
        <v>2139</v>
      </c>
      <c r="U1114" s="92">
        <v>190.33000183105469</v>
      </c>
      <c r="V1114" s="92">
        <v>188.40316772460929</v>
      </c>
      <c r="W1114" s="104">
        <v>5792700</v>
      </c>
      <c r="X1114" s="92">
        <v>6368.85009765625</v>
      </c>
    </row>
    <row r="1115" spans="20:24" ht="16.5">
      <c r="T1115" s="86" t="s">
        <v>2140</v>
      </c>
      <c r="U1115" s="92">
        <v>186.41999816894531</v>
      </c>
      <c r="V1115" s="92">
        <v>184.5327453613281</v>
      </c>
      <c r="W1115" s="104">
        <v>6024700</v>
      </c>
      <c r="X1115" s="92">
        <v>6343.72021484375</v>
      </c>
    </row>
    <row r="1116" spans="20:24" ht="16.5">
      <c r="T1116" s="86" t="s">
        <v>2141</v>
      </c>
      <c r="U1116" s="92">
        <v>194.13999938964841</v>
      </c>
      <c r="V1116" s="92">
        <v>192.17460632324219</v>
      </c>
      <c r="W1116" s="104">
        <v>7277900</v>
      </c>
      <c r="X1116" s="92">
        <v>6528.52001953125</v>
      </c>
    </row>
    <row r="1117" spans="20:24" ht="16.5">
      <c r="T1117" s="86" t="s">
        <v>2142</v>
      </c>
      <c r="U1117" s="92">
        <v>196.30000305175781</v>
      </c>
      <c r="V1117" s="92">
        <v>194.312744140625</v>
      </c>
      <c r="W1117" s="104">
        <v>5432000</v>
      </c>
      <c r="X1117" s="92">
        <v>6575.31982421875</v>
      </c>
    </row>
    <row r="1118" spans="20:24" ht="16.5">
      <c r="T1118" s="86" t="s">
        <v>2143</v>
      </c>
      <c r="U1118" s="92">
        <v>194.8699951171875</v>
      </c>
      <c r="V1118" s="92">
        <v>192.897216796875</v>
      </c>
      <c r="W1118" s="104">
        <v>3408100</v>
      </c>
      <c r="X1118" s="92">
        <v>6582.68994140625</v>
      </c>
    </row>
    <row r="1119" spans="20:24" ht="16.5">
      <c r="T1119" s="86" t="s">
        <v>2144</v>
      </c>
      <c r="U1119" s="92">
        <v>199.41999816894531</v>
      </c>
      <c r="V1119" s="92">
        <v>197.40113830566409</v>
      </c>
      <c r="W1119" s="104">
        <v>4235600</v>
      </c>
      <c r="X1119" s="92">
        <v>6611.830078125</v>
      </c>
    </row>
    <row r="1120" spans="20:24" ht="16.5">
      <c r="T1120" s="86" t="s">
        <v>2145</v>
      </c>
      <c r="U1120" s="92">
        <v>199.74000549316409</v>
      </c>
      <c r="V1120" s="92">
        <v>197.71791076660159</v>
      </c>
      <c r="W1120" s="104">
        <v>4659000</v>
      </c>
      <c r="X1120" s="92">
        <v>6616.85009765625</v>
      </c>
    </row>
    <row r="1121" spans="20:24" ht="16.5">
      <c r="T1121" s="86" t="s">
        <v>2146</v>
      </c>
      <c r="U1121" s="92">
        <v>208.8999938964844</v>
      </c>
      <c r="V1121" s="92">
        <v>206.78517150878901</v>
      </c>
      <c r="W1121" s="104">
        <v>7454600</v>
      </c>
      <c r="X1121" s="92">
        <v>6782.81005859375</v>
      </c>
    </row>
    <row r="1122" spans="20:24" ht="16.5">
      <c r="T1122" s="86" t="s">
        <v>2147</v>
      </c>
      <c r="U1122" s="92">
        <v>214.97999572753901</v>
      </c>
      <c r="V1122" s="92">
        <v>212.8036193847656</v>
      </c>
      <c r="W1122" s="104">
        <v>5499100</v>
      </c>
      <c r="X1122" s="92">
        <v>6824.66015625</v>
      </c>
    </row>
    <row r="1123" spans="20:24" ht="16.5">
      <c r="T1123" s="86" t="s">
        <v>2148</v>
      </c>
      <c r="U1123" s="92">
        <v>214.72999572753901</v>
      </c>
      <c r="V1123" s="92">
        <v>212.55615234375</v>
      </c>
      <c r="W1123" s="104">
        <v>4268000</v>
      </c>
      <c r="X1123" s="92">
        <v>6816.89013671875</v>
      </c>
    </row>
    <row r="1124" spans="20:24" ht="16.5">
      <c r="T1124" s="86" t="s">
        <v>2149</v>
      </c>
      <c r="U1124" s="92">
        <v>216.71000671386719</v>
      </c>
      <c r="V1124" s="92">
        <v>214.51611328125</v>
      </c>
      <c r="W1124" s="104">
        <v>4630500</v>
      </c>
      <c r="X1124" s="92">
        <v>6886.240234375</v>
      </c>
    </row>
    <row r="1125" spans="20:24" ht="16.5">
      <c r="T1125" s="86" t="s">
        <v>2150</v>
      </c>
      <c r="U1125" s="92">
        <v>218.8699951171875</v>
      </c>
      <c r="V1125" s="92">
        <v>216.65423583984369</v>
      </c>
      <c r="W1125" s="104">
        <v>5495200</v>
      </c>
      <c r="X1125" s="92">
        <v>6967.3798828125</v>
      </c>
    </row>
    <row r="1126" spans="20:24" ht="16.5">
      <c r="T1126" s="86" t="s">
        <v>2151</v>
      </c>
      <c r="U1126" s="92">
        <v>216.28999328613281</v>
      </c>
      <c r="V1126" s="92">
        <v>214.10035705566409</v>
      </c>
      <c r="W1126" s="104">
        <v>4459600</v>
      </c>
      <c r="X1126" s="92">
        <v>7022.9501953125</v>
      </c>
    </row>
    <row r="1127" spans="20:24" ht="16.5">
      <c r="T1127" s="86" t="s">
        <v>2152</v>
      </c>
      <c r="U1127" s="92">
        <v>223.1000061035156</v>
      </c>
      <c r="V1127" s="92">
        <v>220.8414306640625</v>
      </c>
      <c r="W1127" s="104">
        <v>6709000</v>
      </c>
      <c r="X1127" s="92">
        <v>7041.27978515625</v>
      </c>
    </row>
    <row r="1128" spans="20:24" ht="16.5">
      <c r="T1128" s="86" t="s">
        <v>2153</v>
      </c>
      <c r="U1128" s="92">
        <v>229.82000732421881</v>
      </c>
      <c r="V1128" s="92">
        <v>227.493408203125</v>
      </c>
      <c r="W1128" s="104">
        <v>7091700</v>
      </c>
      <c r="X1128" s="92">
        <v>7126.06005859375</v>
      </c>
    </row>
    <row r="1129" spans="20:24" ht="16.5">
      <c r="T1129" s="86" t="s">
        <v>2154</v>
      </c>
      <c r="U1129" s="92">
        <v>233.69999694824219</v>
      </c>
      <c r="V1129" s="92">
        <v>231.3341064453125</v>
      </c>
      <c r="W1129" s="104">
        <v>6123300</v>
      </c>
      <c r="X1129" s="92">
        <v>7109.14013671875</v>
      </c>
    </row>
    <row r="1130" spans="20:24" ht="16.5">
      <c r="T1130" s="86" t="s">
        <v>2155</v>
      </c>
      <c r="U1130" s="92">
        <v>233.1499938964844</v>
      </c>
      <c r="V1130" s="92">
        <v>230.7896728515625</v>
      </c>
      <c r="W1130" s="104">
        <v>6833300</v>
      </c>
      <c r="X1130" s="92">
        <v>7064.009765625</v>
      </c>
    </row>
    <row r="1131" spans="20:24" ht="16.5">
      <c r="T1131" s="86" t="s">
        <v>2156</v>
      </c>
      <c r="U1131" s="92">
        <v>236.30999755859369</v>
      </c>
      <c r="V1131" s="92">
        <v>233.91767883300781</v>
      </c>
      <c r="W1131" s="104">
        <v>11463100</v>
      </c>
      <c r="X1131" s="92">
        <v>7137.89990234375</v>
      </c>
    </row>
    <row r="1132" spans="20:24" ht="16.5">
      <c r="T1132" s="86" t="s">
        <v>2157</v>
      </c>
      <c r="U1132" s="92">
        <v>282.23001098632813</v>
      </c>
      <c r="V1132" s="92">
        <v>279.372802734375</v>
      </c>
      <c r="W1132" s="104">
        <v>25659100</v>
      </c>
      <c r="X1132" s="92">
        <v>7108.39990234375</v>
      </c>
    </row>
    <row r="1133" spans="20:24" ht="16.5">
      <c r="T1133" s="86" t="s">
        <v>2158</v>
      </c>
      <c r="U1133" s="92">
        <v>277.1400146484375</v>
      </c>
      <c r="V1133" s="92">
        <v>274.33438110351563</v>
      </c>
      <c r="W1133" s="104">
        <v>13943600</v>
      </c>
      <c r="X1133" s="92">
        <v>7165.080078125</v>
      </c>
    </row>
    <row r="1134" spans="20:24" ht="16.5">
      <c r="T1134" s="86" t="s">
        <v>2159</v>
      </c>
      <c r="U1134" s="92">
        <v>269.5</v>
      </c>
      <c r="V1134" s="92">
        <v>266.77166748046881</v>
      </c>
      <c r="W1134" s="104">
        <v>9962700</v>
      </c>
      <c r="X1134" s="92">
        <v>7173.91015625</v>
      </c>
    </row>
    <row r="1135" spans="20:24" ht="16.5">
      <c r="T1135" s="86" t="s">
        <v>2160</v>
      </c>
      <c r="U1135" s="92">
        <v>265</v>
      </c>
      <c r="V1135" s="92">
        <v>262.3172607421875</v>
      </c>
      <c r="W1135" s="104">
        <v>8369400</v>
      </c>
      <c r="X1135" s="92">
        <v>7138.7998046875</v>
      </c>
    </row>
    <row r="1136" spans="20:24" ht="16.5">
      <c r="T1136" s="86" t="s">
        <v>2161</v>
      </c>
      <c r="U1136" s="92">
        <v>269.22000122070313</v>
      </c>
      <c r="V1136" s="92">
        <v>266.49453735351563</v>
      </c>
      <c r="W1136" s="104">
        <v>7821400</v>
      </c>
      <c r="X1136" s="92">
        <v>7135.9501953125</v>
      </c>
    </row>
    <row r="1137" spans="20:24" ht="16.5">
      <c r="T1137" s="86" t="s">
        <v>2162</v>
      </c>
      <c r="U1137" s="92">
        <v>281.07998657226563</v>
      </c>
      <c r="V1137" s="92">
        <v>278.23443603515619</v>
      </c>
      <c r="W1137" s="104">
        <v>11066700</v>
      </c>
      <c r="X1137" s="92">
        <v>7209.009765625</v>
      </c>
    </row>
    <row r="1138" spans="20:24" ht="16.5">
      <c r="T1138" s="86" t="s">
        <v>2163</v>
      </c>
      <c r="U1138" s="92">
        <v>281.01998901367188</v>
      </c>
      <c r="V1138" s="92">
        <v>278.175048828125</v>
      </c>
      <c r="W1138" s="104">
        <v>4494300</v>
      </c>
      <c r="X1138" s="92">
        <v>7230.1201171875</v>
      </c>
    </row>
    <row r="1139" spans="20:24" ht="16.5">
      <c r="T1139" s="86" t="s">
        <v>2164</v>
      </c>
      <c r="U1139" s="92">
        <v>280.8900146484375</v>
      </c>
      <c r="V1139" s="92">
        <v>278.04638671875</v>
      </c>
      <c r="W1139" s="104">
        <v>5525700</v>
      </c>
      <c r="X1139" s="92">
        <v>7200.75</v>
      </c>
    </row>
    <row r="1140" spans="20:24" ht="16.5">
      <c r="T1140" s="86" t="s">
        <v>2165</v>
      </c>
      <c r="U1140" s="92">
        <v>281</v>
      </c>
      <c r="V1140" s="92">
        <v>279.568603515625</v>
      </c>
      <c r="W1140" s="104">
        <v>7295200</v>
      </c>
      <c r="X1140" s="92">
        <v>7259.22021484375</v>
      </c>
    </row>
    <row r="1141" spans="20:24" ht="16.5">
      <c r="T1141" s="86" t="s">
        <v>2166</v>
      </c>
      <c r="U1141" s="92">
        <v>289.44000244140619</v>
      </c>
      <c r="V1141" s="92">
        <v>287.96560668945313</v>
      </c>
      <c r="W1141" s="104">
        <v>10183200</v>
      </c>
      <c r="X1141" s="92">
        <v>7365.1201171875</v>
      </c>
    </row>
    <row r="1142" spans="20:24" ht="16.5">
      <c r="T1142" s="86" t="s">
        <v>2167</v>
      </c>
      <c r="U1142" s="92">
        <v>285.239990234375</v>
      </c>
      <c r="V1142" s="92">
        <v>283.7869873046875</v>
      </c>
      <c r="W1142" s="104">
        <v>7017900</v>
      </c>
      <c r="X1142" s="92">
        <v>7337.10986328125</v>
      </c>
    </row>
    <row r="1143" spans="20:24" ht="16.5">
      <c r="T1143" s="86" t="s">
        <v>2168</v>
      </c>
      <c r="U1143" s="92">
        <v>287.79998779296881</v>
      </c>
      <c r="V1143" s="92">
        <v>286.33392333984369</v>
      </c>
      <c r="W1143" s="104">
        <v>8881500</v>
      </c>
      <c r="X1143" s="92">
        <v>7398.93017578125</v>
      </c>
    </row>
    <row r="1144" spans="20:24" ht="16.5">
      <c r="T1144" s="86" t="s">
        <v>2169</v>
      </c>
      <c r="U1144" s="92">
        <v>297.760009765625</v>
      </c>
      <c r="V1144" s="92">
        <v>296.24322509765619</v>
      </c>
      <c r="W1144" s="104">
        <v>9347300</v>
      </c>
      <c r="X1144" s="92">
        <v>7412.83984375</v>
      </c>
    </row>
    <row r="1145" spans="20:24" ht="16.5">
      <c r="T1145" s="86" t="s">
        <v>2170</v>
      </c>
      <c r="U1145" s="92">
        <v>295.17001342773438</v>
      </c>
      <c r="V1145" s="92">
        <v>293.66641235351563</v>
      </c>
      <c r="W1145" s="104">
        <v>6431000</v>
      </c>
      <c r="X1145" s="92">
        <v>7400.9599609375</v>
      </c>
    </row>
    <row r="1146" spans="20:24" ht="16.5">
      <c r="T1146" s="86" t="s">
        <v>2171</v>
      </c>
      <c r="U1146" s="92">
        <v>306.33999633789063</v>
      </c>
      <c r="V1146" s="92">
        <v>304.77951049804688</v>
      </c>
      <c r="W1146" s="104">
        <v>7546500</v>
      </c>
      <c r="X1146" s="92">
        <v>7444.25</v>
      </c>
    </row>
    <row r="1147" spans="20:24" ht="16.5">
      <c r="T1147" s="86" t="s">
        <v>2172</v>
      </c>
      <c r="U1147" s="92">
        <v>308.17001342773438</v>
      </c>
      <c r="V1147" s="92">
        <v>306.60018920898438</v>
      </c>
      <c r="W1147" s="104">
        <v>5767800</v>
      </c>
      <c r="X1147" s="92">
        <v>7501.240234375</v>
      </c>
    </row>
    <row r="1148" spans="20:24" ht="16.5">
      <c r="T1148" s="86" t="s">
        <v>2173</v>
      </c>
      <c r="U1148" s="92">
        <v>302.73001098632813</v>
      </c>
      <c r="V1148" s="92">
        <v>301.18789672851563</v>
      </c>
      <c r="W1148" s="104">
        <v>6661600</v>
      </c>
      <c r="X1148" s="92">
        <v>7408.5</v>
      </c>
    </row>
    <row r="1149" spans="20:24" ht="16.5">
      <c r="T1149" s="86" t="s">
        <v>2174</v>
      </c>
      <c r="U1149" s="92">
        <v>300.60000610351563</v>
      </c>
      <c r="V1149" s="92">
        <v>299.06875610351563</v>
      </c>
      <c r="W1149" s="104">
        <v>6513100</v>
      </c>
      <c r="X1149" s="92">
        <v>7403.0498046875</v>
      </c>
    </row>
    <row r="1150" spans="20:24" ht="16.5">
      <c r="T1150" s="86" t="s">
        <v>2175</v>
      </c>
      <c r="U1150" s="92">
        <v>302.30999755859369</v>
      </c>
      <c r="V1150" s="92">
        <v>300.77001953125</v>
      </c>
      <c r="W1150" s="104">
        <v>7296900</v>
      </c>
      <c r="X1150" s="92">
        <v>7353.60986328125</v>
      </c>
    </row>
    <row r="1151" spans="20:24" ht="16.5">
      <c r="T1151" s="86" t="s">
        <v>2176</v>
      </c>
      <c r="U1151" s="92">
        <v>304.8800048828125</v>
      </c>
      <c r="V1151" s="92">
        <v>303.32693481445313</v>
      </c>
      <c r="W1151" s="104">
        <v>7660700</v>
      </c>
      <c r="X1151" s="92">
        <v>7432.97021484375</v>
      </c>
    </row>
    <row r="1152" spans="20:24" ht="16.5">
      <c r="T1152" s="86" t="s">
        <v>2177</v>
      </c>
      <c r="U1152" s="92">
        <v>298.3900146484375</v>
      </c>
      <c r="V1152" s="92">
        <v>296.87002563476563</v>
      </c>
      <c r="W1152" s="104">
        <v>5663700</v>
      </c>
      <c r="X1152" s="92">
        <v>7445.72021484375</v>
      </c>
    </row>
    <row r="1153" spans="20:24" ht="16.5">
      <c r="T1153" s="86" t="s">
        <v>2178</v>
      </c>
      <c r="U1153" s="92">
        <v>309.20999145507813</v>
      </c>
      <c r="V1153" s="92">
        <v>307.6348876953125</v>
      </c>
      <c r="W1153" s="104">
        <v>7129100</v>
      </c>
      <c r="X1153" s="92">
        <v>7473.47021484375</v>
      </c>
    </row>
    <row r="1154" spans="20:24" ht="16.5">
      <c r="T1154" s="86" t="s">
        <v>2179</v>
      </c>
      <c r="U1154" s="92">
        <v>324.8900146484375</v>
      </c>
      <c r="V1154" s="92">
        <v>323.23501586914063</v>
      </c>
      <c r="W1154" s="104">
        <v>8480000</v>
      </c>
      <c r="X1154" s="92">
        <v>7519.1201171875</v>
      </c>
    </row>
    <row r="1155" spans="20:24" ht="16.5">
      <c r="T1155" s="86" t="s">
        <v>2180</v>
      </c>
      <c r="U1155" s="92">
        <v>317.45001220703119</v>
      </c>
      <c r="V1155" s="92">
        <v>315.83291625976563</v>
      </c>
      <c r="W1155" s="104">
        <v>6740600</v>
      </c>
      <c r="X1155" s="92">
        <v>7520.35986328125</v>
      </c>
    </row>
    <row r="1156" spans="20:24" ht="16.5">
      <c r="T1156" s="86" t="s">
        <v>2181</v>
      </c>
      <c r="U1156" s="92">
        <v>315.95001220703119</v>
      </c>
      <c r="V1156" s="92">
        <v>314.340576171875</v>
      </c>
      <c r="W1156" s="104">
        <v>5884400</v>
      </c>
      <c r="X1156" s="92">
        <v>7563.6298828125</v>
      </c>
    </row>
    <row r="1157" spans="20:24" ht="16.5">
      <c r="T1157" s="86" t="s">
        <v>2182</v>
      </c>
      <c r="U1157" s="92">
        <v>305.67999267578119</v>
      </c>
      <c r="V1157" s="92">
        <v>304.12286376953119</v>
      </c>
      <c r="W1157" s="104">
        <v>16785100</v>
      </c>
      <c r="X1157" s="92">
        <v>7580.06005859375</v>
      </c>
    </row>
    <row r="1158" spans="20:24" ht="16.5">
      <c r="T1158" s="86" t="s">
        <v>2183</v>
      </c>
      <c r="U1158" s="92">
        <v>293.20001220703119</v>
      </c>
      <c r="V1158" s="92">
        <v>291.70645141601563</v>
      </c>
      <c r="W1158" s="104">
        <v>9623100</v>
      </c>
      <c r="X1158" s="92">
        <v>7599.9599609375</v>
      </c>
    </row>
    <row r="1159" spans="20:24" ht="16.5">
      <c r="T1159" s="86" t="s">
        <v>2184</v>
      </c>
      <c r="U1159" s="92">
        <v>308.1199951171875</v>
      </c>
      <c r="V1159" s="92">
        <v>306.55044555664063</v>
      </c>
      <c r="W1159" s="104">
        <v>11136800</v>
      </c>
      <c r="X1159" s="92">
        <v>7609.77978515625</v>
      </c>
    </row>
    <row r="1160" spans="20:24" ht="16.5">
      <c r="T1160" s="86" t="s">
        <v>2185</v>
      </c>
      <c r="U1160" s="92">
        <v>308.58999633789063</v>
      </c>
      <c r="V1160" s="92">
        <v>307.01803588867188</v>
      </c>
      <c r="W1160" s="104">
        <v>6730100</v>
      </c>
      <c r="X1160" s="92">
        <v>7553.68017578125</v>
      </c>
    </row>
    <row r="1161" spans="20:24" ht="16.5">
      <c r="T1161" s="86" t="s">
        <v>2186</v>
      </c>
      <c r="U1161" s="92">
        <v>305.3699951171875</v>
      </c>
      <c r="V1161" s="92">
        <v>303.814453125</v>
      </c>
      <c r="W1161" s="104">
        <v>7924400</v>
      </c>
      <c r="X1161" s="92">
        <v>7584.31005859375</v>
      </c>
    </row>
    <row r="1162" spans="20:24" ht="16.5">
      <c r="T1162" s="86" t="s">
        <v>2187</v>
      </c>
      <c r="U1162" s="92">
        <v>285.05999755859369</v>
      </c>
      <c r="V1162" s="92">
        <v>283.60791015625</v>
      </c>
      <c r="W1162" s="104">
        <v>11937400</v>
      </c>
      <c r="X1162" s="92">
        <v>7383.740234375</v>
      </c>
    </row>
    <row r="1163" spans="20:24" ht="16.5">
      <c r="T1163" s="86" t="s">
        <v>2188</v>
      </c>
      <c r="U1163" s="92">
        <v>290.89999389648438</v>
      </c>
      <c r="V1163" s="92">
        <v>289.41815185546881</v>
      </c>
      <c r="W1163" s="104">
        <v>7791100</v>
      </c>
      <c r="X1163" s="92">
        <v>7405.72998046875</v>
      </c>
    </row>
    <row r="1164" spans="20:24" ht="16.5">
      <c r="T1164" s="86" t="s">
        <v>2189</v>
      </c>
      <c r="U1164" s="92">
        <v>288.6300048828125</v>
      </c>
      <c r="V1164" s="92">
        <v>287.15972900390619</v>
      </c>
      <c r="W1164" s="104">
        <v>8920600</v>
      </c>
      <c r="X1164" s="92">
        <v>7386.64990234375</v>
      </c>
    </row>
    <row r="1165" spans="20:24" ht="16.5">
      <c r="T1165" s="86" t="s">
        <v>2190</v>
      </c>
      <c r="U1165" s="92">
        <v>282.010009765625</v>
      </c>
      <c r="V1165" s="92">
        <v>280.57345581054688</v>
      </c>
      <c r="W1165" s="104">
        <v>7325400</v>
      </c>
      <c r="X1165" s="92">
        <v>7266.990234375</v>
      </c>
    </row>
    <row r="1166" spans="20:24" ht="16.5">
      <c r="T1166" s="86" t="s">
        <v>2191</v>
      </c>
      <c r="U1166" s="92">
        <v>297.10000610351563</v>
      </c>
      <c r="V1166" s="92">
        <v>295.58657836914063</v>
      </c>
      <c r="W1166" s="104">
        <v>9862700</v>
      </c>
      <c r="X1166" s="92">
        <v>7394.2998046875</v>
      </c>
    </row>
    <row r="1167" spans="20:24" ht="16.5">
      <c r="T1167" s="86" t="s">
        <v>2192</v>
      </c>
      <c r="U1167" s="92">
        <v>301.1199951171875</v>
      </c>
      <c r="V1167" s="92">
        <v>299.58609008789063</v>
      </c>
      <c r="W1167" s="104">
        <v>5368300</v>
      </c>
      <c r="X1167" s="92">
        <v>7431.4599609375</v>
      </c>
    </row>
    <row r="1168" spans="20:24" ht="16.5">
      <c r="T1168" s="86" t="s">
        <v>2193</v>
      </c>
      <c r="U1168" s="92">
        <v>313.33999633789063</v>
      </c>
      <c r="V1168" s="92">
        <v>311.74383544921881</v>
      </c>
      <c r="W1168" s="104">
        <v>7459200</v>
      </c>
      <c r="X1168" s="92">
        <v>7554.2900390625</v>
      </c>
    </row>
    <row r="1169" spans="20:24" ht="16.5">
      <c r="T1169" s="86" t="s">
        <v>2194</v>
      </c>
      <c r="U1169" s="92">
        <v>305.70999145507813</v>
      </c>
      <c r="V1169" s="92">
        <v>304.1527099609375</v>
      </c>
      <c r="W1169" s="104">
        <v>7706700</v>
      </c>
      <c r="X1169" s="92">
        <v>7511.35009765625</v>
      </c>
    </row>
    <row r="1170" spans="20:24" ht="16.5">
      <c r="T1170" s="86" t="s">
        <v>2195</v>
      </c>
      <c r="U1170" s="92">
        <v>301.8800048828125</v>
      </c>
      <c r="V1170" s="92">
        <v>300.34222412109369</v>
      </c>
      <c r="W1170" s="104">
        <v>7098300</v>
      </c>
      <c r="X1170" s="92">
        <v>7420.10009765625</v>
      </c>
    </row>
    <row r="1171" spans="20:24" ht="16.5">
      <c r="T1171" s="86" t="s">
        <v>2196</v>
      </c>
      <c r="U1171" s="92">
        <v>322.8599853515625</v>
      </c>
      <c r="V1171" s="92">
        <v>321.21533203125</v>
      </c>
      <c r="W1171" s="104">
        <v>21929600</v>
      </c>
      <c r="X1171" s="92">
        <v>7500.580078125</v>
      </c>
    </row>
    <row r="1172" spans="20:24" ht="16.5">
      <c r="T1172" s="86" t="s">
        <v>2197</v>
      </c>
      <c r="U1172" s="92">
        <v>332.27999877929688</v>
      </c>
      <c r="V1172" s="92">
        <v>330.58737182617188</v>
      </c>
      <c r="W1172" s="104">
        <v>8954600</v>
      </c>
      <c r="X1172" s="92">
        <v>7472.7900390625</v>
      </c>
    </row>
    <row r="1173" spans="20:24" ht="16.5">
      <c r="T1173" s="86" t="s">
        <v>2198</v>
      </c>
      <c r="U1173" s="92">
        <v>304.3599853515625</v>
      </c>
      <c r="V1173" s="92">
        <v>302.8095703125</v>
      </c>
      <c r="W1173" s="104">
        <v>10814300</v>
      </c>
      <c r="X1173" s="92">
        <v>7365.4599609375</v>
      </c>
    </row>
    <row r="1174" spans="20:24" ht="16.5">
      <c r="T1174" s="86" t="s">
        <v>2199</v>
      </c>
      <c r="U1174" s="92">
        <v>303.1099853515625</v>
      </c>
      <c r="V1174" s="92">
        <v>301.56594848632813</v>
      </c>
      <c r="W1174" s="104">
        <v>8761600</v>
      </c>
      <c r="X1174" s="92">
        <v>7358.22021484375</v>
      </c>
    </row>
    <row r="1175" spans="20:24" ht="16.5">
      <c r="T1175" s="86" t="s">
        <v>2200</v>
      </c>
      <c r="U1175" s="92">
        <v>311.80999755859369</v>
      </c>
      <c r="V1175" s="92">
        <v>310.22164916992188</v>
      </c>
      <c r="W1175" s="104">
        <v>8782800</v>
      </c>
      <c r="X1175" s="92">
        <v>7357.490234375</v>
      </c>
    </row>
    <row r="1176" spans="20:24" ht="16.5">
      <c r="T1176" s="86" t="s">
        <v>2201</v>
      </c>
      <c r="U1176" s="92">
        <v>285.42999267578119</v>
      </c>
      <c r="V1176" s="92">
        <v>283.97601318359369</v>
      </c>
      <c r="W1176" s="104">
        <v>29822600</v>
      </c>
      <c r="X1176" s="92">
        <v>7354.02001953125</v>
      </c>
    </row>
    <row r="1177" spans="20:24" ht="16.5">
      <c r="T1177" s="86" t="s">
        <v>2202</v>
      </c>
      <c r="U1177" s="92">
        <v>285.48001098632813</v>
      </c>
      <c r="V1177" s="92">
        <v>284.02578735351563</v>
      </c>
      <c r="W1177" s="104">
        <v>12982600</v>
      </c>
      <c r="X1177" s="92">
        <v>7440.43017578125</v>
      </c>
    </row>
    <row r="1178" spans="20:24" ht="16.5">
      <c r="T1178" s="86" t="s">
        <v>2203</v>
      </c>
      <c r="U1178" s="92">
        <v>298.07000732421881</v>
      </c>
      <c r="V1178" s="92">
        <v>296.5516357421875</v>
      </c>
      <c r="W1178" s="104">
        <v>10944300</v>
      </c>
      <c r="X1178" s="92">
        <v>7499.35986328125</v>
      </c>
    </row>
    <row r="1179" spans="20:24" ht="16.5">
      <c r="T1179" s="86" t="s">
        <v>2204</v>
      </c>
      <c r="U1179" s="92">
        <v>298.41000366210938</v>
      </c>
      <c r="V1179" s="92">
        <v>296.889892578125</v>
      </c>
      <c r="W1179" s="104">
        <v>8737100</v>
      </c>
      <c r="X1179" s="92">
        <v>7483.22998046875</v>
      </c>
    </row>
    <row r="1180" spans="20:24" ht="16.5">
      <c r="T1180" s="86" t="s">
        <v>2205</v>
      </c>
      <c r="U1180" s="92">
        <v>293.07998657226563</v>
      </c>
      <c r="V1180" s="92">
        <v>291.5870361328125</v>
      </c>
      <c r="W1180" s="104">
        <v>9766000</v>
      </c>
      <c r="X1180" s="92">
        <v>7483.240234375</v>
      </c>
    </row>
    <row r="1181" spans="20:24" ht="16.5">
      <c r="T1181" s="86" t="s">
        <v>2206</v>
      </c>
      <c r="U1181" s="92">
        <v>303.5</v>
      </c>
      <c r="V1181" s="92">
        <v>301.9539794921875</v>
      </c>
      <c r="W1181" s="104">
        <v>6726400</v>
      </c>
      <c r="X1181" s="92">
        <v>7537.43017578125</v>
      </c>
    </row>
    <row r="1182" spans="20:24" ht="16.5">
      <c r="T1182" s="86" t="s">
        <v>2207</v>
      </c>
      <c r="U1182" s="92">
        <v>293.29998779296881</v>
      </c>
      <c r="V1182" s="92">
        <v>291.805908203125</v>
      </c>
      <c r="W1182" s="104">
        <v>8287400</v>
      </c>
      <c r="X1182" s="92">
        <v>7503.85009765625</v>
      </c>
    </row>
    <row r="1183" spans="20:24" ht="16.5">
      <c r="T1183" s="86" t="s">
        <v>2208</v>
      </c>
      <c r="U1183" s="92">
        <v>301.32000732421881</v>
      </c>
      <c r="V1183" s="92">
        <v>299.78509521484369</v>
      </c>
      <c r="W1183" s="104">
        <v>6535400</v>
      </c>
      <c r="X1183" s="92">
        <v>7482.7099609375</v>
      </c>
    </row>
    <row r="1184" spans="20:24" ht="16.5">
      <c r="T1184" s="86" t="s">
        <v>2209</v>
      </c>
      <c r="U1184" s="92">
        <v>308.52999877929688</v>
      </c>
      <c r="V1184" s="92">
        <v>306.95834350585938</v>
      </c>
      <c r="W1184" s="104">
        <v>6228700</v>
      </c>
      <c r="X1184" s="92">
        <v>7543.64013671875</v>
      </c>
    </row>
    <row r="1185" spans="20:24" ht="16.5">
      <c r="T1185" s="86" t="s">
        <v>2210</v>
      </c>
      <c r="U1185" s="92">
        <v>311.45999145507813</v>
      </c>
      <c r="V1185" s="92">
        <v>309.8734130859375</v>
      </c>
      <c r="W1185" s="104">
        <v>4141500</v>
      </c>
      <c r="X1185" s="92">
        <v>7575.39013671875</v>
      </c>
    </row>
    <row r="1186" spans="20:24" ht="16.5">
      <c r="T1186" s="86" t="s">
        <v>2211</v>
      </c>
      <c r="U1186" s="92">
        <v>298.57000732421881</v>
      </c>
      <c r="V1186" s="92">
        <v>297.04910278320313</v>
      </c>
      <c r="W1186" s="104">
        <v>7559500</v>
      </c>
      <c r="X1186" s="92">
        <v>7515.33984375</v>
      </c>
    </row>
    <row r="1187" spans="20:24" ht="16.5">
      <c r="T1187" s="86" t="s">
        <v>2212</v>
      </c>
      <c r="U1187" s="92">
        <v>305.54998779296881</v>
      </c>
      <c r="V1187" s="92">
        <v>303.9935302734375</v>
      </c>
      <c r="W1187" s="104">
        <v>5836800</v>
      </c>
      <c r="X1187" s="92">
        <v>7543.58984375</v>
      </c>
    </row>
    <row r="1188" spans="20:24" ht="16.5">
      <c r="T1188" s="86" t="s">
        <v>2213</v>
      </c>
      <c r="U1188" s="92">
        <v>301.19000244140619</v>
      </c>
      <c r="V1188" s="92">
        <v>299.65573120117188</v>
      </c>
      <c r="W1188" s="104">
        <v>6393100</v>
      </c>
      <c r="X1188" s="92">
        <v>7572.39990234375</v>
      </c>
    </row>
    <row r="1189" spans="20:24" ht="16.5">
      <c r="T1189" s="86" t="s">
        <v>2214</v>
      </c>
      <c r="U1189" s="92">
        <v>291.22000122070313</v>
      </c>
      <c r="V1189" s="92">
        <v>289.73654174804688</v>
      </c>
      <c r="W1189" s="104">
        <v>7151300</v>
      </c>
      <c r="X1189" s="92">
        <v>7533.77001953125</v>
      </c>
    </row>
    <row r="1190" spans="20:24" ht="16.5">
      <c r="T1190" s="86" t="s">
        <v>2215</v>
      </c>
      <c r="U1190" s="92">
        <v>284.01998901367188</v>
      </c>
      <c r="V1190" s="92">
        <v>282.57318115234369</v>
      </c>
      <c r="W1190" s="104">
        <v>7655000</v>
      </c>
      <c r="X1190" s="92">
        <v>7457.68994140625</v>
      </c>
    </row>
    <row r="1191" spans="20:24" ht="16.5">
      <c r="T1191" s="86" t="s">
        <v>2216</v>
      </c>
      <c r="U1191" s="92">
        <v>284.07000732421881</v>
      </c>
      <c r="V1191" s="92">
        <v>282.62295532226563</v>
      </c>
      <c r="W1191" s="104">
        <v>5206900</v>
      </c>
      <c r="X1191" s="92">
        <v>7443.27978515625</v>
      </c>
    </row>
    <row r="1192" spans="20:24" ht="16.5">
      <c r="T1192" s="86" t="s">
        <v>2217</v>
      </c>
      <c r="U1192" s="92">
        <v>291.29998779296881</v>
      </c>
      <c r="V1192" s="92">
        <v>289.81610107421881</v>
      </c>
      <c r="W1192" s="104">
        <v>10204200</v>
      </c>
      <c r="X1192" s="92">
        <v>7509.2001953125</v>
      </c>
    </row>
    <row r="1193" spans="20:24" ht="16.5">
      <c r="T1193" s="86" t="s">
        <v>2218</v>
      </c>
      <c r="U1193" s="92">
        <v>294.19000244140619</v>
      </c>
      <c r="V1193" s="92">
        <v>292.69140625</v>
      </c>
      <c r="W1193" s="104">
        <v>10747300</v>
      </c>
      <c r="X1193" s="92">
        <v>7498.9599609375</v>
      </c>
    </row>
    <row r="1194" spans="20:24" ht="16.5">
      <c r="T1194" s="86" t="s">
        <v>2219</v>
      </c>
      <c r="U1194" s="92">
        <v>284.989990234375</v>
      </c>
      <c r="V1194" s="92">
        <v>283.53823852539063</v>
      </c>
      <c r="W1194" s="104">
        <v>11742800</v>
      </c>
      <c r="X1194" s="92">
        <v>7408.2998046875</v>
      </c>
    </row>
    <row r="1195" spans="20:24" ht="16.5">
      <c r="T1195" s="86" t="s">
        <v>2220</v>
      </c>
      <c r="U1195" s="92">
        <v>279.57998657226563</v>
      </c>
      <c r="V1195" s="92">
        <v>278.15582275390619</v>
      </c>
      <c r="W1195" s="104">
        <v>8270000</v>
      </c>
      <c r="X1195" s="92">
        <v>7411.97998046875</v>
      </c>
    </row>
    <row r="1196" spans="20:24" ht="16.5">
      <c r="T1196" s="86" t="s">
        <v>2221</v>
      </c>
      <c r="U1196" s="92">
        <v>279.41000366210938</v>
      </c>
      <c r="V1196" s="92">
        <v>277.9866943359375</v>
      </c>
      <c r="W1196" s="104">
        <v>9072800</v>
      </c>
      <c r="X1196" s="92">
        <v>7413.18017578125</v>
      </c>
    </row>
    <row r="1197" spans="20:24" ht="16.5">
      <c r="T1197" s="86" t="s">
        <v>2222</v>
      </c>
      <c r="U1197" s="92">
        <v>277.07000732421881</v>
      </c>
      <c r="V1197" s="92">
        <v>275.65859985351563</v>
      </c>
      <c r="W1197" s="104">
        <v>11160400</v>
      </c>
      <c r="X1197" s="92">
        <v>7428.77978515625</v>
      </c>
    </row>
    <row r="1198" spans="20:24" ht="16.5">
      <c r="T1198" s="86" t="s">
        <v>2223</v>
      </c>
      <c r="U1198" s="92">
        <v>271.29998779296881</v>
      </c>
      <c r="V1198" s="92">
        <v>269.91799926757813</v>
      </c>
      <c r="W1198" s="104">
        <v>10212400</v>
      </c>
      <c r="X1198" s="92">
        <v>7316.14990234375</v>
      </c>
    </row>
    <row r="1199" spans="20:24" ht="16.5">
      <c r="T1199" s="86" t="s">
        <v>2224</v>
      </c>
      <c r="U1199" s="92">
        <v>278.760009765625</v>
      </c>
      <c r="V1199" s="92">
        <v>277.33999633789063</v>
      </c>
      <c r="W1199" s="104">
        <v>9238400</v>
      </c>
      <c r="X1199" s="92">
        <v>7437.6298828125</v>
      </c>
    </row>
    <row r="1200" spans="20:24" ht="16.5">
      <c r="T1200" s="86" t="s">
        <v>2225</v>
      </c>
      <c r="U1200" s="92">
        <v>275.739990234375</v>
      </c>
      <c r="V1200" s="92">
        <v>275.739990234375</v>
      </c>
      <c r="W1200" s="104">
        <v>8835500</v>
      </c>
      <c r="X1200" s="92">
        <v>7489.72021484375</v>
      </c>
    </row>
    <row r="1201" spans="20:24" ht="16.5">
      <c r="T1201" s="86" t="s">
        <v>2226</v>
      </c>
      <c r="U1201" s="92">
        <v>269.04000854492188</v>
      </c>
      <c r="V1201" s="92">
        <v>269.04000854492188</v>
      </c>
      <c r="W1201" s="104">
        <v>8017300</v>
      </c>
      <c r="X1201" s="92">
        <v>7600.5</v>
      </c>
    </row>
    <row r="1202" spans="20:24" ht="16.5">
      <c r="T1202" s="86" t="s">
        <v>2227</v>
      </c>
      <c r="U1202" s="92">
        <v>283.6300048828125</v>
      </c>
      <c r="V1202" s="92">
        <v>283.6300048828125</v>
      </c>
      <c r="W1202" s="104">
        <v>8978800</v>
      </c>
      <c r="X1202" s="92">
        <v>7736.52001953125</v>
      </c>
    </row>
    <row r="1203" spans="20:24" ht="16.5">
      <c r="T1203" s="86" t="s">
        <v>2228</v>
      </c>
      <c r="U1203" s="92">
        <v>277.72000122070313</v>
      </c>
      <c r="V1203" s="92">
        <v>277.72000122070313</v>
      </c>
      <c r="W1203" s="104">
        <v>5414400</v>
      </c>
      <c r="X1203" s="92">
        <v>7723.5498046875</v>
      </c>
    </row>
    <row r="1204" spans="20:24" ht="16.5">
      <c r="T1204" s="86" t="s">
        <v>2229</v>
      </c>
      <c r="U1204" s="92">
        <v>278.39999389648438</v>
      </c>
      <c r="V1204" s="92">
        <v>278.39999389648438</v>
      </c>
      <c r="W1204" s="104">
        <v>4795100</v>
      </c>
      <c r="X1204" s="92">
        <v>7709.9599609375</v>
      </c>
    </row>
    <row r="1205" spans="20:24" ht="16.5">
      <c r="T1205" s="86" t="s">
        <v>2230</v>
      </c>
      <c r="U1205" s="92">
        <v>286.07998657226563</v>
      </c>
      <c r="V1205" s="92">
        <v>286.07998657226563</v>
      </c>
      <c r="W1205" s="104">
        <v>7713700</v>
      </c>
      <c r="X1205" s="92">
        <v>7757.64013671875</v>
      </c>
    </row>
    <row r="1206" spans="20:24" ht="16.5">
      <c r="T1206" s="86" t="s">
        <v>2231</v>
      </c>
      <c r="U1206" s="92">
        <v>280.44000244140619</v>
      </c>
      <c r="V1206" s="92">
        <v>280.44000244140619</v>
      </c>
      <c r="W1206" s="104">
        <v>4210800</v>
      </c>
      <c r="X1206" s="92">
        <v>7753.10986328125</v>
      </c>
    </row>
    <row r="1207" spans="20:24" ht="16.5">
      <c r="T1207" s="86" t="s">
        <v>2232</v>
      </c>
      <c r="U1207" s="92">
        <v>281.239990234375</v>
      </c>
      <c r="V1207" s="92">
        <v>281.239990234375</v>
      </c>
      <c r="W1207" s="104">
        <v>4470100</v>
      </c>
      <c r="X1207" s="92">
        <v>7728.2001953125</v>
      </c>
    </row>
    <row r="1208" spans="20:24" ht="16.5">
      <c r="T1208" s="86" t="s">
        <v>2233</v>
      </c>
      <c r="U1208" s="92">
        <v>276.58999633789063</v>
      </c>
      <c r="V1208" s="92">
        <v>276.58999633789063</v>
      </c>
      <c r="W1208" s="104">
        <v>5904600</v>
      </c>
      <c r="X1208" s="92">
        <v>7748.5</v>
      </c>
    </row>
    <row r="1209" spans="20:24" ht="16.5">
      <c r="T1209" s="86" t="s">
        <v>2234</v>
      </c>
      <c r="U1209" s="92">
        <v>273.42999267578119</v>
      </c>
      <c r="V1209" s="92">
        <v>273.42999267578119</v>
      </c>
      <c r="W1209" s="104">
        <v>5327700</v>
      </c>
      <c r="X1209" s="92">
        <v>7798.990234375</v>
      </c>
    </row>
    <row r="1210" spans="20:24" ht="16.5">
      <c r="T1210" s="86" t="s">
        <v>2235</v>
      </c>
      <c r="U1210" s="92">
        <v>279.57998657226563</v>
      </c>
      <c r="V1210" s="92">
        <v>279.57998657226563</v>
      </c>
      <c r="W1210" s="104">
        <v>4762600</v>
      </c>
      <c r="X1210" s="92">
        <v>7785.759765625</v>
      </c>
    </row>
    <row r="1211" spans="20:24" ht="16.5">
      <c r="T1211" s="86" t="s">
        <v>2236</v>
      </c>
      <c r="U1211" s="92">
        <v>282.91000366210938</v>
      </c>
      <c r="V1211" s="92">
        <v>282.91000366210938</v>
      </c>
      <c r="W1211" s="104">
        <v>5993600</v>
      </c>
      <c r="X1211" s="92">
        <v>7745.06005859375</v>
      </c>
    </row>
    <row r="1212" spans="20:24" ht="16.5">
      <c r="T1212" s="86" t="s">
        <v>2237</v>
      </c>
      <c r="U1212" s="92">
        <v>272.239990234375</v>
      </c>
      <c r="V1212" s="92">
        <v>272.239990234375</v>
      </c>
      <c r="W1212" s="104">
        <v>7931700</v>
      </c>
      <c r="X1212" s="92">
        <v>7691.759765625</v>
      </c>
    </row>
    <row r="1213" spans="20:24" ht="16.5">
      <c r="T1213" s="86" t="s">
        <v>2238</v>
      </c>
      <c r="U1213" s="92">
        <v>267.45001220703119</v>
      </c>
      <c r="V1213" s="92">
        <v>267.45001220703119</v>
      </c>
      <c r="W1213" s="104">
        <v>6742800</v>
      </c>
      <c r="X1213" s="92">
        <v>7707.97998046875</v>
      </c>
    </row>
    <row r="1214" spans="20:24" ht="16.5">
      <c r="T1214" s="86" t="s">
        <v>2239</v>
      </c>
      <c r="U1214" s="92">
        <v>265.60000610351563</v>
      </c>
      <c r="V1214" s="92">
        <v>265.60000610351563</v>
      </c>
      <c r="W1214" s="104">
        <v>5277600</v>
      </c>
      <c r="X1214" s="92">
        <v>7641.16015625</v>
      </c>
    </row>
    <row r="1215" spans="20:24" ht="16.5">
      <c r="T1215" s="86" t="s">
        <v>2240</v>
      </c>
      <c r="U1215" s="92">
        <v>264.3599853515625</v>
      </c>
      <c r="V1215" s="92">
        <v>264.3599853515625</v>
      </c>
      <c r="W1215" s="104">
        <v>5514300</v>
      </c>
      <c r="X1215" s="92">
        <v>7674.3701171875</v>
      </c>
    </row>
    <row r="1216" spans="20:24" ht="16.5">
      <c r="T1216" s="86" t="s">
        <v>2241</v>
      </c>
      <c r="U1216" s="92">
        <v>258.94000244140619</v>
      </c>
      <c r="V1216" s="92">
        <v>258.94000244140619</v>
      </c>
      <c r="W1216" s="104">
        <v>6610300</v>
      </c>
      <c r="X1216" s="92">
        <v>7652.85986328125</v>
      </c>
    </row>
    <row r="1217" spans="20:24" ht="16.5">
      <c r="T1217" s="86" t="s">
        <v>2242</v>
      </c>
      <c r="U1217" s="92">
        <v>260.04998779296881</v>
      </c>
      <c r="V1217" s="92">
        <v>260.04998779296881</v>
      </c>
      <c r="W1217" s="104">
        <v>4259100</v>
      </c>
      <c r="X1217" s="92">
        <v>7677.27978515625</v>
      </c>
    </row>
    <row r="1218" spans="20:24" ht="16.5">
      <c r="T1218" s="86" t="s">
        <v>2243</v>
      </c>
      <c r="U1218" s="92">
        <v>261.76998901367188</v>
      </c>
      <c r="V1218" s="92">
        <v>261.76998901367188</v>
      </c>
      <c r="W1218" s="104">
        <v>3793600</v>
      </c>
      <c r="X1218" s="92">
        <v>7675.7001953125</v>
      </c>
    </row>
    <row r="1219" spans="20:24" ht="16.5">
      <c r="T1219" s="86" t="s">
        <v>2244</v>
      </c>
      <c r="U1219" s="92">
        <v>266.54000854492188</v>
      </c>
      <c r="V1219" s="92">
        <v>266.54000854492188</v>
      </c>
      <c r="W1219" s="104">
        <v>5602900</v>
      </c>
      <c r="X1219" s="92">
        <v>7730.990234375</v>
      </c>
    </row>
    <row r="1220" spans="20:24" ht="16.5">
      <c r="T1220" s="86" t="s">
        <v>2245</v>
      </c>
      <c r="U1220" s="92">
        <v>258.6400146484375</v>
      </c>
      <c r="V1220" s="92">
        <v>258.6400146484375</v>
      </c>
      <c r="W1220" s="104">
        <v>5861100</v>
      </c>
      <c r="X1220" s="92">
        <v>7711.759765625</v>
      </c>
    </row>
    <row r="1221" spans="20:24" ht="16.5">
      <c r="T1221" s="86" t="s">
        <v>2246</v>
      </c>
      <c r="U1221" s="92">
        <v>260.91000366210938</v>
      </c>
      <c r="V1221" s="92">
        <v>260.91000366210938</v>
      </c>
      <c r="W1221" s="104">
        <v>5759500</v>
      </c>
      <c r="X1221" s="92">
        <v>7686.14013671875</v>
      </c>
    </row>
    <row r="1222" spans="20:24" ht="16.5">
      <c r="T1222" s="86" t="s">
        <v>2247</v>
      </c>
      <c r="U1222" s="92">
        <v>253.33999633789071</v>
      </c>
      <c r="V1222" s="92">
        <v>253.33999633789071</v>
      </c>
      <c r="W1222" s="104">
        <v>7214600</v>
      </c>
      <c r="X1222" s="92">
        <v>7631.47021484375</v>
      </c>
    </row>
    <row r="1223" spans="20:24" ht="16.5">
      <c r="T1223" s="86" t="s">
        <v>2248</v>
      </c>
      <c r="U1223" s="92">
        <v>254.80000305175781</v>
      </c>
      <c r="V1223" s="92">
        <v>254.80000305175781</v>
      </c>
      <c r="W1223" s="104">
        <v>3879400</v>
      </c>
      <c r="X1223" s="92">
        <v>7666.60009765625</v>
      </c>
    </row>
    <row r="1224" spans="20:24" ht="16.5">
      <c r="T1224" s="86" t="s">
        <v>2249</v>
      </c>
      <c r="U1224" s="92">
        <v>253.83000183105469</v>
      </c>
      <c r="V1224" s="92">
        <v>253.83000183105469</v>
      </c>
      <c r="W1224" s="104">
        <v>4300000</v>
      </c>
      <c r="X1224" s="92">
        <v>7747.7099609375</v>
      </c>
    </row>
    <row r="1225" spans="20:24" ht="16.5">
      <c r="T1225" s="86" t="s">
        <v>2250</v>
      </c>
      <c r="U1225" s="92">
        <v>258.44000244140619</v>
      </c>
      <c r="V1225" s="92">
        <v>258.44000244140619</v>
      </c>
      <c r="W1225" s="104">
        <v>4242600</v>
      </c>
      <c r="X1225" s="92">
        <v>7718.60009765625</v>
      </c>
    </row>
    <row r="1226" spans="20:24" ht="16.5">
      <c r="T1226" s="86" t="s">
        <v>2251</v>
      </c>
      <c r="U1226" s="92">
        <v>258.92001342773438</v>
      </c>
      <c r="V1226" s="92">
        <v>258.92001342773438</v>
      </c>
      <c r="W1226" s="104">
        <v>5437000</v>
      </c>
      <c r="X1226" s="92">
        <v>7673.52001953125</v>
      </c>
    </row>
    <row r="1227" spans="20:24" ht="16.5">
      <c r="T1227" s="86" t="s">
        <v>2252</v>
      </c>
      <c r="U1227" s="92">
        <v>261.58999633789063</v>
      </c>
      <c r="V1227" s="92">
        <v>261.58999633789063</v>
      </c>
      <c r="W1227" s="104">
        <v>4253000</v>
      </c>
      <c r="X1227" s="92">
        <v>7636.35986328125</v>
      </c>
    </row>
    <row r="1228" spans="20:24" ht="16.5">
      <c r="T1228" s="86" t="s">
        <v>2253</v>
      </c>
      <c r="U1228" s="92">
        <v>258.82000732421881</v>
      </c>
      <c r="V1228" s="92">
        <v>258.82000732421881</v>
      </c>
      <c r="W1228" s="104">
        <v>5840200</v>
      </c>
      <c r="X1228" s="92">
        <v>7591.7001953125</v>
      </c>
    </row>
    <row r="1229" spans="20:24" ht="16.5">
      <c r="T1229" s="86" t="s">
        <v>2254</v>
      </c>
      <c r="U1229" s="92">
        <v>268.70001220703119</v>
      </c>
      <c r="V1229" s="92">
        <v>268.70001220703119</v>
      </c>
      <c r="W1229" s="104">
        <v>5255900</v>
      </c>
      <c r="X1229" s="92">
        <v>7656.97998046875</v>
      </c>
    </row>
    <row r="1230" spans="20:24" ht="16.5">
      <c r="T1230" s="86" t="s">
        <v>2255</v>
      </c>
      <c r="U1230" s="92">
        <v>263.42001342773438</v>
      </c>
      <c r="V1230" s="92">
        <v>263.42001342773438</v>
      </c>
      <c r="W1230" s="104">
        <v>6860400</v>
      </c>
      <c r="X1230" s="92">
        <v>7619.97998046875</v>
      </c>
    </row>
    <row r="1231" spans="20:24" ht="16.5">
      <c r="T1231" s="86" t="s">
        <v>2256</v>
      </c>
      <c r="U1231" s="92">
        <v>263.42999267578119</v>
      </c>
      <c r="V1231" s="92">
        <v>263.42999267578119</v>
      </c>
      <c r="W1231" s="104">
        <v>4411600</v>
      </c>
      <c r="X1231" s="92">
        <v>7585.72998046875</v>
      </c>
    </row>
    <row r="1232" spans="20:24" ht="16.5">
      <c r="T1232" s="86" t="s">
        <v>2257</v>
      </c>
      <c r="U1232" s="92">
        <v>260.67001342773438</v>
      </c>
      <c r="V1232" s="92">
        <v>260.67001342773438</v>
      </c>
      <c r="W1232" s="104">
        <v>3646200</v>
      </c>
      <c r="X1232" s="92">
        <v>7551.81005859375</v>
      </c>
    </row>
    <row r="1233" spans="20:24" ht="16.5">
      <c r="T1233" s="86" t="s">
        <v>2258</v>
      </c>
      <c r="U1233" s="92">
        <v>258.1400146484375</v>
      </c>
      <c r="V1233" s="92">
        <v>258.1400146484375</v>
      </c>
      <c r="W1233" s="104">
        <v>6517200</v>
      </c>
      <c r="X1233" s="92">
        <v>7637.759765625</v>
      </c>
    </row>
    <row r="1234" spans="20:24" ht="16.5">
      <c r="T1234" s="86" t="s">
        <v>2259</v>
      </c>
      <c r="U1234" s="92">
        <v>266.6400146484375</v>
      </c>
      <c r="V1234" s="92">
        <v>266.6400146484375</v>
      </c>
      <c r="W1234" s="104">
        <v>19052200</v>
      </c>
      <c r="X1234" s="92">
        <v>7650.5</v>
      </c>
    </row>
    <row r="1235" spans="20:24" ht="16.5">
      <c r="T1235" s="86" t="s">
        <v>2260</v>
      </c>
      <c r="U1235" s="92">
        <v>270.8699951171875</v>
      </c>
      <c r="V1235" s="92">
        <v>270.8699951171875</v>
      </c>
      <c r="W1235" s="104">
        <v>7901400</v>
      </c>
      <c r="X1235" s="92">
        <v>7764.7001953125</v>
      </c>
    </row>
    <row r="1236" spans="20:24" ht="16.5">
      <c r="T1236" s="86" t="s">
        <v>2261</v>
      </c>
      <c r="U1236" s="92">
        <v>271.41000366210938</v>
      </c>
      <c r="V1236" s="92">
        <v>271.41000366210938</v>
      </c>
      <c r="W1236" s="104">
        <v>8298300</v>
      </c>
      <c r="X1236" s="92">
        <v>7764.64013671875</v>
      </c>
    </row>
    <row r="1237" spans="20:24" ht="16.5">
      <c r="T1237" s="86" t="s">
        <v>2262</v>
      </c>
      <c r="U1237" s="92">
        <v>272.6199951171875</v>
      </c>
      <c r="V1237" s="92">
        <v>272.6199951171875</v>
      </c>
      <c r="W1237" s="104">
        <v>5555000</v>
      </c>
      <c r="X1237" s="92">
        <v>7706.02978515625</v>
      </c>
    </row>
    <row r="1238" spans="20:24" ht="16.5">
      <c r="T1238" s="86" t="s">
        <v>2263</v>
      </c>
      <c r="U1238" s="92">
        <v>270.64999389648438</v>
      </c>
      <c r="V1238" s="92">
        <v>270.64999389648438</v>
      </c>
      <c r="W1238" s="104">
        <v>3340900</v>
      </c>
      <c r="X1238" s="92">
        <v>7704.1298828125</v>
      </c>
    </row>
    <row r="1239" spans="20:24" ht="16.5">
      <c r="T1239" s="86" t="s">
        <v>2264</v>
      </c>
      <c r="U1239" s="92">
        <v>278.07000732421881</v>
      </c>
      <c r="V1239" s="92">
        <v>278.07000732421881</v>
      </c>
      <c r="W1239" s="104">
        <v>3960200</v>
      </c>
      <c r="X1239" s="92">
        <v>7743.41015625</v>
      </c>
    </row>
    <row r="1240" spans="20:24" ht="16.5">
      <c r="T1240" s="86" t="s">
        <v>2265</v>
      </c>
      <c r="U1240" s="92">
        <v>278.30999755859369</v>
      </c>
      <c r="V1240" s="92">
        <v>278.30999755859369</v>
      </c>
      <c r="W1240" s="104">
        <v>4933200</v>
      </c>
      <c r="X1240" s="92">
        <v>7683.68994140625</v>
      </c>
    </row>
    <row r="1241" spans="20:24" ht="16.5">
      <c r="T1241" s="86" t="s">
        <v>2266</v>
      </c>
      <c r="U1241" s="92">
        <v>281.69000244140619</v>
      </c>
      <c r="V1241" s="92">
        <v>281.69000244140619</v>
      </c>
      <c r="W1241" s="104">
        <v>5033300</v>
      </c>
      <c r="X1241" s="92">
        <v>7670.83984375</v>
      </c>
    </row>
    <row r="1242" spans="20:24" ht="16.5">
      <c r="T1242" s="86" t="s">
        <v>2267</v>
      </c>
      <c r="U1242" s="92">
        <v>280.08999633789063</v>
      </c>
      <c r="V1242" s="92">
        <v>280.08999633789063</v>
      </c>
      <c r="W1242" s="104">
        <v>3959000</v>
      </c>
      <c r="X1242" s="92">
        <v>7651.5400390625</v>
      </c>
    </row>
    <row r="1243" spans="20:24" ht="16.5">
      <c r="T1243" s="86" t="s">
        <v>2268</v>
      </c>
      <c r="U1243" s="92">
        <v>281.30999755859369</v>
      </c>
      <c r="V1243" s="92">
        <v>281.30999755859369</v>
      </c>
      <c r="W1243" s="104">
        <v>3696200</v>
      </c>
      <c r="X1243" s="92">
        <v>7666.4501953125</v>
      </c>
    </row>
    <row r="1244" spans="20:24" ht="16.5">
      <c r="T1244" s="86" t="s">
        <v>2269</v>
      </c>
      <c r="U1244" s="92">
        <v>293.79998779296881</v>
      </c>
      <c r="V1244" s="92">
        <v>293.79998779296881</v>
      </c>
      <c r="W1244" s="104">
        <v>5050700</v>
      </c>
      <c r="X1244" s="92">
        <v>7722.72021484375</v>
      </c>
    </row>
    <row r="1245" spans="20:24" ht="16.5">
      <c r="T1245" s="86" t="s">
        <v>2270</v>
      </c>
      <c r="U1245" s="92">
        <v>294.89999389648438</v>
      </c>
      <c r="V1245" s="92">
        <v>294.89999389648438</v>
      </c>
      <c r="W1245" s="104">
        <v>3778300</v>
      </c>
      <c r="X1245" s="92">
        <v>7773.9501953125</v>
      </c>
    </row>
    <row r="1246" spans="20:24" ht="16.5">
      <c r="T1246" s="86" t="s">
        <v>2271</v>
      </c>
      <c r="U1246" s="92">
        <v>297.23001098632813</v>
      </c>
      <c r="V1246" s="92">
        <v>297.23001098632813</v>
      </c>
      <c r="W1246" s="104">
        <v>3285600</v>
      </c>
      <c r="X1246" s="92">
        <v>7818.93017578125</v>
      </c>
    </row>
    <row r="1247" spans="20:24" ht="16.5">
      <c r="T1247" s="86" t="s">
        <v>2272</v>
      </c>
      <c r="U1247" s="92">
        <v>288.98001098632813</v>
      </c>
      <c r="V1247" s="92">
        <v>288.98001098632813</v>
      </c>
      <c r="W1247" s="104">
        <v>4566900</v>
      </c>
      <c r="X1247" s="92">
        <v>7801.77001953125</v>
      </c>
    </row>
    <row r="1248" spans="20:24" ht="16.5">
      <c r="T1248" s="86" t="s">
        <v>2273</v>
      </c>
      <c r="U1248" s="92">
        <v>288.20001220703119</v>
      </c>
      <c r="V1248" s="92">
        <v>288.20001220703119</v>
      </c>
      <c r="W1248" s="104">
        <v>5944400</v>
      </c>
      <c r="X1248" s="92">
        <v>7765.35986328125</v>
      </c>
    </row>
    <row r="1249" spans="20:24" ht="16.5">
      <c r="T1249" s="86" t="s">
        <v>2274</v>
      </c>
      <c r="U1249" s="92">
        <v>283.739990234375</v>
      </c>
      <c r="V1249" s="92">
        <v>283.739990234375</v>
      </c>
      <c r="W1249" s="104">
        <v>4037300</v>
      </c>
      <c r="X1249" s="92">
        <v>7811.5400390625</v>
      </c>
    </row>
    <row r="1250" spans="20:24" ht="16.5">
      <c r="T1250" s="86" t="s">
        <v>2275</v>
      </c>
      <c r="U1250" s="92">
        <v>281.739990234375</v>
      </c>
      <c r="V1250" s="92">
        <v>281.739990234375</v>
      </c>
      <c r="W1250" s="104">
        <v>3853500</v>
      </c>
      <c r="X1250" s="92">
        <v>7807.240234375</v>
      </c>
    </row>
    <row r="1251" spans="20:24" ht="16.5">
      <c r="T1251" s="86" t="s">
        <v>2276</v>
      </c>
      <c r="U1251" s="92">
        <v>287.85000610351563</v>
      </c>
      <c r="V1251" s="92">
        <v>287.85000610351563</v>
      </c>
      <c r="W1251" s="104">
        <v>5628500</v>
      </c>
      <c r="X1251" s="92">
        <v>7805.4501953125</v>
      </c>
    </row>
    <row r="1252" spans="20:24" ht="16.5">
      <c r="T1252" s="86" t="s">
        <v>2277</v>
      </c>
      <c r="U1252" s="92">
        <v>280.64999389648438</v>
      </c>
      <c r="V1252" s="92">
        <v>280.64999389648438</v>
      </c>
      <c r="W1252" s="104">
        <v>6921800</v>
      </c>
      <c r="X1252" s="92">
        <v>7718.93994140625</v>
      </c>
    </row>
    <row r="1253" spans="20:24" ht="16.5">
      <c r="T1253" s="86" t="s">
        <v>2278</v>
      </c>
      <c r="U1253" s="92">
        <v>279.1199951171875</v>
      </c>
      <c r="V1253" s="92">
        <v>279.1199951171875</v>
      </c>
      <c r="W1253" s="104">
        <v>6857500</v>
      </c>
      <c r="X1253" s="92">
        <v>7744.06005859375</v>
      </c>
    </row>
    <row r="1254" spans="20:24" ht="16.5">
      <c r="T1254" s="86" t="s">
        <v>2279</v>
      </c>
      <c r="U1254" s="92">
        <v>276.48001098632813</v>
      </c>
      <c r="V1254" s="92">
        <v>276.48001098632813</v>
      </c>
      <c r="W1254" s="104">
        <v>7949400</v>
      </c>
      <c r="X1254" s="92">
        <v>7659.43994140625</v>
      </c>
    </row>
    <row r="1255" spans="20:24" ht="16.5">
      <c r="T1255" s="86" t="s">
        <v>2280</v>
      </c>
      <c r="U1255" s="92">
        <v>276.14999389648438</v>
      </c>
      <c r="V1255" s="92">
        <v>276.14999389648438</v>
      </c>
      <c r="W1255" s="104">
        <v>9582000</v>
      </c>
      <c r="X1255" s="92">
        <v>7690.72998046875</v>
      </c>
    </row>
    <row r="1256" spans="20:24" ht="16.5">
      <c r="T1256" s="86" t="s">
        <v>2281</v>
      </c>
      <c r="U1256" s="92">
        <v>277.77999877929688</v>
      </c>
      <c r="V1256" s="92">
        <v>277.77999877929688</v>
      </c>
      <c r="W1256" s="104">
        <v>7659700</v>
      </c>
      <c r="X1256" s="92">
        <v>7712.56982421875</v>
      </c>
    </row>
    <row r="1257" spans="20:24" ht="16.5">
      <c r="T1257" s="86" t="s">
        <v>2282</v>
      </c>
      <c r="U1257" s="92">
        <v>284.64999389648438</v>
      </c>
      <c r="V1257" s="92">
        <v>284.64999389648438</v>
      </c>
      <c r="W1257" s="104">
        <v>10433000</v>
      </c>
      <c r="X1257" s="92">
        <v>7757.169921875</v>
      </c>
    </row>
    <row r="1258" spans="20:24" ht="16.5">
      <c r="T1258" s="101" t="s">
        <v>963</v>
      </c>
      <c r="U1258" s="130">
        <v>279.5</v>
      </c>
      <c r="V1258" s="130">
        <v>279.5</v>
      </c>
      <c r="W1258" s="112">
        <v>13865800</v>
      </c>
      <c r="X1258" s="130">
        <v>7663.43017578125</v>
      </c>
    </row>
  </sheetData>
  <mergeCells count="1">
    <mergeCell ref="B2:X2"/>
  </mergeCells>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13"/>
  <sheetViews>
    <sheetView workbookViewId="0">
      <pane ySplit="4" topLeftCell="A5" activePane="bottomLeft" state="frozen"/>
      <selection pane="bottomLeft"/>
    </sheetView>
  </sheetViews>
  <sheetFormatPr defaultRowHeight="14.25"/>
  <cols>
    <col min="1" max="1" width="2" customWidth="1"/>
    <col min="2" max="2" width="8" customWidth="1"/>
    <col min="3" max="3" width="26" customWidth="1"/>
    <col min="4" max="13" width="12" customWidth="1"/>
    <col min="14" max="14" width="40" customWidth="1"/>
    <col min="15" max="16" width="3" customWidth="1"/>
    <col min="17" max="17" width="24" customWidth="1"/>
    <col min="18" max="19" width="14" customWidth="1"/>
  </cols>
  <sheetData>
    <row r="1" spans="2:19" ht="21.95" customHeight="1">
      <c r="B1" s="94" t="s">
        <v>2283</v>
      </c>
    </row>
    <row r="2" spans="2:19" ht="16.5">
      <c r="B2" s="86" t="s">
        <v>2284</v>
      </c>
    </row>
    <row r="4" spans="2:19" ht="66">
      <c r="B4" s="12" t="s">
        <v>146</v>
      </c>
      <c r="C4" s="12" t="s">
        <v>147</v>
      </c>
      <c r="D4" s="12" t="s">
        <v>148</v>
      </c>
      <c r="E4" s="12" t="s">
        <v>2285</v>
      </c>
      <c r="F4" s="12" t="s">
        <v>149</v>
      </c>
      <c r="G4" s="12" t="s">
        <v>122</v>
      </c>
      <c r="H4" s="12" t="s">
        <v>150</v>
      </c>
      <c r="I4" s="12" t="s">
        <v>151</v>
      </c>
      <c r="J4" s="12" t="s">
        <v>152</v>
      </c>
      <c r="K4" s="12" t="s">
        <v>124</v>
      </c>
      <c r="L4" s="12" t="s">
        <v>123</v>
      </c>
      <c r="M4" s="12" t="s">
        <v>4</v>
      </c>
      <c r="N4" s="12" t="s">
        <v>60</v>
      </c>
      <c r="Q4" s="12" t="s">
        <v>2286</v>
      </c>
      <c r="R4" s="12" t="s">
        <v>2287</v>
      </c>
      <c r="S4" s="12" t="s">
        <v>2288</v>
      </c>
    </row>
    <row r="5" spans="2:19" ht="16.5">
      <c r="B5" s="86" t="s">
        <v>3</v>
      </c>
      <c r="C5" s="86" t="s">
        <v>2289</v>
      </c>
      <c r="D5" s="128">
        <v>279.5</v>
      </c>
      <c r="E5" s="104">
        <v>255252728237</v>
      </c>
      <c r="F5" s="128">
        <v>36.251621271076523</v>
      </c>
      <c r="G5" s="128">
        <v>13.30480730972114</v>
      </c>
      <c r="H5" s="88">
        <v>0.39724114821847423</v>
      </c>
      <c r="I5" s="88">
        <v>0.40763748434941732</v>
      </c>
      <c r="J5" s="88">
        <v>0.20271052936406811</v>
      </c>
      <c r="K5" s="128">
        <v>24.48715154880226</v>
      </c>
      <c r="L5" s="88">
        <v>2.0322003577817532E-2</v>
      </c>
      <c r="M5" s="86" t="s">
        <v>963</v>
      </c>
      <c r="N5" s="14" t="s">
        <v>2290</v>
      </c>
      <c r="Q5" s="86" t="s">
        <v>2291</v>
      </c>
      <c r="R5" s="86">
        <v>28</v>
      </c>
      <c r="S5" s="86">
        <v>64.2</v>
      </c>
    </row>
    <row r="6" spans="2:19" ht="49.5">
      <c r="B6" s="86" t="s">
        <v>2292</v>
      </c>
      <c r="C6" s="86" t="s">
        <v>2293</v>
      </c>
      <c r="D6" s="128">
        <v>385.760009765625</v>
      </c>
      <c r="E6" s="104">
        <v>186925978510.48459</v>
      </c>
      <c r="F6" s="128">
        <v>45.814728000668048</v>
      </c>
      <c r="G6" s="128">
        <v>5.5714152295387098</v>
      </c>
      <c r="H6" s="88">
        <v>0.1222709450850373</v>
      </c>
      <c r="I6" s="88">
        <v>0.35549466983399203</v>
      </c>
      <c r="J6" s="88">
        <v>0.33648002102669777</v>
      </c>
      <c r="K6" s="128">
        <v>36.171555917920998</v>
      </c>
      <c r="L6" s="88">
        <v>1.0835752525358009E-2</v>
      </c>
      <c r="M6" s="86" t="s">
        <v>963</v>
      </c>
      <c r="N6" s="14" t="s">
        <v>2294</v>
      </c>
      <c r="Q6" s="86" t="s">
        <v>2295</v>
      </c>
      <c r="R6" s="86">
        <v>40</v>
      </c>
      <c r="S6" s="86">
        <v>67.3</v>
      </c>
    </row>
    <row r="7" spans="2:19" ht="49.5">
      <c r="B7" s="86" t="s">
        <v>2296</v>
      </c>
      <c r="C7" s="86" t="s">
        <v>2297</v>
      </c>
      <c r="D7" s="128">
        <v>74.519996643066406</v>
      </c>
      <c r="E7" s="104">
        <v>40465005830.475883</v>
      </c>
      <c r="F7" s="128">
        <v>109.5882303574506</v>
      </c>
      <c r="G7" s="128">
        <v>6.2726718075454793</v>
      </c>
      <c r="H7" s="88">
        <v>7.1896063299794866E-2</v>
      </c>
      <c r="I7" s="88">
        <v>0.15516467211994611</v>
      </c>
      <c r="J7" s="88">
        <v>0.20928750177062189</v>
      </c>
      <c r="K7" s="128">
        <v>30.995445213632639</v>
      </c>
      <c r="L7" s="88">
        <v>2.442297479852797E-2</v>
      </c>
      <c r="M7" s="86" t="s">
        <v>963</v>
      </c>
      <c r="N7" s="14" t="s">
        <v>2298</v>
      </c>
      <c r="Q7" s="86" t="s">
        <v>2299</v>
      </c>
      <c r="R7" s="86">
        <v>38</v>
      </c>
      <c r="S7" s="86">
        <v>63.2</v>
      </c>
    </row>
    <row r="8" spans="2:19" ht="49.5">
      <c r="B8" s="86" t="s">
        <v>2300</v>
      </c>
      <c r="C8" s="86" t="s">
        <v>2301</v>
      </c>
      <c r="D8" s="128">
        <v>237.78999328613281</v>
      </c>
      <c r="E8" s="104">
        <v>60035096180.352707</v>
      </c>
      <c r="F8" s="128">
        <v>22.755023280969649</v>
      </c>
      <c r="G8" s="128">
        <v>5.4941975089551303</v>
      </c>
      <c r="H8" s="88">
        <v>0.26203763148797471</v>
      </c>
      <c r="I8" s="88">
        <v>0.3035275465715418</v>
      </c>
      <c r="J8" s="88">
        <v>2.3695528686196621E-2</v>
      </c>
      <c r="K8" s="128">
        <v>15.126559313399421</v>
      </c>
      <c r="L8" s="88">
        <v>1.705706764169598E-2</v>
      </c>
      <c r="M8" s="86" t="s">
        <v>963</v>
      </c>
      <c r="N8" s="14" t="s">
        <v>2302</v>
      </c>
      <c r="Q8" s="86" t="s">
        <v>2303</v>
      </c>
      <c r="R8" s="86">
        <v>19</v>
      </c>
      <c r="S8" s="86">
        <v>57.3</v>
      </c>
    </row>
    <row r="9" spans="2:19" ht="49.5">
      <c r="B9" s="86" t="s">
        <v>2304</v>
      </c>
      <c r="C9" s="86" t="s">
        <v>2305</v>
      </c>
      <c r="D9" s="128">
        <v>73.230003356933594</v>
      </c>
      <c r="E9" s="104">
        <v>28509298635.723591</v>
      </c>
      <c r="F9" s="128">
        <v>47.245163456086189</v>
      </c>
      <c r="G9" s="128">
        <v>3.9493674256754812</v>
      </c>
      <c r="H9" s="88">
        <v>8.3142583858306668E-2</v>
      </c>
      <c r="I9" s="88">
        <v>0.1080544709413018</v>
      </c>
      <c r="J9" s="88">
        <v>-3.1412139776208048E-2</v>
      </c>
      <c r="K9" s="128">
        <v>19.946678524928789</v>
      </c>
      <c r="L9" s="53" t="s">
        <v>224</v>
      </c>
      <c r="M9" s="86" t="s">
        <v>963</v>
      </c>
      <c r="N9" s="14" t="s">
        <v>2306</v>
      </c>
      <c r="Q9" s="86" t="s">
        <v>2307</v>
      </c>
      <c r="R9" s="86">
        <v>26</v>
      </c>
      <c r="S9" s="86">
        <v>34.799999999999997</v>
      </c>
    </row>
    <row r="10" spans="2:19" ht="49.5">
      <c r="B10" s="86" t="s">
        <v>2308</v>
      </c>
      <c r="C10" s="86" t="s">
        <v>2309</v>
      </c>
      <c r="D10" s="128">
        <v>44.090000152587891</v>
      </c>
      <c r="E10" s="104">
        <v>39185787957.295258</v>
      </c>
      <c r="F10" s="53" t="s">
        <v>224</v>
      </c>
      <c r="G10" s="128">
        <v>2.197991247324167</v>
      </c>
      <c r="H10" s="53" t="s">
        <v>224</v>
      </c>
      <c r="I10" s="53" t="s">
        <v>224</v>
      </c>
      <c r="J10" s="53" t="s">
        <v>224</v>
      </c>
      <c r="K10" s="53" t="s">
        <v>224</v>
      </c>
      <c r="L10" s="88">
        <v>8.1651167782740321E-3</v>
      </c>
      <c r="M10" s="86" t="s">
        <v>963</v>
      </c>
      <c r="N10" s="14" t="s">
        <v>2310</v>
      </c>
      <c r="Q10" s="86" t="s">
        <v>2311</v>
      </c>
      <c r="R10" s="86">
        <v>9</v>
      </c>
      <c r="S10" s="86">
        <v>38.4</v>
      </c>
    </row>
    <row r="11" spans="2:19" ht="49.5">
      <c r="B11" s="101" t="s">
        <v>2312</v>
      </c>
      <c r="C11" s="101" t="s">
        <v>2313</v>
      </c>
      <c r="D11" s="129">
        <v>1167.930053710938</v>
      </c>
      <c r="E11" s="112">
        <v>57395586629.516602</v>
      </c>
      <c r="F11" s="129">
        <v>71.345757709892325</v>
      </c>
      <c r="G11" s="129">
        <v>14.734105101143451</v>
      </c>
      <c r="H11" s="121">
        <v>0.22572879139425631</v>
      </c>
      <c r="I11" s="121">
        <v>0.28723483559302659</v>
      </c>
      <c r="J11" s="121">
        <v>0.28666321791005339</v>
      </c>
      <c r="K11" s="55" t="s">
        <v>224</v>
      </c>
      <c r="L11" s="121">
        <v>6.0962554883977659E-3</v>
      </c>
      <c r="M11" s="101" t="s">
        <v>963</v>
      </c>
      <c r="N11" s="16" t="s">
        <v>2314</v>
      </c>
      <c r="Q11" s="86" t="s">
        <v>2315</v>
      </c>
      <c r="R11" s="86">
        <v>47.6</v>
      </c>
      <c r="S11" s="86">
        <v>55.2</v>
      </c>
    </row>
    <row r="12" spans="2:19" ht="16.5">
      <c r="Q12" s="86" t="s">
        <v>2316</v>
      </c>
      <c r="R12" s="86">
        <v>13</v>
      </c>
      <c r="S12" s="86">
        <v>40.799999999999997</v>
      </c>
    </row>
    <row r="13" spans="2:19" ht="16.5">
      <c r="Q13" s="101" t="s">
        <v>2317</v>
      </c>
      <c r="R13" s="101">
        <v>24.8</v>
      </c>
      <c r="S13" s="101">
        <v>58.6</v>
      </c>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I11"/>
  <sheetViews>
    <sheetView workbookViewId="0">
      <pane ySplit="4" topLeftCell="A5" activePane="bottomLeft" state="frozen"/>
      <selection pane="bottomLeft"/>
    </sheetView>
  </sheetViews>
  <sheetFormatPr defaultRowHeight="14.25"/>
  <cols>
    <col min="1" max="1" width="2" customWidth="1"/>
    <col min="2" max="2" width="26" customWidth="1"/>
    <col min="3" max="4" width="12" customWidth="1"/>
    <col min="5" max="6" width="16" customWidth="1"/>
    <col min="7" max="7" width="12" customWidth="1"/>
    <col min="8" max="8" width="20" customWidth="1"/>
    <col min="9" max="9" width="16" customWidth="1"/>
  </cols>
  <sheetData>
    <row r="1" spans="2:9" ht="21.95" customHeight="1">
      <c r="B1" s="94" t="s">
        <v>2318</v>
      </c>
    </row>
    <row r="2" spans="2:9" ht="16.5">
      <c r="B2" s="86" t="s">
        <v>2319</v>
      </c>
    </row>
    <row r="4" spans="2:9" ht="33">
      <c r="B4" s="12" t="s">
        <v>175</v>
      </c>
      <c r="C4" s="12" t="s">
        <v>178</v>
      </c>
      <c r="D4" s="12" t="s">
        <v>151</v>
      </c>
      <c r="E4" s="12" t="s">
        <v>2320</v>
      </c>
      <c r="F4" s="12" t="s">
        <v>2321</v>
      </c>
      <c r="G4" s="12" t="s">
        <v>2322</v>
      </c>
      <c r="H4" s="12" t="s">
        <v>60</v>
      </c>
      <c r="I4" s="12" t="s">
        <v>2323</v>
      </c>
    </row>
    <row r="5" spans="2:9" ht="16.5">
      <c r="B5" s="86" t="s">
        <v>179</v>
      </c>
      <c r="C5" s="88">
        <v>0.79200000000000004</v>
      </c>
      <c r="D5" s="88">
        <v>0.38600000000000001</v>
      </c>
      <c r="E5" s="104">
        <v>5412</v>
      </c>
      <c r="F5" s="104">
        <f>E5</f>
        <v>5412</v>
      </c>
      <c r="G5" s="88">
        <f>IF(AND(ISNUMBER(F5),ISNUMBER($F$8),$F$8&gt;0),F5/$F$8,"n.a.")</f>
        <v>0.8985555371077536</v>
      </c>
      <c r="H5" s="86" t="s">
        <v>182</v>
      </c>
      <c r="I5" s="86" t="s">
        <v>740</v>
      </c>
    </row>
    <row r="6" spans="2:9" ht="16.5">
      <c r="B6" s="86" t="s">
        <v>183</v>
      </c>
      <c r="C6" s="88">
        <v>0.153</v>
      </c>
      <c r="D6" s="88">
        <v>0.113</v>
      </c>
      <c r="E6" s="104">
        <v>304</v>
      </c>
      <c r="F6" s="104">
        <f>E6</f>
        <v>304</v>
      </c>
      <c r="G6" s="88">
        <f>IF(AND(ISNUMBER(F6),ISNUMBER($F$8),$F$8&gt;0),F6/$F$8,"n.a.")</f>
        <v>5.0473186119873815E-2</v>
      </c>
      <c r="H6" s="86" t="s">
        <v>186</v>
      </c>
      <c r="I6" s="86" t="s">
        <v>741</v>
      </c>
    </row>
    <row r="7" spans="2:9" ht="16.5">
      <c r="B7" s="86" t="s">
        <v>187</v>
      </c>
      <c r="C7" s="88">
        <v>5.5E-2</v>
      </c>
      <c r="D7" s="88">
        <v>0.314</v>
      </c>
      <c r="E7" s="104">
        <v>307</v>
      </c>
      <c r="F7" s="104">
        <f>E7</f>
        <v>307</v>
      </c>
      <c r="G7" s="88">
        <f>IF(AND(ISNUMBER(F7),ISNUMBER($F$8),$F$8&gt;0),F7/$F$8,"n.a.")</f>
        <v>5.0971276772372572E-2</v>
      </c>
      <c r="H7" s="86" t="s">
        <v>190</v>
      </c>
      <c r="I7" s="86" t="s">
        <v>742</v>
      </c>
    </row>
    <row r="8" spans="2:9" ht="16.5">
      <c r="B8" s="120" t="s">
        <v>2324</v>
      </c>
      <c r="C8" s="132">
        <f>SUM(C5:C7)</f>
        <v>1</v>
      </c>
      <c r="D8" s="21"/>
      <c r="E8" s="21"/>
      <c r="F8" s="133">
        <f>SUM(F5:F7)</f>
        <v>6023</v>
      </c>
      <c r="G8" s="132">
        <f>SUM(G5:G7)</f>
        <v>1</v>
      </c>
      <c r="H8" s="21"/>
      <c r="I8" s="21"/>
    </row>
    <row r="10" spans="2:9" ht="17.100000000000001" customHeight="1">
      <c r="B10" s="141" t="s">
        <v>2325</v>
      </c>
      <c r="C10" s="142"/>
      <c r="D10" s="142"/>
      <c r="E10" s="142"/>
      <c r="F10" s="142"/>
      <c r="G10" s="142"/>
      <c r="H10" s="142"/>
      <c r="I10" s="142"/>
    </row>
    <row r="11" spans="2:9" ht="17.100000000000001" customHeight="1">
      <c r="B11" s="141" t="s">
        <v>2326</v>
      </c>
      <c r="C11" s="142"/>
      <c r="D11" s="142"/>
      <c r="E11" s="142"/>
      <c r="F11" s="142"/>
      <c r="G11" s="142"/>
      <c r="H11" s="142"/>
      <c r="I11" s="142"/>
    </row>
  </sheetData>
  <mergeCells count="2">
    <mergeCell ref="B11:I11"/>
    <mergeCell ref="B10:I10"/>
  </mergeCells>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P65"/>
  <sheetViews>
    <sheetView workbookViewId="0">
      <pane ySplit="4" topLeftCell="A5" activePane="bottomLeft" state="frozen"/>
      <selection pane="bottomLeft"/>
    </sheetView>
  </sheetViews>
  <sheetFormatPr defaultRowHeight="14.25"/>
  <cols>
    <col min="1" max="1" width="2" customWidth="1"/>
    <col min="2" max="2" width="12" customWidth="1"/>
    <col min="3" max="3" width="14" customWidth="1"/>
    <col min="4" max="4" width="10" customWidth="1"/>
    <col min="5" max="5" width="12" customWidth="1"/>
    <col min="6" max="6" width="14"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 min="15" max="15" width="14" customWidth="1"/>
    <col min="16" max="16" width="10" customWidth="1"/>
  </cols>
  <sheetData>
    <row r="1" spans="2:16" ht="21.95" customHeight="1">
      <c r="B1" s="94" t="s">
        <v>2327</v>
      </c>
    </row>
    <row r="2" spans="2:16" ht="16.5">
      <c r="B2" s="86" t="s">
        <v>2328</v>
      </c>
    </row>
    <row r="3" spans="2:16" ht="16.5">
      <c r="B3" s="86" t="s">
        <v>2329</v>
      </c>
      <c r="E3" s="86" t="s">
        <v>2330</v>
      </c>
      <c r="H3" s="86" t="s">
        <v>2331</v>
      </c>
      <c r="K3" s="86" t="s">
        <v>2330</v>
      </c>
      <c r="N3" s="86" t="s">
        <v>2332</v>
      </c>
    </row>
    <row r="4" spans="2:16" ht="82.5">
      <c r="B4" s="12" t="s">
        <v>2333</v>
      </c>
      <c r="C4" s="12" t="s">
        <v>352</v>
      </c>
      <c r="D4" s="12" t="s">
        <v>2334</v>
      </c>
      <c r="E4" s="12" t="s">
        <v>2333</v>
      </c>
      <c r="F4" s="12" t="s">
        <v>356</v>
      </c>
      <c r="G4" s="12" t="s">
        <v>2334</v>
      </c>
      <c r="H4" s="12" t="s">
        <v>2333</v>
      </c>
      <c r="I4" s="12" t="s">
        <v>359</v>
      </c>
      <c r="J4" s="12" t="s">
        <v>2334</v>
      </c>
      <c r="K4" s="12" t="s">
        <v>2333</v>
      </c>
      <c r="L4" s="12" t="s">
        <v>362</v>
      </c>
      <c r="M4" s="12" t="s">
        <v>2334</v>
      </c>
      <c r="N4" s="12" t="s">
        <v>2333</v>
      </c>
      <c r="O4" s="12" t="s">
        <v>364</v>
      </c>
      <c r="P4" s="12" t="s">
        <v>2334</v>
      </c>
    </row>
    <row r="5" spans="2:16" ht="16.5">
      <c r="B5" s="86" t="s">
        <v>2335</v>
      </c>
      <c r="C5" s="134">
        <v>29.978000000000002</v>
      </c>
      <c r="D5" s="86" t="s">
        <v>2336</v>
      </c>
      <c r="E5" s="86" t="s">
        <v>2335</v>
      </c>
      <c r="F5" s="134">
        <v>118.1095</v>
      </c>
      <c r="G5" s="86" t="s">
        <v>2336</v>
      </c>
      <c r="H5" s="86" t="s">
        <v>2335</v>
      </c>
      <c r="I5" s="134">
        <v>12.287000000000001</v>
      </c>
      <c r="J5" s="86" t="s">
        <v>2336</v>
      </c>
      <c r="K5" s="86" t="s">
        <v>2335</v>
      </c>
      <c r="L5" s="134">
        <v>97.065399999999997</v>
      </c>
      <c r="M5" s="86" t="s">
        <v>2336</v>
      </c>
      <c r="N5" s="86" t="s">
        <v>2335</v>
      </c>
      <c r="O5" s="134">
        <v>23426</v>
      </c>
      <c r="P5" s="86" t="s">
        <v>2336</v>
      </c>
    </row>
    <row r="6" spans="2:16" ht="16.5">
      <c r="B6" s="86" t="s">
        <v>964</v>
      </c>
      <c r="C6" s="134">
        <v>29.757999999999999</v>
      </c>
      <c r="D6" s="86" t="s">
        <v>2337</v>
      </c>
      <c r="E6" s="86" t="s">
        <v>964</v>
      </c>
      <c r="F6" s="134">
        <v>119.9345</v>
      </c>
      <c r="G6" s="86" t="s">
        <v>2337</v>
      </c>
      <c r="H6" s="86" t="s">
        <v>964</v>
      </c>
      <c r="I6" s="134">
        <v>12.775</v>
      </c>
      <c r="J6" s="86" t="s">
        <v>2337</v>
      </c>
      <c r="K6" s="86" t="s">
        <v>964</v>
      </c>
      <c r="L6" s="134">
        <v>98.433300000000003</v>
      </c>
      <c r="M6" s="86" t="s">
        <v>2337</v>
      </c>
      <c r="N6" s="86" t="s">
        <v>964</v>
      </c>
      <c r="O6" s="134">
        <v>23258</v>
      </c>
      <c r="P6" s="86" t="s">
        <v>2337</v>
      </c>
    </row>
    <row r="7" spans="2:16" ht="16.5">
      <c r="B7" s="86" t="s">
        <v>968</v>
      </c>
      <c r="C7" s="134">
        <v>29.98</v>
      </c>
      <c r="D7" s="86" t="s">
        <v>2338</v>
      </c>
      <c r="E7" s="86" t="s">
        <v>968</v>
      </c>
      <c r="F7" s="134">
        <v>122.41679999999999</v>
      </c>
      <c r="G7" s="86" t="s">
        <v>2338</v>
      </c>
      <c r="H7" s="86" t="s">
        <v>968</v>
      </c>
      <c r="I7" s="134">
        <v>12.954000000000001</v>
      </c>
      <c r="J7" s="86" t="s">
        <v>2338</v>
      </c>
      <c r="K7" s="86" t="s">
        <v>968</v>
      </c>
      <c r="L7" s="134">
        <v>99.014600000000002</v>
      </c>
      <c r="M7" s="86" t="s">
        <v>2338</v>
      </c>
      <c r="N7" s="86" t="s">
        <v>968</v>
      </c>
      <c r="O7" s="134">
        <v>24365</v>
      </c>
      <c r="P7" s="86" t="s">
        <v>2338</v>
      </c>
    </row>
    <row r="8" spans="2:16" ht="16.5">
      <c r="B8" s="86" t="s">
        <v>272</v>
      </c>
      <c r="C8" s="134">
        <v>30.08</v>
      </c>
      <c r="D8" s="86" t="s">
        <v>2339</v>
      </c>
      <c r="E8" s="86" t="s">
        <v>272</v>
      </c>
      <c r="F8" s="134">
        <v>124.70740000000001</v>
      </c>
      <c r="G8" s="86" t="s">
        <v>2339</v>
      </c>
      <c r="H8" s="86" t="s">
        <v>272</v>
      </c>
      <c r="I8" s="134">
        <v>12.680999999999999</v>
      </c>
      <c r="J8" s="86" t="s">
        <v>2339</v>
      </c>
      <c r="K8" s="86" t="s">
        <v>272</v>
      </c>
      <c r="L8" s="134">
        <v>98.897000000000006</v>
      </c>
      <c r="M8" s="86" t="s">
        <v>2339</v>
      </c>
      <c r="N8" s="86" t="s">
        <v>272</v>
      </c>
      <c r="O8" s="134">
        <v>24000</v>
      </c>
      <c r="P8" s="86" t="s">
        <v>2339</v>
      </c>
    </row>
    <row r="9" spans="2:16" ht="16.5">
      <c r="B9" s="86" t="s">
        <v>974</v>
      </c>
      <c r="C9" s="134">
        <v>30.382000000000001</v>
      </c>
      <c r="D9" s="86" t="s">
        <v>2340</v>
      </c>
      <c r="E9" s="86" t="s">
        <v>974</v>
      </c>
      <c r="F9" s="134">
        <v>125.773</v>
      </c>
      <c r="G9" s="86" t="s">
        <v>2340</v>
      </c>
      <c r="H9" s="86" t="s">
        <v>974</v>
      </c>
      <c r="I9" s="134">
        <v>14.683</v>
      </c>
      <c r="J9" s="86" t="s">
        <v>2340</v>
      </c>
      <c r="K9" s="86" t="s">
        <v>974</v>
      </c>
      <c r="L9" s="134">
        <v>97.953500000000005</v>
      </c>
      <c r="M9" s="86" t="s">
        <v>2340</v>
      </c>
      <c r="N9" s="86" t="s">
        <v>974</v>
      </c>
      <c r="O9" s="134">
        <v>24951</v>
      </c>
      <c r="P9" s="86" t="s">
        <v>2340</v>
      </c>
    </row>
    <row r="10" spans="2:16" ht="16.5">
      <c r="B10" s="86" t="s">
        <v>977</v>
      </c>
      <c r="C10" s="134">
        <v>30.356000000000002</v>
      </c>
      <c r="D10" s="86" t="s">
        <v>2341</v>
      </c>
      <c r="E10" s="86" t="s">
        <v>977</v>
      </c>
      <c r="F10" s="134">
        <v>128.9521</v>
      </c>
      <c r="G10" s="86" t="s">
        <v>2341</v>
      </c>
      <c r="H10" s="86" t="s">
        <v>977</v>
      </c>
      <c r="I10" s="134">
        <v>13.736000000000001</v>
      </c>
      <c r="J10" s="86" t="s">
        <v>2341</v>
      </c>
      <c r="K10" s="86" t="s">
        <v>977</v>
      </c>
      <c r="L10" s="134">
        <v>98.522300000000001</v>
      </c>
      <c r="M10" s="86" t="s">
        <v>2341</v>
      </c>
      <c r="N10" s="86" t="s">
        <v>977</v>
      </c>
      <c r="O10" s="134">
        <v>24829</v>
      </c>
      <c r="P10" s="86" t="s">
        <v>2341</v>
      </c>
    </row>
    <row r="11" spans="2:16" ht="16.5">
      <c r="B11" s="86" t="s">
        <v>980</v>
      </c>
      <c r="C11" s="134">
        <v>30.527000000000001</v>
      </c>
      <c r="D11" s="86" t="s">
        <v>2342</v>
      </c>
      <c r="E11" s="86" t="s">
        <v>980</v>
      </c>
      <c r="F11" s="134">
        <v>129.55420000000001</v>
      </c>
      <c r="G11" s="86" t="s">
        <v>2342</v>
      </c>
      <c r="H11" s="86" t="s">
        <v>980</v>
      </c>
      <c r="I11" s="134">
        <v>13.66</v>
      </c>
      <c r="J11" s="86" t="s">
        <v>2342</v>
      </c>
      <c r="K11" s="86" t="s">
        <v>980</v>
      </c>
      <c r="L11" s="134">
        <v>98.970399999999998</v>
      </c>
      <c r="M11" s="86" t="s">
        <v>2342</v>
      </c>
      <c r="N11" s="86" t="s">
        <v>980</v>
      </c>
      <c r="O11" s="134">
        <v>24866</v>
      </c>
      <c r="P11" s="86" t="s">
        <v>2342</v>
      </c>
    </row>
    <row r="12" spans="2:16" ht="16.5">
      <c r="B12" s="86" t="s">
        <v>984</v>
      </c>
      <c r="C12" s="134">
        <v>30.716999999999999</v>
      </c>
      <c r="D12" s="86" t="s">
        <v>2343</v>
      </c>
      <c r="E12" s="86" t="s">
        <v>984</v>
      </c>
      <c r="F12" s="134">
        <v>127.9384</v>
      </c>
      <c r="G12" s="86" t="s">
        <v>2343</v>
      </c>
      <c r="H12" s="86" t="s">
        <v>984</v>
      </c>
      <c r="I12" s="134">
        <v>14.113</v>
      </c>
      <c r="J12" s="86" t="s">
        <v>2343</v>
      </c>
      <c r="K12" s="86" t="s">
        <v>984</v>
      </c>
      <c r="L12" s="134">
        <v>98.920400000000001</v>
      </c>
      <c r="M12" s="86" t="s">
        <v>2343</v>
      </c>
      <c r="N12" s="86" t="s">
        <v>984</v>
      </c>
      <c r="O12" s="134">
        <v>25011</v>
      </c>
      <c r="P12" s="86" t="s">
        <v>2343</v>
      </c>
    </row>
    <row r="13" spans="2:16" ht="16.5">
      <c r="B13" s="86" t="s">
        <v>986</v>
      </c>
      <c r="C13" s="134">
        <v>30.858000000000001</v>
      </c>
      <c r="D13" s="86" t="s">
        <v>2344</v>
      </c>
      <c r="E13" s="86" t="s">
        <v>986</v>
      </c>
      <c r="F13" s="134">
        <v>128.77000000000001</v>
      </c>
      <c r="G13" s="86" t="s">
        <v>2344</v>
      </c>
      <c r="H13" s="86" t="s">
        <v>986</v>
      </c>
      <c r="I13" s="134">
        <v>12.853</v>
      </c>
      <c r="J13" s="86" t="s">
        <v>2344</v>
      </c>
      <c r="K13" s="86" t="s">
        <v>986</v>
      </c>
      <c r="L13" s="134">
        <v>98.479900000000001</v>
      </c>
      <c r="M13" s="86" t="s">
        <v>2344</v>
      </c>
      <c r="N13" s="86" t="s">
        <v>986</v>
      </c>
      <c r="O13" s="134">
        <v>25136</v>
      </c>
      <c r="P13" s="86" t="s">
        <v>2344</v>
      </c>
    </row>
    <row r="14" spans="2:16" ht="16.5">
      <c r="B14" s="86" t="s">
        <v>989</v>
      </c>
      <c r="C14" s="134">
        <v>31.044</v>
      </c>
      <c r="D14" s="86" t="s">
        <v>2345</v>
      </c>
      <c r="E14" s="86" t="s">
        <v>989</v>
      </c>
      <c r="F14" s="134">
        <v>131.24950000000001</v>
      </c>
      <c r="G14" s="86" t="s">
        <v>2345</v>
      </c>
      <c r="H14" s="86" t="s">
        <v>989</v>
      </c>
      <c r="I14" s="134">
        <v>13.348000000000001</v>
      </c>
      <c r="J14" s="86" t="s">
        <v>2345</v>
      </c>
      <c r="K14" s="86" t="s">
        <v>989</v>
      </c>
      <c r="L14" s="134">
        <v>97.938299999999998</v>
      </c>
      <c r="M14" s="86" t="s">
        <v>2345</v>
      </c>
      <c r="N14" s="86" t="s">
        <v>989</v>
      </c>
      <c r="O14" s="134">
        <v>25024</v>
      </c>
      <c r="P14" s="86" t="s">
        <v>2345</v>
      </c>
    </row>
    <row r="15" spans="2:16" ht="16.5">
      <c r="B15" s="86" t="s">
        <v>991</v>
      </c>
      <c r="C15" s="134">
        <v>30.998000000000001</v>
      </c>
      <c r="D15" s="86" t="s">
        <v>2346</v>
      </c>
      <c r="E15" s="86" t="s">
        <v>991</v>
      </c>
      <c r="F15" s="134">
        <v>131.70609999999999</v>
      </c>
      <c r="G15" s="86" t="s">
        <v>2346</v>
      </c>
      <c r="H15" s="86" t="s">
        <v>991</v>
      </c>
      <c r="I15" s="134">
        <v>13.307</v>
      </c>
      <c r="J15" s="86" t="s">
        <v>2346</v>
      </c>
      <c r="K15" s="86" t="s">
        <v>991</v>
      </c>
      <c r="L15" s="134">
        <v>98.0214</v>
      </c>
      <c r="M15" s="86" t="s">
        <v>2346</v>
      </c>
      <c r="N15" s="86" t="s">
        <v>991</v>
      </c>
      <c r="O15" s="134">
        <v>25470</v>
      </c>
      <c r="P15" s="86" t="s">
        <v>2346</v>
      </c>
    </row>
    <row r="16" spans="2:16" ht="16.5">
      <c r="B16" s="86" t="s">
        <v>993</v>
      </c>
      <c r="C16" s="134">
        <v>30.879000000000001</v>
      </c>
      <c r="D16" s="86" t="s">
        <v>2347</v>
      </c>
      <c r="E16" s="86" t="s">
        <v>993</v>
      </c>
      <c r="F16" s="134">
        <v>132.83330000000001</v>
      </c>
      <c r="G16" s="86" t="s">
        <v>2347</v>
      </c>
      <c r="H16" s="86" t="s">
        <v>993</v>
      </c>
      <c r="I16" s="134">
        <v>13.587999999999999</v>
      </c>
      <c r="J16" s="86" t="s">
        <v>2347</v>
      </c>
      <c r="K16" s="86" t="s">
        <v>993</v>
      </c>
      <c r="L16" s="134">
        <v>98.001900000000006</v>
      </c>
      <c r="M16" s="86" t="s">
        <v>2347</v>
      </c>
      <c r="N16" s="86" t="s">
        <v>993</v>
      </c>
      <c r="O16" s="134">
        <v>25449</v>
      </c>
      <c r="P16" s="86" t="s">
        <v>2347</v>
      </c>
    </row>
    <row r="17" spans="2:16" ht="16.5">
      <c r="B17" s="86" t="s">
        <v>995</v>
      </c>
      <c r="C17" s="134">
        <v>31.088999999999999</v>
      </c>
      <c r="D17" s="86" t="s">
        <v>2348</v>
      </c>
      <c r="E17" s="86" t="s">
        <v>995</v>
      </c>
      <c r="F17" s="134">
        <v>134.05670000000001</v>
      </c>
      <c r="G17" s="86" t="s">
        <v>2348</v>
      </c>
      <c r="H17" s="86" t="s">
        <v>995</v>
      </c>
      <c r="I17" s="134">
        <v>13.595000000000001</v>
      </c>
      <c r="J17" s="86" t="s">
        <v>2348</v>
      </c>
      <c r="K17" s="86" t="s">
        <v>995</v>
      </c>
      <c r="L17" s="134">
        <v>97.993600000000001</v>
      </c>
      <c r="M17" s="86" t="s">
        <v>2348</v>
      </c>
      <c r="N17" s="86" t="s">
        <v>995</v>
      </c>
      <c r="O17" s="134">
        <v>25076</v>
      </c>
      <c r="P17" s="86" t="s">
        <v>2348</v>
      </c>
    </row>
    <row r="18" spans="2:16" ht="16.5">
      <c r="B18" s="86" t="s">
        <v>997</v>
      </c>
      <c r="C18" s="134">
        <v>31.73</v>
      </c>
      <c r="D18" s="86" t="s">
        <v>2349</v>
      </c>
      <c r="E18" s="86" t="s">
        <v>997</v>
      </c>
      <c r="F18" s="134">
        <v>132.92570000000001</v>
      </c>
      <c r="G18" s="86" t="s">
        <v>2349</v>
      </c>
      <c r="H18" s="86" t="s">
        <v>997</v>
      </c>
      <c r="I18" s="134">
        <v>14.685</v>
      </c>
      <c r="J18" s="86" t="s">
        <v>2349</v>
      </c>
      <c r="K18" s="86" t="s">
        <v>997</v>
      </c>
      <c r="L18" s="134">
        <v>98.239000000000004</v>
      </c>
      <c r="M18" s="86" t="s">
        <v>2349</v>
      </c>
      <c r="N18" s="86" t="s">
        <v>997</v>
      </c>
      <c r="O18" s="134">
        <v>24651</v>
      </c>
      <c r="P18" s="86" t="s">
        <v>2349</v>
      </c>
    </row>
    <row r="19" spans="2:16" ht="16.5">
      <c r="B19" s="86" t="s">
        <v>999</v>
      </c>
      <c r="C19" s="134">
        <v>31.85</v>
      </c>
      <c r="D19" s="86" t="s">
        <v>2350</v>
      </c>
      <c r="E19" s="86" t="s">
        <v>999</v>
      </c>
      <c r="F19" s="134">
        <v>133.44890000000001</v>
      </c>
      <c r="G19" s="86" t="s">
        <v>2350</v>
      </c>
      <c r="H19" s="86" t="s">
        <v>999</v>
      </c>
      <c r="I19" s="134">
        <v>14.129</v>
      </c>
      <c r="J19" s="86" t="s">
        <v>2350</v>
      </c>
      <c r="K19" s="86" t="s">
        <v>999</v>
      </c>
      <c r="L19" s="134">
        <v>97.455500000000001</v>
      </c>
      <c r="M19" s="86" t="s">
        <v>2350</v>
      </c>
      <c r="N19" s="86" t="s">
        <v>999</v>
      </c>
      <c r="O19" s="134">
        <v>24806</v>
      </c>
      <c r="P19" s="86" t="s">
        <v>2350</v>
      </c>
    </row>
    <row r="20" spans="2:16" ht="16.5">
      <c r="B20" s="86" t="s">
        <v>1002</v>
      </c>
      <c r="C20" s="134">
        <v>31.861999999999998</v>
      </c>
      <c r="D20" s="86" t="s">
        <v>2351</v>
      </c>
      <c r="E20" s="86" t="s">
        <v>1002</v>
      </c>
      <c r="F20" s="134">
        <v>130.84889999999999</v>
      </c>
      <c r="G20" s="86" t="s">
        <v>2351</v>
      </c>
      <c r="H20" s="86" t="s">
        <v>1002</v>
      </c>
      <c r="I20" s="134">
        <v>13.353999999999999</v>
      </c>
      <c r="J20" s="86" t="s">
        <v>2351</v>
      </c>
      <c r="K20" s="86" t="s">
        <v>1002</v>
      </c>
      <c r="L20" s="134">
        <v>95.754499999999993</v>
      </c>
      <c r="M20" s="86" t="s">
        <v>2351</v>
      </c>
      <c r="N20" s="86" t="s">
        <v>1002</v>
      </c>
      <c r="O20" s="134">
        <v>24587</v>
      </c>
      <c r="P20" s="86" t="s">
        <v>2351</v>
      </c>
    </row>
    <row r="21" spans="2:16" ht="16.5">
      <c r="B21" s="86" t="s">
        <v>275</v>
      </c>
      <c r="C21" s="134">
        <v>31.785</v>
      </c>
      <c r="D21" s="86" t="s">
        <v>2352</v>
      </c>
      <c r="E21" s="86" t="s">
        <v>275</v>
      </c>
      <c r="F21" s="134">
        <v>130.0403</v>
      </c>
      <c r="G21" s="86" t="s">
        <v>2352</v>
      </c>
      <c r="H21" s="86" t="s">
        <v>275</v>
      </c>
      <c r="I21" s="134">
        <v>15.427</v>
      </c>
      <c r="J21" s="86" t="s">
        <v>2352</v>
      </c>
      <c r="K21" s="86" t="s">
        <v>275</v>
      </c>
      <c r="L21" s="134">
        <v>97.433199999999999</v>
      </c>
      <c r="M21" s="86" t="s">
        <v>2352</v>
      </c>
      <c r="N21" s="86" t="s">
        <v>275</v>
      </c>
      <c r="O21" s="134">
        <v>24005</v>
      </c>
      <c r="P21" s="86" t="s">
        <v>2352</v>
      </c>
    </row>
    <row r="22" spans="2:16" ht="16.5">
      <c r="B22" s="86" t="s">
        <v>1005</v>
      </c>
      <c r="C22" s="134">
        <v>31.969000000000001</v>
      </c>
      <c r="D22" s="86" t="s">
        <v>2353</v>
      </c>
      <c r="E22" s="86" t="s">
        <v>1005</v>
      </c>
      <c r="F22" s="134">
        <v>133.54</v>
      </c>
      <c r="G22" s="86" t="s">
        <v>2353</v>
      </c>
      <c r="H22" s="86" t="s">
        <v>1005</v>
      </c>
      <c r="I22" s="134">
        <v>14.96</v>
      </c>
      <c r="J22" s="86" t="s">
        <v>2353</v>
      </c>
      <c r="K22" s="86" t="s">
        <v>1005</v>
      </c>
      <c r="L22" s="134">
        <v>97.482100000000003</v>
      </c>
      <c r="M22" s="86" t="s">
        <v>2353</v>
      </c>
      <c r="N22" s="86" t="s">
        <v>1005</v>
      </c>
      <c r="O22" s="134">
        <v>24255</v>
      </c>
      <c r="P22" s="86" t="s">
        <v>2353</v>
      </c>
    </row>
    <row r="23" spans="2:16" ht="16.5">
      <c r="B23" s="86" t="s">
        <v>1007</v>
      </c>
      <c r="C23" s="134">
        <v>31.885999999999999</v>
      </c>
      <c r="D23" s="86" t="s">
        <v>2354</v>
      </c>
      <c r="E23" s="86" t="s">
        <v>1007</v>
      </c>
      <c r="F23" s="134">
        <v>133.53309999999999</v>
      </c>
      <c r="G23" s="86" t="s">
        <v>2354</v>
      </c>
      <c r="H23" s="86" t="s">
        <v>1007</v>
      </c>
      <c r="I23" s="134">
        <v>14.997999999999999</v>
      </c>
      <c r="J23" s="86" t="s">
        <v>2354</v>
      </c>
      <c r="K23" s="86" t="s">
        <v>1007</v>
      </c>
      <c r="L23" s="134">
        <v>96.855199999999996</v>
      </c>
      <c r="M23" s="86" t="s">
        <v>2354</v>
      </c>
      <c r="N23" s="86" t="s">
        <v>1007</v>
      </c>
      <c r="O23" s="134">
        <v>24613</v>
      </c>
      <c r="P23" s="86" t="s">
        <v>2354</v>
      </c>
    </row>
    <row r="24" spans="2:16" ht="16.5">
      <c r="B24" s="86" t="s">
        <v>1009</v>
      </c>
      <c r="C24" s="134">
        <v>31.625</v>
      </c>
      <c r="D24" s="86" t="s">
        <v>2355</v>
      </c>
      <c r="E24" s="86" t="s">
        <v>1009</v>
      </c>
      <c r="F24" s="134">
        <v>135.8398</v>
      </c>
      <c r="G24" s="86" t="s">
        <v>2355</v>
      </c>
      <c r="H24" s="86" t="s">
        <v>1009</v>
      </c>
      <c r="I24" s="134">
        <v>15.795999999999999</v>
      </c>
      <c r="J24" s="86" t="s">
        <v>2355</v>
      </c>
      <c r="K24" s="86" t="s">
        <v>1009</v>
      </c>
      <c r="L24" s="134">
        <v>97.773799999999994</v>
      </c>
      <c r="M24" s="86" t="s">
        <v>2355</v>
      </c>
      <c r="N24" s="86" t="s">
        <v>1009</v>
      </c>
      <c r="O24" s="134">
        <v>24360</v>
      </c>
      <c r="P24" s="86" t="s">
        <v>2355</v>
      </c>
    </row>
    <row r="25" spans="2:16" ht="16.5">
      <c r="B25" s="86" t="s">
        <v>1011</v>
      </c>
      <c r="C25" s="134">
        <v>31.521999999999998</v>
      </c>
      <c r="D25" s="86" t="s">
        <v>2356</v>
      </c>
      <c r="E25" s="86" t="s">
        <v>1011</v>
      </c>
      <c r="F25" s="134">
        <v>136.0676</v>
      </c>
      <c r="G25" s="86" t="s">
        <v>2356</v>
      </c>
      <c r="H25" s="86" t="s">
        <v>1011</v>
      </c>
      <c r="I25" s="134">
        <v>15.442</v>
      </c>
      <c r="J25" s="86" t="s">
        <v>2356</v>
      </c>
      <c r="K25" s="86" t="s">
        <v>1011</v>
      </c>
      <c r="L25" s="134">
        <v>97.595600000000005</v>
      </c>
      <c r="M25" s="86" t="s">
        <v>2356</v>
      </c>
      <c r="N25" s="86" t="s">
        <v>1011</v>
      </c>
      <c r="O25" s="134">
        <v>24346</v>
      </c>
      <c r="P25" s="86" t="s">
        <v>2356</v>
      </c>
    </row>
    <row r="26" spans="2:16" ht="16.5">
      <c r="B26" s="86" t="s">
        <v>1013</v>
      </c>
      <c r="C26" s="134">
        <v>31.594000000000001</v>
      </c>
      <c r="D26" s="86" t="s">
        <v>2357</v>
      </c>
      <c r="E26" s="86" t="s">
        <v>1013</v>
      </c>
      <c r="F26" s="134">
        <v>135.4366</v>
      </c>
      <c r="G26" s="86" t="s">
        <v>2357</v>
      </c>
      <c r="H26" s="86" t="s">
        <v>1013</v>
      </c>
      <c r="I26" s="134">
        <v>16.064</v>
      </c>
      <c r="J26" s="86" t="s">
        <v>2357</v>
      </c>
      <c r="K26" s="86" t="s">
        <v>1013</v>
      </c>
      <c r="L26" s="134">
        <v>96.921700000000001</v>
      </c>
      <c r="M26" s="86" t="s">
        <v>2357</v>
      </c>
      <c r="N26" s="86" t="s">
        <v>1013</v>
      </c>
      <c r="O26" s="134">
        <v>24640</v>
      </c>
      <c r="P26" s="86" t="s">
        <v>2357</v>
      </c>
    </row>
    <row r="27" spans="2:16" ht="16.5">
      <c r="B27" s="86" t="s">
        <v>1015</v>
      </c>
      <c r="C27" s="134">
        <v>31.515000000000001</v>
      </c>
      <c r="D27" s="86" t="s">
        <v>2358</v>
      </c>
      <c r="E27" s="86" t="s">
        <v>1015</v>
      </c>
      <c r="F27" s="134">
        <v>136.68940000000001</v>
      </c>
      <c r="G27" s="86" t="s">
        <v>2358</v>
      </c>
      <c r="H27" s="86" t="s">
        <v>1015</v>
      </c>
      <c r="I27" s="134">
        <v>15.696999999999999</v>
      </c>
      <c r="J27" s="86" t="s">
        <v>2358</v>
      </c>
      <c r="K27" s="86" t="s">
        <v>1015</v>
      </c>
      <c r="L27" s="134">
        <v>97.307500000000005</v>
      </c>
      <c r="M27" s="86" t="s">
        <v>2358</v>
      </c>
      <c r="N27" s="86" t="s">
        <v>1015</v>
      </c>
      <c r="O27" s="134">
        <v>24778</v>
      </c>
      <c r="P27" s="86" t="s">
        <v>2358</v>
      </c>
    </row>
    <row r="28" spans="2:16" ht="16.5">
      <c r="B28" s="86" t="s">
        <v>1017</v>
      </c>
      <c r="C28" s="134">
        <v>31.594999999999999</v>
      </c>
      <c r="D28" s="86" t="s">
        <v>2359</v>
      </c>
      <c r="E28" s="86" t="s">
        <v>1017</v>
      </c>
      <c r="F28" s="134">
        <v>135.6233</v>
      </c>
      <c r="G28" s="86" t="s">
        <v>2359</v>
      </c>
      <c r="H28" s="86" t="s">
        <v>1017</v>
      </c>
      <c r="I28" s="134">
        <v>15.401999999999999</v>
      </c>
      <c r="J28" s="86" t="s">
        <v>2359</v>
      </c>
      <c r="K28" s="86" t="s">
        <v>1017</v>
      </c>
      <c r="L28" s="134">
        <v>97.2654</v>
      </c>
      <c r="M28" s="86" t="s">
        <v>2359</v>
      </c>
      <c r="N28" s="86" t="s">
        <v>1017</v>
      </c>
      <c r="O28" s="134">
        <v>24949</v>
      </c>
      <c r="P28" s="86" t="s">
        <v>2359</v>
      </c>
    </row>
    <row r="29" spans="2:16" ht="16.5">
      <c r="B29" s="86" t="s">
        <v>1019</v>
      </c>
      <c r="C29" s="134">
        <v>31.791</v>
      </c>
      <c r="D29" s="86" t="s">
        <v>2360</v>
      </c>
      <c r="E29" s="86" t="s">
        <v>1019</v>
      </c>
      <c r="F29" s="134">
        <v>134.42330000000001</v>
      </c>
      <c r="G29" s="86" t="s">
        <v>2360</v>
      </c>
      <c r="H29" s="86" t="s">
        <v>1019</v>
      </c>
      <c r="I29" s="134">
        <v>15.675000000000001</v>
      </c>
      <c r="J29" s="86" t="s">
        <v>2360</v>
      </c>
      <c r="K29" s="86" t="s">
        <v>1019</v>
      </c>
      <c r="L29" s="134">
        <v>97.303700000000006</v>
      </c>
      <c r="M29" s="86" t="s">
        <v>2360</v>
      </c>
      <c r="N29" s="86" t="s">
        <v>1019</v>
      </c>
      <c r="O29" s="134">
        <v>25148</v>
      </c>
      <c r="P29" s="86" t="s">
        <v>2360</v>
      </c>
    </row>
    <row r="30" spans="2:16" ht="16.5">
      <c r="B30" s="86" t="s">
        <v>1021</v>
      </c>
      <c r="C30" s="134">
        <v>31.673999999999999</v>
      </c>
      <c r="D30" s="86" t="s">
        <v>2361</v>
      </c>
      <c r="E30" s="86" t="s">
        <v>1021</v>
      </c>
      <c r="F30" s="134">
        <v>136.40450000000001</v>
      </c>
      <c r="G30" s="86" t="s">
        <v>2361</v>
      </c>
      <c r="H30" s="86" t="s">
        <v>1021</v>
      </c>
      <c r="I30" s="134">
        <v>15.368</v>
      </c>
      <c r="J30" s="86" t="s">
        <v>2361</v>
      </c>
      <c r="K30" s="86" t="s">
        <v>1021</v>
      </c>
      <c r="L30" s="134">
        <v>96.786000000000001</v>
      </c>
      <c r="M30" s="86" t="s">
        <v>2361</v>
      </c>
      <c r="N30" s="86" t="s">
        <v>1021</v>
      </c>
      <c r="O30" s="134">
        <v>25316</v>
      </c>
      <c r="P30" s="86" t="s">
        <v>2361</v>
      </c>
    </row>
    <row r="31" spans="2:16" ht="16.5">
      <c r="B31" s="86" t="s">
        <v>1023</v>
      </c>
      <c r="C31" s="134">
        <v>31.716000000000001</v>
      </c>
      <c r="D31" s="86" t="s">
        <v>2362</v>
      </c>
      <c r="E31" s="86" t="s">
        <v>1023</v>
      </c>
      <c r="F31" s="134">
        <v>137.8263</v>
      </c>
      <c r="G31" s="86" t="s">
        <v>2362</v>
      </c>
      <c r="H31" s="86" t="s">
        <v>1023</v>
      </c>
      <c r="I31" s="134">
        <v>15.382</v>
      </c>
      <c r="J31" s="86" t="s">
        <v>2362</v>
      </c>
      <c r="K31" s="86" t="s">
        <v>1023</v>
      </c>
      <c r="L31" s="134">
        <v>97.2483</v>
      </c>
      <c r="M31" s="86" t="s">
        <v>2362</v>
      </c>
      <c r="N31" s="86" t="s">
        <v>1023</v>
      </c>
      <c r="O31" s="134">
        <v>25423</v>
      </c>
      <c r="P31" s="86" t="s">
        <v>2362</v>
      </c>
    </row>
    <row r="32" spans="2:16" ht="16.5">
      <c r="B32" s="86" t="s">
        <v>1025</v>
      </c>
      <c r="C32" s="134">
        <v>31.565000000000001</v>
      </c>
      <c r="D32" s="86" t="s">
        <v>2363</v>
      </c>
      <c r="E32" s="86" t="s">
        <v>1025</v>
      </c>
      <c r="F32" s="134">
        <v>138.9374</v>
      </c>
      <c r="G32" s="86" t="s">
        <v>2363</v>
      </c>
      <c r="H32" s="86" t="s">
        <v>1025</v>
      </c>
      <c r="I32" s="134">
        <v>15.82</v>
      </c>
      <c r="J32" s="86" t="s">
        <v>2363</v>
      </c>
      <c r="K32" s="86" t="s">
        <v>1025</v>
      </c>
      <c r="L32" s="134">
        <v>97.244500000000002</v>
      </c>
      <c r="M32" s="86" t="s">
        <v>2363</v>
      </c>
      <c r="N32" s="86" t="s">
        <v>1025</v>
      </c>
      <c r="O32" s="134">
        <v>25075</v>
      </c>
      <c r="P32" s="86" t="s">
        <v>2363</v>
      </c>
    </row>
    <row r="33" spans="2:16" ht="16.5">
      <c r="B33" s="86" t="s">
        <v>1027</v>
      </c>
      <c r="C33" s="134">
        <v>31.706</v>
      </c>
      <c r="D33" s="86" t="s">
        <v>2364</v>
      </c>
      <c r="E33" s="86" t="s">
        <v>1027</v>
      </c>
      <c r="F33" s="134">
        <v>139.4212</v>
      </c>
      <c r="G33" s="86" t="s">
        <v>2364</v>
      </c>
      <c r="H33" s="86" t="s">
        <v>1027</v>
      </c>
      <c r="I33" s="134">
        <v>15.371</v>
      </c>
      <c r="J33" s="86" t="s">
        <v>2364</v>
      </c>
      <c r="K33" s="86" t="s">
        <v>1027</v>
      </c>
      <c r="L33" s="134">
        <v>95.745699999999999</v>
      </c>
      <c r="M33" s="86" t="s">
        <v>2364</v>
      </c>
      <c r="N33" s="86" t="s">
        <v>1027</v>
      </c>
      <c r="O33" s="134">
        <v>25527</v>
      </c>
      <c r="P33" s="86" t="s">
        <v>2364</v>
      </c>
    </row>
    <row r="34" spans="2:16" ht="16.5">
      <c r="B34" s="86" t="s">
        <v>1029</v>
      </c>
      <c r="C34" s="134">
        <v>31.667999999999999</v>
      </c>
      <c r="D34" s="86" t="s">
        <v>2365</v>
      </c>
      <c r="E34" s="86" t="s">
        <v>1029</v>
      </c>
      <c r="F34" s="134">
        <v>138.22479999999999</v>
      </c>
      <c r="G34" s="86" t="s">
        <v>2365</v>
      </c>
      <c r="H34" s="86" t="s">
        <v>1029</v>
      </c>
      <c r="I34" s="134">
        <v>15.765000000000001</v>
      </c>
      <c r="J34" s="86" t="s">
        <v>2365</v>
      </c>
      <c r="K34" s="86" t="s">
        <v>1029</v>
      </c>
      <c r="L34" s="134">
        <v>96.955299999999994</v>
      </c>
      <c r="M34" s="86" t="s">
        <v>2365</v>
      </c>
      <c r="N34" s="86" t="s">
        <v>1029</v>
      </c>
      <c r="O34" s="134">
        <v>25258</v>
      </c>
      <c r="P34" s="86" t="s">
        <v>2365</v>
      </c>
    </row>
    <row r="35" spans="2:16" ht="16.5">
      <c r="B35" s="86" t="s">
        <v>1031</v>
      </c>
      <c r="C35" s="134">
        <v>31.629000000000001</v>
      </c>
      <c r="D35" s="86" t="s">
        <v>2366</v>
      </c>
      <c r="E35" s="86" t="s">
        <v>1031</v>
      </c>
      <c r="F35" s="134">
        <v>138.35470000000001</v>
      </c>
      <c r="G35" s="86" t="s">
        <v>2366</v>
      </c>
      <c r="H35" s="86" t="s">
        <v>1031</v>
      </c>
      <c r="I35" s="134">
        <v>15.581</v>
      </c>
      <c r="J35" s="86" t="s">
        <v>2366</v>
      </c>
      <c r="K35" s="86" t="s">
        <v>1031</v>
      </c>
      <c r="L35" s="134">
        <v>97.089600000000004</v>
      </c>
      <c r="M35" s="86" t="s">
        <v>2366</v>
      </c>
      <c r="N35" s="86" t="s">
        <v>1031</v>
      </c>
      <c r="O35" s="134">
        <v>25104</v>
      </c>
      <c r="P35" s="86" t="s">
        <v>2366</v>
      </c>
    </row>
    <row r="36" spans="2:16" ht="16.5">
      <c r="B36" s="86" t="s">
        <v>1033</v>
      </c>
      <c r="C36" s="134">
        <v>31.803000000000001</v>
      </c>
      <c r="D36" s="86" t="s">
        <v>2367</v>
      </c>
      <c r="E36" s="86" t="s">
        <v>1033</v>
      </c>
      <c r="F36" s="134">
        <v>143.87370000000001</v>
      </c>
      <c r="G36" s="86" t="s">
        <v>2367</v>
      </c>
      <c r="H36" s="86" t="s">
        <v>1033</v>
      </c>
      <c r="I36" s="134">
        <v>15.872</v>
      </c>
      <c r="J36" s="86" t="s">
        <v>2367</v>
      </c>
      <c r="K36" s="86" t="s">
        <v>1033</v>
      </c>
      <c r="L36" s="134">
        <v>96.563999999999993</v>
      </c>
      <c r="M36" s="86" t="s">
        <v>2367</v>
      </c>
      <c r="N36" s="86" t="s">
        <v>1033</v>
      </c>
      <c r="O36" s="134">
        <v>25247</v>
      </c>
      <c r="P36" s="86" t="s">
        <v>2367</v>
      </c>
    </row>
    <row r="37" spans="2:16" ht="16.5">
      <c r="B37" s="86" t="s">
        <v>1035</v>
      </c>
      <c r="C37" s="134">
        <v>31.742999999999999</v>
      </c>
      <c r="D37" s="86" t="s">
        <v>2368</v>
      </c>
      <c r="E37" s="86" t="s">
        <v>1035</v>
      </c>
      <c r="F37" s="134">
        <v>144.2792</v>
      </c>
      <c r="G37" s="86" t="s">
        <v>2368</v>
      </c>
      <c r="H37" s="86" t="s">
        <v>1035</v>
      </c>
      <c r="I37" s="134">
        <v>15.96</v>
      </c>
      <c r="J37" s="86" t="s">
        <v>2368</v>
      </c>
      <c r="K37" s="86" t="s">
        <v>1035</v>
      </c>
      <c r="L37" s="134">
        <v>97.104600000000005</v>
      </c>
      <c r="M37" s="86" t="s">
        <v>2368</v>
      </c>
      <c r="N37" s="86" t="s">
        <v>1035</v>
      </c>
      <c r="O37" s="134">
        <v>25269</v>
      </c>
      <c r="P37" s="86" t="s">
        <v>2368</v>
      </c>
    </row>
    <row r="38" spans="2:16" ht="16.5">
      <c r="B38" s="86" t="s">
        <v>1037</v>
      </c>
      <c r="C38" s="134">
        <v>31.518000000000001</v>
      </c>
      <c r="D38" s="86" t="s">
        <v>2369</v>
      </c>
      <c r="E38" s="86" t="s">
        <v>1037</v>
      </c>
      <c r="F38" s="134">
        <v>143.41919999999999</v>
      </c>
      <c r="G38" s="86" t="s">
        <v>2369</v>
      </c>
      <c r="H38" s="86" t="s">
        <v>1037</v>
      </c>
      <c r="I38" s="134">
        <v>15.349</v>
      </c>
      <c r="J38" s="86" t="s">
        <v>2369</v>
      </c>
      <c r="K38" s="86" t="s">
        <v>1037</v>
      </c>
      <c r="L38" s="134">
        <v>96.926400000000001</v>
      </c>
      <c r="M38" s="86" t="s">
        <v>2369</v>
      </c>
      <c r="N38" s="86" t="s">
        <v>1037</v>
      </c>
      <c r="O38" s="134">
        <v>25253</v>
      </c>
      <c r="P38" s="86" t="s">
        <v>2369</v>
      </c>
    </row>
    <row r="39" spans="2:16" ht="16.5">
      <c r="B39" s="86" t="s">
        <v>1039</v>
      </c>
      <c r="C39" s="134">
        <v>30.602</v>
      </c>
      <c r="D39" s="86" t="s">
        <v>2370</v>
      </c>
      <c r="E39" s="86" t="s">
        <v>1039</v>
      </c>
      <c r="F39" s="134">
        <v>143.4068</v>
      </c>
      <c r="G39" s="86" t="s">
        <v>2370</v>
      </c>
      <c r="H39" s="86" t="s">
        <v>1039</v>
      </c>
      <c r="I39" s="134">
        <v>15.694000000000001</v>
      </c>
      <c r="J39" s="86" t="s">
        <v>2370</v>
      </c>
      <c r="K39" s="86" t="s">
        <v>1039</v>
      </c>
      <c r="L39" s="134">
        <v>96.166300000000007</v>
      </c>
      <c r="M39" s="86" t="s">
        <v>2370</v>
      </c>
      <c r="N39" s="86" t="s">
        <v>1039</v>
      </c>
      <c r="O39" s="134">
        <v>25551</v>
      </c>
      <c r="P39" s="86" t="s">
        <v>2370</v>
      </c>
    </row>
    <row r="40" spans="2:16" ht="16.5">
      <c r="B40" s="86" t="s">
        <v>1041</v>
      </c>
      <c r="C40" s="134">
        <v>30.456</v>
      </c>
      <c r="D40" s="86" t="s">
        <v>2371</v>
      </c>
      <c r="E40" s="86" t="s">
        <v>1041</v>
      </c>
      <c r="F40" s="134">
        <v>148.7946</v>
      </c>
      <c r="G40" s="86" t="s">
        <v>2371</v>
      </c>
      <c r="H40" s="86" t="s">
        <v>1041</v>
      </c>
      <c r="I40" s="134">
        <v>15.316000000000001</v>
      </c>
      <c r="J40" s="86" t="s">
        <v>2371</v>
      </c>
      <c r="K40" s="86" t="s">
        <v>1041</v>
      </c>
      <c r="L40" s="134">
        <v>96.624399999999994</v>
      </c>
      <c r="M40" s="86" t="s">
        <v>2371</v>
      </c>
      <c r="N40" s="86" t="s">
        <v>1041</v>
      </c>
      <c r="O40" s="134">
        <v>25580</v>
      </c>
      <c r="P40" s="86" t="s">
        <v>2371</v>
      </c>
    </row>
    <row r="41" spans="2:16" ht="16.5">
      <c r="B41" s="86" t="s">
        <v>1043</v>
      </c>
      <c r="C41" s="134">
        <v>30.486999999999998</v>
      </c>
      <c r="D41" s="86" t="s">
        <v>2372</v>
      </c>
      <c r="E41" s="86" t="s">
        <v>1043</v>
      </c>
      <c r="F41" s="134">
        <v>146.4195</v>
      </c>
      <c r="G41" s="86" t="s">
        <v>2372</v>
      </c>
      <c r="H41" s="86" t="s">
        <v>1043</v>
      </c>
      <c r="I41" s="134">
        <v>15.821999999999999</v>
      </c>
      <c r="J41" s="86" t="s">
        <v>2372</v>
      </c>
      <c r="K41" s="86" t="s">
        <v>1043</v>
      </c>
      <c r="L41" s="134">
        <v>96.086399999999998</v>
      </c>
      <c r="M41" s="86" t="s">
        <v>2372</v>
      </c>
      <c r="N41" s="86" t="s">
        <v>1043</v>
      </c>
      <c r="O41" s="134">
        <v>25755</v>
      </c>
      <c r="P41" s="86" t="s">
        <v>2372</v>
      </c>
    </row>
    <row r="42" spans="2:16" ht="16.5">
      <c r="B42" s="86" t="s">
        <v>1045</v>
      </c>
      <c r="C42" s="134">
        <v>30.724</v>
      </c>
      <c r="D42" s="86" t="s">
        <v>2373</v>
      </c>
      <c r="E42" s="86" t="s">
        <v>1045</v>
      </c>
      <c r="F42" s="134">
        <v>148.71250000000001</v>
      </c>
      <c r="G42" s="86" t="s">
        <v>2373</v>
      </c>
      <c r="H42" s="86" t="s">
        <v>1045</v>
      </c>
      <c r="I42" s="134">
        <v>16.149999999999999</v>
      </c>
      <c r="J42" s="86" t="s">
        <v>2373</v>
      </c>
      <c r="K42" s="86" t="s">
        <v>1045</v>
      </c>
      <c r="L42" s="134">
        <v>95.444900000000004</v>
      </c>
      <c r="M42" s="86" t="s">
        <v>2373</v>
      </c>
      <c r="N42" s="86" t="s">
        <v>1045</v>
      </c>
      <c r="O42" s="134">
        <v>25716</v>
      </c>
      <c r="P42" s="86" t="s">
        <v>2373</v>
      </c>
    </row>
    <row r="43" spans="2:16" ht="16.5">
      <c r="B43" s="86" t="s">
        <v>1047</v>
      </c>
      <c r="C43" s="134">
        <v>30.728999999999999</v>
      </c>
      <c r="D43" s="86" t="s">
        <v>2374</v>
      </c>
      <c r="E43" s="86" t="s">
        <v>1047</v>
      </c>
      <c r="F43" s="134">
        <v>148.19919999999999</v>
      </c>
      <c r="G43" s="86" t="s">
        <v>2374</v>
      </c>
      <c r="H43" s="86" t="s">
        <v>1047</v>
      </c>
      <c r="I43" s="134">
        <v>16.523</v>
      </c>
      <c r="J43" s="86" t="s">
        <v>2374</v>
      </c>
      <c r="K43" s="86" t="s">
        <v>1047</v>
      </c>
      <c r="L43" s="134">
        <v>95.724599999999995</v>
      </c>
      <c r="M43" s="86" t="s">
        <v>2374</v>
      </c>
      <c r="N43" s="86" t="s">
        <v>1047</v>
      </c>
      <c r="O43" s="134">
        <v>25550</v>
      </c>
      <c r="P43" s="86" t="s">
        <v>2374</v>
      </c>
    </row>
    <row r="44" spans="2:16" ht="16.5">
      <c r="B44" s="86" t="s">
        <v>1049</v>
      </c>
      <c r="C44" s="134">
        <v>30.561</v>
      </c>
      <c r="D44" s="86" t="s">
        <v>2375</v>
      </c>
      <c r="E44" s="86" t="s">
        <v>1049</v>
      </c>
      <c r="F44" s="134">
        <v>150.22749999999999</v>
      </c>
      <c r="G44" s="86" t="s">
        <v>2375</v>
      </c>
      <c r="H44" s="86" t="s">
        <v>1049</v>
      </c>
      <c r="I44" s="134">
        <v>16.812000000000001</v>
      </c>
      <c r="J44" s="86" t="s">
        <v>2375</v>
      </c>
      <c r="K44" s="86" t="s">
        <v>1049</v>
      </c>
      <c r="L44" s="134">
        <v>96.1524</v>
      </c>
      <c r="M44" s="86" t="s">
        <v>2375</v>
      </c>
      <c r="N44" s="86" t="s">
        <v>1049</v>
      </c>
      <c r="O44" s="134">
        <v>25946</v>
      </c>
      <c r="P44" s="86" t="s">
        <v>2375</v>
      </c>
    </row>
    <row r="45" spans="2:16" ht="16.5">
      <c r="B45" s="86" t="s">
        <v>1051</v>
      </c>
      <c r="C45" s="134">
        <v>30.117999999999999</v>
      </c>
      <c r="D45" s="86" t="s">
        <v>2376</v>
      </c>
      <c r="E45" s="86" t="s">
        <v>1051</v>
      </c>
      <c r="F45" s="134">
        <v>158.07320000000001</v>
      </c>
      <c r="G45" s="86" t="s">
        <v>2376</v>
      </c>
      <c r="H45" s="86" t="s">
        <v>1051</v>
      </c>
      <c r="I45" s="134">
        <v>15.845000000000001</v>
      </c>
      <c r="J45" s="86" t="s">
        <v>2376</v>
      </c>
      <c r="K45" s="86" t="s">
        <v>1051</v>
      </c>
      <c r="L45" s="134">
        <v>95.767300000000006</v>
      </c>
      <c r="M45" s="86" t="s">
        <v>2376</v>
      </c>
      <c r="N45" s="86" t="s">
        <v>1051</v>
      </c>
      <c r="O45" s="134">
        <v>26138</v>
      </c>
      <c r="P45" s="86" t="s">
        <v>2376</v>
      </c>
    </row>
    <row r="46" spans="2:16" ht="16.5">
      <c r="B46" s="86" t="s">
        <v>1053</v>
      </c>
      <c r="C46" s="134">
        <v>30.132000000000001</v>
      </c>
      <c r="D46" s="86" t="s">
        <v>2377</v>
      </c>
      <c r="E46" s="86" t="s">
        <v>1053</v>
      </c>
      <c r="F46" s="134">
        <v>159.6876</v>
      </c>
      <c r="G46" s="86" t="s">
        <v>2377</v>
      </c>
      <c r="H46" s="86" t="s">
        <v>1053</v>
      </c>
      <c r="I46" s="134">
        <v>16.027999999999999</v>
      </c>
      <c r="J46" s="86" t="s">
        <v>2377</v>
      </c>
      <c r="K46" s="86" t="s">
        <v>1053</v>
      </c>
      <c r="L46" s="134">
        <v>96.955399999999997</v>
      </c>
      <c r="M46" s="86" t="s">
        <v>2377</v>
      </c>
      <c r="N46" s="86" t="s">
        <v>1053</v>
      </c>
      <c r="O46" s="134">
        <v>26187</v>
      </c>
      <c r="P46" s="86" t="s">
        <v>2377</v>
      </c>
    </row>
    <row r="47" spans="2:16" ht="16.5">
      <c r="B47" s="86" t="s">
        <v>1055</v>
      </c>
      <c r="C47" s="134">
        <v>30.321999999999999</v>
      </c>
      <c r="D47" s="86" t="s">
        <v>2378</v>
      </c>
      <c r="E47" s="86" t="s">
        <v>1055</v>
      </c>
      <c r="F47" s="134">
        <v>159.22810000000001</v>
      </c>
      <c r="G47" s="86" t="s">
        <v>2378</v>
      </c>
      <c r="H47" s="86" t="s">
        <v>1055</v>
      </c>
      <c r="I47" s="134">
        <v>17.731999999999999</v>
      </c>
      <c r="J47" s="86" t="s">
        <v>2378</v>
      </c>
      <c r="K47" s="86" t="s">
        <v>1055</v>
      </c>
      <c r="L47" s="134">
        <v>97.389799999999994</v>
      </c>
      <c r="M47" s="86" t="s">
        <v>2378</v>
      </c>
      <c r="N47" s="86" t="s">
        <v>1055</v>
      </c>
      <c r="O47" s="134">
        <v>25733</v>
      </c>
      <c r="P47" s="86" t="s">
        <v>2378</v>
      </c>
    </row>
    <row r="48" spans="2:16" ht="16.5">
      <c r="B48" s="86" t="s">
        <v>1057</v>
      </c>
      <c r="C48" s="134">
        <v>30.234999999999999</v>
      </c>
      <c r="D48" s="86" t="s">
        <v>2379</v>
      </c>
      <c r="E48" s="86" t="s">
        <v>1057</v>
      </c>
      <c r="F48" s="134">
        <v>162.22710000000001</v>
      </c>
      <c r="G48" s="86" t="s">
        <v>2379</v>
      </c>
      <c r="H48" s="86" t="s">
        <v>1057</v>
      </c>
      <c r="I48" s="134">
        <v>17.068999999999999</v>
      </c>
      <c r="J48" s="86" t="s">
        <v>2379</v>
      </c>
      <c r="K48" s="86" t="s">
        <v>1057</v>
      </c>
      <c r="L48" s="134">
        <v>97.331400000000002</v>
      </c>
      <c r="M48" s="86" t="s">
        <v>2379</v>
      </c>
      <c r="N48" s="86" t="s">
        <v>1057</v>
      </c>
      <c r="O48" s="134">
        <v>25858</v>
      </c>
      <c r="P48" s="86" t="s">
        <v>2379</v>
      </c>
    </row>
    <row r="49" spans="2:16" ht="16.5">
      <c r="B49" s="86" t="s">
        <v>1059</v>
      </c>
      <c r="C49" s="134">
        <v>29.981999999999999</v>
      </c>
      <c r="D49" s="86" t="s">
        <v>2380</v>
      </c>
      <c r="E49" s="86" t="s">
        <v>1059</v>
      </c>
      <c r="F49" s="134">
        <v>164.3526</v>
      </c>
      <c r="G49" s="86" t="s">
        <v>2380</v>
      </c>
      <c r="H49" s="86" t="s">
        <v>1059</v>
      </c>
      <c r="I49" s="134">
        <v>15.71</v>
      </c>
      <c r="J49" s="86" t="s">
        <v>2380</v>
      </c>
      <c r="K49" s="86" t="s">
        <v>1059</v>
      </c>
      <c r="L49" s="134">
        <v>97.248199999999997</v>
      </c>
      <c r="M49" s="86" t="s">
        <v>2380</v>
      </c>
      <c r="N49" s="86" t="s">
        <v>1059</v>
      </c>
      <c r="O49" s="134">
        <v>26397</v>
      </c>
      <c r="P49" s="86" t="s">
        <v>2380</v>
      </c>
    </row>
    <row r="50" spans="2:16" ht="16.5">
      <c r="B50" s="86" t="s">
        <v>1061</v>
      </c>
      <c r="C50" s="134">
        <v>29.882000000000001</v>
      </c>
      <c r="D50" s="86" t="s">
        <v>2381</v>
      </c>
      <c r="E50" s="86" t="s">
        <v>1061</v>
      </c>
      <c r="F50" s="134">
        <v>163.17410000000001</v>
      </c>
      <c r="G50" s="86" t="s">
        <v>2381</v>
      </c>
      <c r="H50" s="86" t="s">
        <v>1061</v>
      </c>
      <c r="I50" s="134">
        <v>15.885999999999999</v>
      </c>
      <c r="J50" s="86" t="s">
        <v>2381</v>
      </c>
      <c r="K50" s="86" t="s">
        <v>1061</v>
      </c>
      <c r="L50" s="134">
        <v>97.579400000000007</v>
      </c>
      <c r="M50" s="86" t="s">
        <v>2381</v>
      </c>
      <c r="N50" s="86" t="s">
        <v>1061</v>
      </c>
      <c r="O50" s="134">
        <v>26639</v>
      </c>
      <c r="P50" s="86" t="s">
        <v>2381</v>
      </c>
    </row>
    <row r="51" spans="2:16" ht="16.5">
      <c r="B51" s="86" t="s">
        <v>1063</v>
      </c>
      <c r="C51" s="134">
        <v>29.797999999999998</v>
      </c>
      <c r="D51" s="86" t="s">
        <v>2382</v>
      </c>
      <c r="E51" s="86" t="s">
        <v>1063</v>
      </c>
      <c r="F51" s="134">
        <v>171.55549999999999</v>
      </c>
      <c r="G51" s="86" t="s">
        <v>2382</v>
      </c>
      <c r="H51" s="86" t="s">
        <v>1063</v>
      </c>
      <c r="I51" s="134">
        <v>16.425000000000001</v>
      </c>
      <c r="J51" s="86" t="s">
        <v>2382</v>
      </c>
      <c r="K51" s="86" t="s">
        <v>1063</v>
      </c>
      <c r="L51" s="134">
        <v>98.069299999999998</v>
      </c>
      <c r="M51" s="86" t="s">
        <v>2382</v>
      </c>
      <c r="N51" s="86" t="s">
        <v>1063</v>
      </c>
      <c r="O51" s="134">
        <v>26786</v>
      </c>
      <c r="P51" s="86" t="s">
        <v>2382</v>
      </c>
    </row>
    <row r="52" spans="2:16" ht="16.5">
      <c r="B52" s="86" t="s">
        <v>1065</v>
      </c>
      <c r="C52" s="134">
        <v>29.391999999999999</v>
      </c>
      <c r="D52" s="86" t="s">
        <v>2383</v>
      </c>
      <c r="E52" s="86" t="s">
        <v>1065</v>
      </c>
      <c r="F52" s="134">
        <v>169.197</v>
      </c>
      <c r="G52" s="86" t="s">
        <v>2383</v>
      </c>
      <c r="H52" s="86" t="s">
        <v>1065</v>
      </c>
      <c r="I52" s="134">
        <v>16.344999999999999</v>
      </c>
      <c r="J52" s="86" t="s">
        <v>2383</v>
      </c>
      <c r="K52" s="86" t="s">
        <v>1065</v>
      </c>
      <c r="L52" s="134">
        <v>98.084000000000003</v>
      </c>
      <c r="M52" s="86" t="s">
        <v>2383</v>
      </c>
      <c r="N52" s="86" t="s">
        <v>1065</v>
      </c>
      <c r="O52" s="134">
        <v>26485</v>
      </c>
      <c r="P52" s="86" t="s">
        <v>2383</v>
      </c>
    </row>
    <row r="53" spans="2:16" ht="16.5">
      <c r="B53" s="86" t="s">
        <v>1067</v>
      </c>
      <c r="C53" s="134">
        <v>29.45</v>
      </c>
      <c r="D53" s="86" t="s">
        <v>2384</v>
      </c>
      <c r="E53" s="86" t="s">
        <v>1067</v>
      </c>
      <c r="F53" s="134">
        <v>165.667</v>
      </c>
      <c r="G53" s="86" t="s">
        <v>2384</v>
      </c>
      <c r="H53" s="86" t="s">
        <v>1067</v>
      </c>
      <c r="I53" s="134">
        <v>16.574000000000002</v>
      </c>
      <c r="J53" s="86" t="s">
        <v>2384</v>
      </c>
      <c r="K53" s="86" t="s">
        <v>1067</v>
      </c>
      <c r="L53" s="134">
        <v>98.047300000000007</v>
      </c>
      <c r="M53" s="86" t="s">
        <v>2384</v>
      </c>
      <c r="N53" s="86" t="s">
        <v>1067</v>
      </c>
      <c r="O53" s="134">
        <v>26803</v>
      </c>
      <c r="P53" s="86" t="s">
        <v>2384</v>
      </c>
    </row>
    <row r="54" spans="2:16" ht="16.5">
      <c r="B54" s="86" t="s">
        <v>278</v>
      </c>
      <c r="C54" s="134">
        <v>29.64</v>
      </c>
      <c r="D54" s="86" t="s">
        <v>2385</v>
      </c>
      <c r="E54" s="86" t="s">
        <v>278</v>
      </c>
      <c r="F54" s="134">
        <v>169.1163</v>
      </c>
      <c r="G54" s="86" t="s">
        <v>2385</v>
      </c>
      <c r="H54" s="86" t="s">
        <v>278</v>
      </c>
      <c r="I54" s="134">
        <v>15.679</v>
      </c>
      <c r="J54" s="86" t="s">
        <v>2385</v>
      </c>
      <c r="K54" s="86" t="s">
        <v>278</v>
      </c>
      <c r="L54" s="134">
        <v>97.212800000000001</v>
      </c>
      <c r="M54" s="86" t="s">
        <v>2385</v>
      </c>
      <c r="N54" s="86" t="s">
        <v>278</v>
      </c>
      <c r="O54" s="134">
        <v>26863</v>
      </c>
      <c r="P54" s="86" t="s">
        <v>2385</v>
      </c>
    </row>
    <row r="55" spans="2:16" ht="16.5">
      <c r="B55" s="86" t="s">
        <v>1070</v>
      </c>
      <c r="C55" s="134">
        <v>29.646000000000001</v>
      </c>
      <c r="D55" s="86" t="s">
        <v>2386</v>
      </c>
      <c r="E55" s="86" t="s">
        <v>1070</v>
      </c>
      <c r="F55" s="134">
        <v>169.7424</v>
      </c>
      <c r="G55" s="86" t="s">
        <v>2386</v>
      </c>
      <c r="H55" s="86" t="s">
        <v>1070</v>
      </c>
      <c r="I55" s="134">
        <v>15.808999999999999</v>
      </c>
      <c r="J55" s="86" t="s">
        <v>2386</v>
      </c>
      <c r="K55" s="86" t="s">
        <v>1070</v>
      </c>
      <c r="L55" s="134">
        <v>97.129900000000006</v>
      </c>
      <c r="M55" s="86" t="s">
        <v>2386</v>
      </c>
      <c r="N55" s="86" t="s">
        <v>1070</v>
      </c>
      <c r="O55" s="134">
        <v>27015</v>
      </c>
      <c r="P55" s="86" t="s">
        <v>2386</v>
      </c>
    </row>
    <row r="56" spans="2:16" ht="16.5">
      <c r="B56" s="86" t="s">
        <v>1072</v>
      </c>
      <c r="C56" s="134">
        <v>29.667999999999999</v>
      </c>
      <c r="D56" s="86" t="s">
        <v>2387</v>
      </c>
      <c r="E56" s="86" t="s">
        <v>1072</v>
      </c>
      <c r="F56" s="134">
        <v>170.5402</v>
      </c>
      <c r="G56" s="86" t="s">
        <v>2387</v>
      </c>
      <c r="H56" s="86" t="s">
        <v>1072</v>
      </c>
      <c r="I56" s="134">
        <v>16.009</v>
      </c>
      <c r="J56" s="86" t="s">
        <v>2387</v>
      </c>
      <c r="K56" s="86" t="s">
        <v>1072</v>
      </c>
      <c r="L56" s="134">
        <v>96.985699999999994</v>
      </c>
      <c r="M56" s="86" t="s">
        <v>2387</v>
      </c>
      <c r="N56" s="86" t="s">
        <v>1072</v>
      </c>
      <c r="O56" s="134">
        <v>27945</v>
      </c>
      <c r="P56" s="86" t="s">
        <v>2387</v>
      </c>
    </row>
    <row r="57" spans="2:16" ht="16.5">
      <c r="B57" s="86" t="s">
        <v>1074</v>
      </c>
      <c r="C57" s="134">
        <v>29.62</v>
      </c>
      <c r="D57" s="86" t="s">
        <v>2388</v>
      </c>
      <c r="E57" s="86" t="s">
        <v>1074</v>
      </c>
      <c r="F57" s="134">
        <v>176.71039999999999</v>
      </c>
      <c r="G57" s="86" t="s">
        <v>2388</v>
      </c>
      <c r="H57" s="86" t="s">
        <v>1074</v>
      </c>
      <c r="I57" s="134">
        <v>14.96</v>
      </c>
      <c r="J57" s="86" t="s">
        <v>2388</v>
      </c>
      <c r="K57" s="86" t="s">
        <v>1074</v>
      </c>
      <c r="L57" s="134">
        <v>97.078599999999994</v>
      </c>
      <c r="M57" s="86" t="s">
        <v>2388</v>
      </c>
      <c r="N57" s="86" t="s">
        <v>1074</v>
      </c>
      <c r="O57" s="134">
        <v>28163</v>
      </c>
      <c r="P57" s="86" t="s">
        <v>2388</v>
      </c>
    </row>
    <row r="58" spans="2:16" ht="16.5">
      <c r="B58" s="86" t="s">
        <v>281</v>
      </c>
      <c r="C58" s="134">
        <v>30.138000000000002</v>
      </c>
      <c r="D58" s="86" t="s">
        <v>2389</v>
      </c>
      <c r="E58" s="86" t="s">
        <v>281</v>
      </c>
      <c r="F58" s="134">
        <v>176.18039999999999</v>
      </c>
      <c r="G58" s="86" t="s">
        <v>2389</v>
      </c>
      <c r="H58" s="86" t="s">
        <v>281</v>
      </c>
      <c r="I58" s="134">
        <v>15.551</v>
      </c>
      <c r="J58" s="86" t="s">
        <v>2389</v>
      </c>
      <c r="K58" s="86" t="s">
        <v>281</v>
      </c>
      <c r="L58" s="134">
        <v>97.733000000000004</v>
      </c>
      <c r="M58" s="86" t="s">
        <v>2389</v>
      </c>
      <c r="N58" s="86" t="s">
        <v>281</v>
      </c>
      <c r="O58" s="134">
        <v>28559</v>
      </c>
      <c r="P58" s="86" t="s">
        <v>2389</v>
      </c>
    </row>
    <row r="59" spans="2:16" ht="16.5">
      <c r="B59" s="86" t="s">
        <v>1077</v>
      </c>
      <c r="C59" s="134">
        <v>30.132000000000001</v>
      </c>
      <c r="D59" s="86" t="s">
        <v>2390</v>
      </c>
      <c r="E59" s="86" t="s">
        <v>1077</v>
      </c>
      <c r="F59" s="134">
        <v>173.69319999999999</v>
      </c>
      <c r="G59" s="86" t="s">
        <v>2390</v>
      </c>
      <c r="H59" s="86" t="s">
        <v>1077</v>
      </c>
      <c r="I59" s="134">
        <v>16.074000000000002</v>
      </c>
      <c r="J59" s="86" t="s">
        <v>2390</v>
      </c>
      <c r="K59" s="86" t="s">
        <v>1077</v>
      </c>
      <c r="L59" s="134">
        <v>98.092399999999998</v>
      </c>
      <c r="M59" s="86" t="s">
        <v>2390</v>
      </c>
      <c r="N59" s="86" t="s">
        <v>1077</v>
      </c>
      <c r="O59" s="134">
        <v>29926</v>
      </c>
      <c r="P59" s="86" t="s">
        <v>2390</v>
      </c>
    </row>
    <row r="60" spans="2:16" ht="16.5">
      <c r="B60" s="86" t="s">
        <v>284</v>
      </c>
      <c r="C60" s="134">
        <v>30.602</v>
      </c>
      <c r="D60" s="86" t="s">
        <v>2391</v>
      </c>
      <c r="E60" s="86" t="s">
        <v>284</v>
      </c>
      <c r="F60" s="134">
        <v>176.9787</v>
      </c>
      <c r="G60" s="86" t="s">
        <v>2391</v>
      </c>
      <c r="H60" s="86" t="s">
        <v>284</v>
      </c>
      <c r="I60" s="134">
        <v>16.164999999999999</v>
      </c>
      <c r="J60" s="86" t="s">
        <v>2391</v>
      </c>
      <c r="K60" s="86" t="s">
        <v>284</v>
      </c>
      <c r="L60" s="134">
        <v>98.838300000000004</v>
      </c>
      <c r="M60" s="86" t="s">
        <v>2391</v>
      </c>
      <c r="N60" s="86" t="s">
        <v>284</v>
      </c>
      <c r="O60" s="134">
        <v>29813</v>
      </c>
      <c r="P60" s="86" t="s">
        <v>2391</v>
      </c>
    </row>
    <row r="61" spans="2:16" ht="16.5">
      <c r="B61" s="86" t="s">
        <v>1080</v>
      </c>
      <c r="C61" s="134">
        <v>30.216999999999999</v>
      </c>
      <c r="D61" s="86" t="s">
        <v>2392</v>
      </c>
      <c r="E61" s="86" t="s">
        <v>1080</v>
      </c>
      <c r="F61" s="134">
        <v>184.69460000000001</v>
      </c>
      <c r="G61" s="86" t="s">
        <v>2392</v>
      </c>
      <c r="H61" s="86" t="s">
        <v>1080</v>
      </c>
      <c r="I61" s="134">
        <v>16.437999999999999</v>
      </c>
      <c r="J61" s="86" t="s">
        <v>2392</v>
      </c>
      <c r="K61" s="86" t="s">
        <v>1080</v>
      </c>
      <c r="L61" s="134">
        <v>98.982500000000002</v>
      </c>
      <c r="M61" s="86" t="s">
        <v>2392</v>
      </c>
      <c r="N61" s="86" t="s">
        <v>1080</v>
      </c>
      <c r="O61" s="134">
        <v>30134</v>
      </c>
      <c r="P61" s="86" t="s">
        <v>2392</v>
      </c>
    </row>
    <row r="62" spans="2:16" ht="16.5">
      <c r="B62" s="86" t="s">
        <v>1082</v>
      </c>
      <c r="C62" s="134">
        <v>29.859000000000002</v>
      </c>
      <c r="D62" s="86" t="s">
        <v>2393</v>
      </c>
      <c r="E62" s="86" t="s">
        <v>1082</v>
      </c>
      <c r="F62" s="134">
        <v>188.2611</v>
      </c>
      <c r="G62" s="86" t="s">
        <v>2393</v>
      </c>
      <c r="H62" s="86" t="s">
        <v>1082</v>
      </c>
      <c r="I62" s="134">
        <v>16.762</v>
      </c>
      <c r="J62" s="86" t="s">
        <v>2393</v>
      </c>
      <c r="K62" s="86" t="s">
        <v>1082</v>
      </c>
      <c r="L62" s="134">
        <v>99.270499999999998</v>
      </c>
      <c r="M62" s="86" t="s">
        <v>2393</v>
      </c>
      <c r="N62" s="86" t="s">
        <v>1082</v>
      </c>
      <c r="O62" s="134">
        <v>31073</v>
      </c>
      <c r="P62" s="86" t="s">
        <v>2393</v>
      </c>
    </row>
    <row r="63" spans="2:16" ht="16.5">
      <c r="B63" s="86" t="s">
        <v>1084</v>
      </c>
      <c r="C63" s="134">
        <v>29.067</v>
      </c>
      <c r="D63" s="86" t="s">
        <v>2394</v>
      </c>
      <c r="E63" s="86" t="s">
        <v>1084</v>
      </c>
      <c r="F63" s="134">
        <v>192.21369999999999</v>
      </c>
      <c r="G63" s="86" t="s">
        <v>2394</v>
      </c>
      <c r="H63" s="86" t="s">
        <v>1084</v>
      </c>
      <c r="I63" s="134">
        <v>16.167000000000002</v>
      </c>
      <c r="J63" s="86" t="s">
        <v>2394</v>
      </c>
      <c r="K63" s="86" t="s">
        <v>1084</v>
      </c>
      <c r="L63" s="134">
        <v>99.430800000000005</v>
      </c>
      <c r="M63" s="86" t="s">
        <v>2394</v>
      </c>
      <c r="N63" s="86" t="s">
        <v>1084</v>
      </c>
      <c r="O63" s="134">
        <v>30873</v>
      </c>
      <c r="P63" s="86" t="s">
        <v>2394</v>
      </c>
    </row>
    <row r="64" spans="2:16" ht="16.5">
      <c r="B64" s="86" t="s">
        <v>287</v>
      </c>
      <c r="C64" s="134">
        <v>28.541</v>
      </c>
      <c r="D64" s="86" t="s">
        <v>2395</v>
      </c>
      <c r="E64" s="86" t="s">
        <v>287</v>
      </c>
      <c r="F64" s="134">
        <v>194.52119999999999</v>
      </c>
      <c r="G64" s="86" t="s">
        <v>2395</v>
      </c>
      <c r="H64" s="86" t="s">
        <v>287</v>
      </c>
      <c r="I64" s="134">
        <v>16.567</v>
      </c>
      <c r="J64" s="86" t="s">
        <v>2395</v>
      </c>
      <c r="K64" s="86" t="s">
        <v>287</v>
      </c>
      <c r="L64" s="134">
        <v>99.177599999999998</v>
      </c>
      <c r="M64" s="86" t="s">
        <v>2395</v>
      </c>
      <c r="N64" s="101" t="s">
        <v>287</v>
      </c>
      <c r="O64" s="135">
        <v>30868</v>
      </c>
      <c r="P64" s="101" t="s">
        <v>2395</v>
      </c>
    </row>
    <row r="65" spans="2:13" ht="16.5">
      <c r="B65" s="101" t="s">
        <v>1087</v>
      </c>
      <c r="C65" s="135">
        <v>28.800999999999998</v>
      </c>
      <c r="D65" s="101" t="s">
        <v>2396</v>
      </c>
      <c r="E65" s="101" t="s">
        <v>1087</v>
      </c>
      <c r="F65" s="135">
        <v>198.6335</v>
      </c>
      <c r="G65" s="101" t="s">
        <v>2396</v>
      </c>
      <c r="H65" s="101" t="s">
        <v>1087</v>
      </c>
      <c r="I65" s="135">
        <v>15.981999999999999</v>
      </c>
      <c r="J65" s="101" t="s">
        <v>2396</v>
      </c>
      <c r="K65" s="101" t="s">
        <v>1087</v>
      </c>
      <c r="L65" s="135">
        <v>99.436099999999996</v>
      </c>
      <c r="M65" s="101" t="s">
        <v>2396</v>
      </c>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C1:K225"/>
  <sheetViews>
    <sheetView workbookViewId="0">
      <pane ySplit="5" topLeftCell="A6" activePane="bottomLeft" state="frozen"/>
      <selection pane="bottomLeft"/>
    </sheetView>
  </sheetViews>
  <sheetFormatPr defaultRowHeight="14.25"/>
  <cols>
    <col min="1" max="2" width="2" customWidth="1"/>
    <col min="3" max="3" width="45" customWidth="1"/>
    <col min="4" max="5" width="16" customWidth="1"/>
    <col min="6" max="6" width="27" customWidth="1"/>
    <col min="7" max="8" width="20" customWidth="1"/>
    <col min="9" max="9" width="85" customWidth="1"/>
    <col min="10" max="10" width="110" customWidth="1"/>
    <col min="11" max="11" width="15" customWidth="1"/>
  </cols>
  <sheetData>
    <row r="1" spans="3:11" ht="16.5">
      <c r="C1" s="86"/>
      <c r="D1" s="86"/>
      <c r="E1" s="86"/>
      <c r="F1" s="86"/>
      <c r="G1" s="86"/>
      <c r="H1" s="86"/>
      <c r="I1" s="86"/>
      <c r="J1" s="86"/>
      <c r="K1" s="86"/>
    </row>
    <row r="2" spans="3:11" ht="16.5">
      <c r="C2" s="86" t="s">
        <v>2397</v>
      </c>
      <c r="D2" s="86"/>
      <c r="E2" s="86"/>
      <c r="F2" s="86"/>
      <c r="G2" s="86"/>
      <c r="H2" s="86"/>
      <c r="I2" s="86"/>
      <c r="J2" s="86"/>
      <c r="K2" s="86"/>
    </row>
    <row r="3" spans="3:11" ht="16.5">
      <c r="C3" s="86" t="s">
        <v>2398</v>
      </c>
      <c r="D3" s="86"/>
      <c r="E3" s="86"/>
      <c r="F3" s="86"/>
      <c r="G3" s="86"/>
      <c r="H3" s="86"/>
      <c r="I3" s="86"/>
      <c r="J3" s="86"/>
      <c r="K3" s="86"/>
    </row>
    <row r="4" spans="3:11" ht="16.5">
      <c r="C4" s="86"/>
      <c r="D4" s="86"/>
      <c r="E4" s="86"/>
      <c r="F4" s="86"/>
      <c r="G4" s="86"/>
      <c r="H4" s="86"/>
      <c r="I4" s="86"/>
      <c r="J4" s="86"/>
      <c r="K4" s="86"/>
    </row>
    <row r="5" spans="3:11" ht="24.95" customHeight="1">
      <c r="C5" s="82" t="s">
        <v>61</v>
      </c>
      <c r="D5" s="82" t="s">
        <v>2399</v>
      </c>
      <c r="E5" s="82" t="s">
        <v>2400</v>
      </c>
      <c r="F5" s="82" t="s">
        <v>2401</v>
      </c>
      <c r="G5" s="82" t="s">
        <v>2402</v>
      </c>
      <c r="H5" s="82" t="s">
        <v>2403</v>
      </c>
      <c r="I5" s="82" t="s">
        <v>2404</v>
      </c>
      <c r="J5" s="82" t="s">
        <v>2405</v>
      </c>
      <c r="K5" s="82" t="s">
        <v>2406</v>
      </c>
    </row>
    <row r="6" spans="3:11" ht="16.5">
      <c r="C6" s="86" t="s">
        <v>690</v>
      </c>
      <c r="D6" s="86" t="s">
        <v>2407</v>
      </c>
      <c r="E6" s="86" t="s">
        <v>1068</v>
      </c>
      <c r="F6" s="104">
        <v>18344000000</v>
      </c>
      <c r="G6" s="86" t="s">
        <v>2408</v>
      </c>
      <c r="H6" s="86" t="s">
        <v>1601</v>
      </c>
      <c r="I6" s="86" t="s">
        <v>2409</v>
      </c>
      <c r="J6" s="86" t="s">
        <v>2410</v>
      </c>
      <c r="K6" s="86" t="s">
        <v>2411</v>
      </c>
    </row>
    <row r="7" spans="3:11" ht="16.5">
      <c r="C7" s="86" t="s">
        <v>690</v>
      </c>
      <c r="D7" s="86" t="s">
        <v>2412</v>
      </c>
      <c r="E7" s="86" t="s">
        <v>2413</v>
      </c>
      <c r="F7" s="104">
        <v>20028000000</v>
      </c>
      <c r="G7" s="86" t="s">
        <v>2408</v>
      </c>
      <c r="H7" s="86" t="s">
        <v>1860</v>
      </c>
      <c r="I7" s="86" t="s">
        <v>2414</v>
      </c>
      <c r="J7" s="86" t="s">
        <v>2415</v>
      </c>
      <c r="K7" s="86" t="s">
        <v>2411</v>
      </c>
    </row>
    <row r="8" spans="3:11" ht="16.5">
      <c r="C8" s="86" t="s">
        <v>690</v>
      </c>
      <c r="D8" s="86" t="s">
        <v>2416</v>
      </c>
      <c r="E8" s="86" t="s">
        <v>2417</v>
      </c>
      <c r="F8" s="104">
        <v>17519000000</v>
      </c>
      <c r="G8" s="86" t="s">
        <v>2408</v>
      </c>
      <c r="H8" s="86" t="s">
        <v>2105</v>
      </c>
      <c r="I8" s="86" t="s">
        <v>2418</v>
      </c>
      <c r="J8" s="86" t="s">
        <v>2419</v>
      </c>
      <c r="K8" s="86" t="s">
        <v>2411</v>
      </c>
    </row>
    <row r="9" spans="3:11" ht="16.5">
      <c r="C9" s="86" t="s">
        <v>690</v>
      </c>
      <c r="D9" s="86" t="s">
        <v>2420</v>
      </c>
      <c r="E9" s="86" t="s">
        <v>1830</v>
      </c>
      <c r="F9" s="104">
        <v>15641000000</v>
      </c>
      <c r="G9" s="86" t="s">
        <v>2408</v>
      </c>
      <c r="H9" s="86" t="s">
        <v>2105</v>
      </c>
      <c r="I9" s="86" t="s">
        <v>2418</v>
      </c>
      <c r="J9" s="86" t="s">
        <v>2419</v>
      </c>
      <c r="K9" s="86" t="s">
        <v>2411</v>
      </c>
    </row>
    <row r="10" spans="3:11" ht="16.5">
      <c r="C10" s="86" t="s">
        <v>690</v>
      </c>
      <c r="D10" s="86" t="s">
        <v>2421</v>
      </c>
      <c r="E10" s="86" t="s">
        <v>2080</v>
      </c>
      <c r="F10" s="104">
        <v>17682000000</v>
      </c>
      <c r="G10" s="86" t="s">
        <v>2408</v>
      </c>
      <c r="H10" s="86" t="s">
        <v>2105</v>
      </c>
      <c r="I10" s="86" t="s">
        <v>2418</v>
      </c>
      <c r="J10" s="86" t="s">
        <v>2419</v>
      </c>
      <c r="K10" s="86" t="s">
        <v>2411</v>
      </c>
    </row>
    <row r="11" spans="3:11" ht="16.5">
      <c r="C11" s="86" t="s">
        <v>712</v>
      </c>
      <c r="D11" s="86" t="s">
        <v>2407</v>
      </c>
      <c r="E11" s="86" t="s">
        <v>1068</v>
      </c>
      <c r="F11" s="104">
        <v>5968000000</v>
      </c>
      <c r="G11" s="86" t="s">
        <v>2408</v>
      </c>
      <c r="H11" s="86" t="s">
        <v>1601</v>
      </c>
      <c r="I11" s="86" t="s">
        <v>2422</v>
      </c>
      <c r="J11" s="86" t="s">
        <v>2410</v>
      </c>
      <c r="K11" s="86" t="s">
        <v>2411</v>
      </c>
    </row>
    <row r="12" spans="3:11" ht="16.5">
      <c r="C12" s="86" t="s">
        <v>712</v>
      </c>
      <c r="D12" s="86" t="s">
        <v>2412</v>
      </c>
      <c r="E12" s="86" t="s">
        <v>2413</v>
      </c>
      <c r="F12" s="104">
        <v>6257000000</v>
      </c>
      <c r="G12" s="86" t="s">
        <v>2408</v>
      </c>
      <c r="H12" s="86" t="s">
        <v>1860</v>
      </c>
      <c r="I12" s="86" t="s">
        <v>2423</v>
      </c>
      <c r="J12" s="86" t="s">
        <v>2415</v>
      </c>
      <c r="K12" s="86" t="s">
        <v>2411</v>
      </c>
    </row>
    <row r="13" spans="3:11" ht="16.5">
      <c r="C13" s="86" t="s">
        <v>712</v>
      </c>
      <c r="D13" s="86" t="s">
        <v>2416</v>
      </c>
      <c r="E13" s="86" t="s">
        <v>2417</v>
      </c>
      <c r="F13" s="104">
        <v>6500000000</v>
      </c>
      <c r="G13" s="86" t="s">
        <v>2408</v>
      </c>
      <c r="H13" s="86" t="s">
        <v>2105</v>
      </c>
      <c r="I13" s="86" t="s">
        <v>2424</v>
      </c>
      <c r="J13" s="86" t="s">
        <v>2419</v>
      </c>
      <c r="K13" s="86" t="s">
        <v>2411</v>
      </c>
    </row>
    <row r="14" spans="3:11" ht="16.5">
      <c r="C14" s="86" t="s">
        <v>712</v>
      </c>
      <c r="D14" s="86" t="s">
        <v>2420</v>
      </c>
      <c r="E14" s="86" t="s">
        <v>1830</v>
      </c>
      <c r="F14" s="104">
        <v>6547000000</v>
      </c>
      <c r="G14" s="86" t="s">
        <v>2408</v>
      </c>
      <c r="H14" s="86" t="s">
        <v>2105</v>
      </c>
      <c r="I14" s="86" t="s">
        <v>2424</v>
      </c>
      <c r="J14" s="86" t="s">
        <v>2419</v>
      </c>
      <c r="K14" s="86" t="s">
        <v>2411</v>
      </c>
    </row>
    <row r="15" spans="3:11" ht="16.5">
      <c r="C15" s="86" t="s">
        <v>712</v>
      </c>
      <c r="D15" s="86" t="s">
        <v>2421</v>
      </c>
      <c r="E15" s="86" t="s">
        <v>2080</v>
      </c>
      <c r="F15" s="104">
        <v>7599000000</v>
      </c>
      <c r="G15" s="86" t="s">
        <v>2408</v>
      </c>
      <c r="H15" s="86" t="s">
        <v>2105</v>
      </c>
      <c r="I15" s="86" t="s">
        <v>2424</v>
      </c>
      <c r="J15" s="86" t="s">
        <v>2419</v>
      </c>
      <c r="K15" s="86" t="s">
        <v>2411</v>
      </c>
    </row>
    <row r="16" spans="3:11" ht="16.5">
      <c r="C16" s="86" t="s">
        <v>713</v>
      </c>
      <c r="D16" s="86" t="s">
        <v>2407</v>
      </c>
      <c r="E16" s="86" t="s">
        <v>1068</v>
      </c>
      <c r="F16" s="104">
        <v>12376000000</v>
      </c>
      <c r="G16" s="86" t="s">
        <v>2408</v>
      </c>
      <c r="H16" s="86" t="s">
        <v>1601</v>
      </c>
      <c r="I16" s="86" t="s">
        <v>2425</v>
      </c>
      <c r="J16" s="86" t="s">
        <v>2410</v>
      </c>
      <c r="K16" s="86" t="s">
        <v>2411</v>
      </c>
    </row>
    <row r="17" spans="3:11" ht="16.5">
      <c r="C17" s="86" t="s">
        <v>713</v>
      </c>
      <c r="D17" s="86" t="s">
        <v>2412</v>
      </c>
      <c r="E17" s="86" t="s">
        <v>2413</v>
      </c>
      <c r="F17" s="104">
        <v>13771000000</v>
      </c>
      <c r="G17" s="86" t="s">
        <v>2408</v>
      </c>
      <c r="H17" s="86" t="s">
        <v>1860</v>
      </c>
      <c r="I17" s="86" t="s">
        <v>2426</v>
      </c>
      <c r="J17" s="86" t="s">
        <v>2415</v>
      </c>
      <c r="K17" s="86" t="s">
        <v>2411</v>
      </c>
    </row>
    <row r="18" spans="3:11" ht="16.5">
      <c r="C18" s="86" t="s">
        <v>713</v>
      </c>
      <c r="D18" s="86" t="s">
        <v>2416</v>
      </c>
      <c r="E18" s="86" t="s">
        <v>2417</v>
      </c>
      <c r="F18" s="104">
        <v>11019000000</v>
      </c>
      <c r="G18" s="86" t="s">
        <v>2408</v>
      </c>
      <c r="H18" s="86" t="s">
        <v>2105</v>
      </c>
      <c r="I18" s="86" t="s">
        <v>2427</v>
      </c>
      <c r="J18" s="86" t="s">
        <v>2419</v>
      </c>
      <c r="K18" s="86" t="s">
        <v>2411</v>
      </c>
    </row>
    <row r="19" spans="3:11" ht="16.5">
      <c r="C19" s="86" t="s">
        <v>713</v>
      </c>
      <c r="D19" s="86" t="s">
        <v>2420</v>
      </c>
      <c r="E19" s="86" t="s">
        <v>1830</v>
      </c>
      <c r="F19" s="104">
        <v>9094000000</v>
      </c>
      <c r="G19" s="86" t="s">
        <v>2408</v>
      </c>
      <c r="H19" s="86" t="s">
        <v>2105</v>
      </c>
      <c r="I19" s="86" t="s">
        <v>2427</v>
      </c>
      <c r="J19" s="86" t="s">
        <v>2419</v>
      </c>
      <c r="K19" s="86" t="s">
        <v>2411</v>
      </c>
    </row>
    <row r="20" spans="3:11" ht="16.5">
      <c r="C20" s="86" t="s">
        <v>713</v>
      </c>
      <c r="D20" s="86" t="s">
        <v>2421</v>
      </c>
      <c r="E20" s="86" t="s">
        <v>2080</v>
      </c>
      <c r="F20" s="104">
        <v>10083000000</v>
      </c>
      <c r="G20" s="86" t="s">
        <v>2408</v>
      </c>
      <c r="H20" s="86" t="s">
        <v>2105</v>
      </c>
      <c r="I20" s="86" t="s">
        <v>2427</v>
      </c>
      <c r="J20" s="86" t="s">
        <v>2419</v>
      </c>
      <c r="K20" s="86" t="s">
        <v>2411</v>
      </c>
    </row>
    <row r="21" spans="3:11" ht="16.5">
      <c r="C21" s="86" t="s">
        <v>714</v>
      </c>
      <c r="D21" s="86" t="s">
        <v>2407</v>
      </c>
      <c r="E21" s="86" t="s">
        <v>1068</v>
      </c>
      <c r="F21" s="104">
        <v>1666000000</v>
      </c>
      <c r="G21" s="86" t="s">
        <v>2408</v>
      </c>
      <c r="H21" s="86" t="s">
        <v>1601</v>
      </c>
      <c r="I21" s="86" t="s">
        <v>2428</v>
      </c>
      <c r="J21" s="86" t="s">
        <v>2410</v>
      </c>
      <c r="K21" s="86" t="s">
        <v>2411</v>
      </c>
    </row>
    <row r="22" spans="3:11" ht="16.5">
      <c r="C22" s="86" t="s">
        <v>714</v>
      </c>
      <c r="D22" s="86" t="s">
        <v>2412</v>
      </c>
      <c r="E22" s="86" t="s">
        <v>2413</v>
      </c>
      <c r="F22" s="104">
        <v>1704000000</v>
      </c>
      <c r="G22" s="86" t="s">
        <v>2408</v>
      </c>
      <c r="H22" s="86" t="s">
        <v>1860</v>
      </c>
      <c r="I22" s="86" t="s">
        <v>2429</v>
      </c>
      <c r="J22" s="86" t="s">
        <v>2415</v>
      </c>
      <c r="K22" s="86" t="s">
        <v>2411</v>
      </c>
    </row>
    <row r="23" spans="3:11" ht="16.5">
      <c r="C23" s="86" t="s">
        <v>714</v>
      </c>
      <c r="D23" s="86" t="s">
        <v>2416</v>
      </c>
      <c r="E23" s="86" t="s">
        <v>2417</v>
      </c>
      <c r="F23" s="104">
        <v>1825000000</v>
      </c>
      <c r="G23" s="86" t="s">
        <v>2408</v>
      </c>
      <c r="H23" s="86" t="s">
        <v>2105</v>
      </c>
      <c r="I23" s="86" t="s">
        <v>2430</v>
      </c>
      <c r="J23" s="86" t="s">
        <v>2419</v>
      </c>
      <c r="K23" s="86" t="s">
        <v>2411</v>
      </c>
    </row>
    <row r="24" spans="3:11" ht="16.5">
      <c r="C24" s="86" t="s">
        <v>714</v>
      </c>
      <c r="D24" s="86" t="s">
        <v>2420</v>
      </c>
      <c r="E24" s="86" t="s">
        <v>1830</v>
      </c>
      <c r="F24" s="104">
        <v>1794000000</v>
      </c>
      <c r="G24" s="86" t="s">
        <v>2408</v>
      </c>
      <c r="H24" s="86" t="s">
        <v>2105</v>
      </c>
      <c r="I24" s="86" t="s">
        <v>2430</v>
      </c>
      <c r="J24" s="86" t="s">
        <v>2419</v>
      </c>
      <c r="K24" s="86" t="s">
        <v>2411</v>
      </c>
    </row>
    <row r="25" spans="3:11" ht="16.5">
      <c r="C25" s="86" t="s">
        <v>714</v>
      </c>
      <c r="D25" s="86" t="s">
        <v>2421</v>
      </c>
      <c r="E25" s="86" t="s">
        <v>2080</v>
      </c>
      <c r="F25" s="104">
        <v>1860000000</v>
      </c>
      <c r="G25" s="86" t="s">
        <v>2408</v>
      </c>
      <c r="H25" s="86" t="s">
        <v>2105</v>
      </c>
      <c r="I25" s="86" t="s">
        <v>2430</v>
      </c>
      <c r="J25" s="86" t="s">
        <v>2419</v>
      </c>
      <c r="K25" s="86" t="s">
        <v>2411</v>
      </c>
    </row>
    <row r="26" spans="3:11" ht="16.5">
      <c r="C26" s="86" t="s">
        <v>715</v>
      </c>
      <c r="D26" s="86" t="s">
        <v>2407</v>
      </c>
      <c r="E26" s="86" t="s">
        <v>1068</v>
      </c>
      <c r="F26" s="104">
        <v>1554000000</v>
      </c>
      <c r="G26" s="86" t="s">
        <v>2408</v>
      </c>
      <c r="H26" s="86" t="s">
        <v>1601</v>
      </c>
      <c r="I26" s="86" t="s">
        <v>2431</v>
      </c>
      <c r="J26" s="86" t="s">
        <v>2410</v>
      </c>
      <c r="K26" s="86" t="s">
        <v>2411</v>
      </c>
    </row>
    <row r="27" spans="3:11" ht="16.5">
      <c r="C27" s="86" t="s">
        <v>715</v>
      </c>
      <c r="D27" s="86" t="s">
        <v>2412</v>
      </c>
      <c r="E27" s="86" t="s">
        <v>2413</v>
      </c>
      <c r="F27" s="104">
        <v>1670000000</v>
      </c>
      <c r="G27" s="86" t="s">
        <v>2408</v>
      </c>
      <c r="H27" s="86" t="s">
        <v>1860</v>
      </c>
      <c r="I27" s="86" t="s">
        <v>2432</v>
      </c>
      <c r="J27" s="86" t="s">
        <v>2415</v>
      </c>
      <c r="K27" s="86" t="s">
        <v>2411</v>
      </c>
    </row>
    <row r="28" spans="3:11" ht="16.5">
      <c r="C28" s="86" t="s">
        <v>715</v>
      </c>
      <c r="D28" s="86" t="s">
        <v>2416</v>
      </c>
      <c r="E28" s="86" t="s">
        <v>2417</v>
      </c>
      <c r="F28" s="104">
        <v>1863000000</v>
      </c>
      <c r="G28" s="86" t="s">
        <v>2408</v>
      </c>
      <c r="H28" s="86" t="s">
        <v>2105</v>
      </c>
      <c r="I28" s="86" t="s">
        <v>2433</v>
      </c>
      <c r="J28" s="86" t="s">
        <v>2419</v>
      </c>
      <c r="K28" s="86" t="s">
        <v>2411</v>
      </c>
    </row>
    <row r="29" spans="3:11" ht="16.5">
      <c r="C29" s="86" t="s">
        <v>715</v>
      </c>
      <c r="D29" s="86" t="s">
        <v>2420</v>
      </c>
      <c r="E29" s="86" t="s">
        <v>1830</v>
      </c>
      <c r="F29" s="104">
        <v>1959000000</v>
      </c>
      <c r="G29" s="86" t="s">
        <v>2408</v>
      </c>
      <c r="H29" s="86" t="s">
        <v>2105</v>
      </c>
      <c r="I29" s="86" t="s">
        <v>2433</v>
      </c>
      <c r="J29" s="86" t="s">
        <v>2419</v>
      </c>
      <c r="K29" s="86" t="s">
        <v>2411</v>
      </c>
    </row>
    <row r="30" spans="3:11" ht="16.5">
      <c r="C30" s="86" t="s">
        <v>715</v>
      </c>
      <c r="D30" s="86" t="s">
        <v>2421</v>
      </c>
      <c r="E30" s="86" t="s">
        <v>2080</v>
      </c>
      <c r="F30" s="104">
        <v>2083000000</v>
      </c>
      <c r="G30" s="86" t="s">
        <v>2408</v>
      </c>
      <c r="H30" s="86" t="s">
        <v>2105</v>
      </c>
      <c r="I30" s="86" t="s">
        <v>2433</v>
      </c>
      <c r="J30" s="86" t="s">
        <v>2419</v>
      </c>
      <c r="K30" s="86" t="s">
        <v>2411</v>
      </c>
    </row>
    <row r="31" spans="3:11" ht="16.5">
      <c r="C31" s="86" t="s">
        <v>691</v>
      </c>
      <c r="D31" s="86" t="s">
        <v>2407</v>
      </c>
      <c r="E31" s="86" t="s">
        <v>1068</v>
      </c>
      <c r="F31" s="104">
        <v>8960000000</v>
      </c>
      <c r="G31" s="86" t="s">
        <v>2408</v>
      </c>
      <c r="H31" s="86" t="s">
        <v>1601</v>
      </c>
      <c r="I31" s="86" t="s">
        <v>2434</v>
      </c>
      <c r="J31" s="86" t="s">
        <v>2410</v>
      </c>
      <c r="K31" s="86" t="s">
        <v>2411</v>
      </c>
    </row>
    <row r="32" spans="3:11" ht="16.5">
      <c r="C32" s="86" t="s">
        <v>691</v>
      </c>
      <c r="D32" s="86" t="s">
        <v>2412</v>
      </c>
      <c r="E32" s="86" t="s">
        <v>2413</v>
      </c>
      <c r="F32" s="104">
        <v>10140000000</v>
      </c>
      <c r="G32" s="86" t="s">
        <v>2408</v>
      </c>
      <c r="H32" s="86" t="s">
        <v>1860</v>
      </c>
      <c r="I32" s="86" t="s">
        <v>2435</v>
      </c>
      <c r="J32" s="86" t="s">
        <v>2415</v>
      </c>
      <c r="K32" s="86" t="s">
        <v>2411</v>
      </c>
    </row>
    <row r="33" spans="3:11" ht="16.5">
      <c r="C33" s="86" t="s">
        <v>691</v>
      </c>
      <c r="D33" s="86" t="s">
        <v>2416</v>
      </c>
      <c r="E33" s="86" t="s">
        <v>2417</v>
      </c>
      <c r="F33" s="104">
        <v>7331000000</v>
      </c>
      <c r="G33" s="86" t="s">
        <v>2408</v>
      </c>
      <c r="H33" s="86" t="s">
        <v>2105</v>
      </c>
      <c r="I33" s="86" t="s">
        <v>2436</v>
      </c>
      <c r="J33" s="86" t="s">
        <v>2419</v>
      </c>
      <c r="K33" s="86" t="s">
        <v>2411</v>
      </c>
    </row>
    <row r="34" spans="3:11" ht="16.5">
      <c r="C34" s="86" t="s">
        <v>691</v>
      </c>
      <c r="D34" s="86" t="s">
        <v>2420</v>
      </c>
      <c r="E34" s="86" t="s">
        <v>1830</v>
      </c>
      <c r="F34" s="104">
        <v>5465000000</v>
      </c>
      <c r="G34" s="86" t="s">
        <v>2408</v>
      </c>
      <c r="H34" s="86" t="s">
        <v>2105</v>
      </c>
      <c r="I34" s="86" t="s">
        <v>2436</v>
      </c>
      <c r="J34" s="86" t="s">
        <v>2419</v>
      </c>
      <c r="K34" s="86" t="s">
        <v>2411</v>
      </c>
    </row>
    <row r="35" spans="3:11" ht="16.5">
      <c r="C35" s="86" t="s">
        <v>691</v>
      </c>
      <c r="D35" s="86" t="s">
        <v>2421</v>
      </c>
      <c r="E35" s="86" t="s">
        <v>2080</v>
      </c>
      <c r="F35" s="104">
        <v>6023000000</v>
      </c>
      <c r="G35" s="86" t="s">
        <v>2408</v>
      </c>
      <c r="H35" s="86" t="s">
        <v>2105</v>
      </c>
      <c r="I35" s="86" t="s">
        <v>2436</v>
      </c>
      <c r="J35" s="86" t="s">
        <v>2419</v>
      </c>
      <c r="K35" s="86" t="s">
        <v>2411</v>
      </c>
    </row>
    <row r="36" spans="3:11" ht="16.5">
      <c r="C36" s="86" t="s">
        <v>717</v>
      </c>
      <c r="D36" s="86" t="s">
        <v>2407</v>
      </c>
      <c r="E36" s="86" t="s">
        <v>1068</v>
      </c>
      <c r="F36" s="104">
        <v>8919000000</v>
      </c>
      <c r="G36" s="86" t="s">
        <v>2408</v>
      </c>
      <c r="H36" s="86" t="s">
        <v>1601</v>
      </c>
      <c r="I36" s="86" t="s">
        <v>2437</v>
      </c>
      <c r="J36" s="86" t="s">
        <v>2410</v>
      </c>
      <c r="K36" s="86" t="s">
        <v>2411</v>
      </c>
    </row>
    <row r="37" spans="3:11" ht="16.5">
      <c r="C37" s="86" t="s">
        <v>717</v>
      </c>
      <c r="D37" s="86" t="s">
        <v>2412</v>
      </c>
      <c r="E37" s="86" t="s">
        <v>2413</v>
      </c>
      <c r="F37" s="104">
        <v>10032000000</v>
      </c>
      <c r="G37" s="86" t="s">
        <v>2408</v>
      </c>
      <c r="H37" s="86" t="s">
        <v>1860</v>
      </c>
      <c r="I37" s="86" t="s">
        <v>2438</v>
      </c>
      <c r="J37" s="86" t="s">
        <v>2415</v>
      </c>
      <c r="K37" s="86" t="s">
        <v>2411</v>
      </c>
    </row>
    <row r="38" spans="3:11" ht="16.5">
      <c r="C38" s="86" t="s">
        <v>717</v>
      </c>
      <c r="D38" s="86" t="s">
        <v>2416</v>
      </c>
      <c r="E38" s="86" t="s">
        <v>2417</v>
      </c>
      <c r="F38" s="104">
        <v>7418000000</v>
      </c>
      <c r="G38" s="86" t="s">
        <v>2408</v>
      </c>
      <c r="H38" s="86" t="s">
        <v>2105</v>
      </c>
      <c r="I38" s="86" t="s">
        <v>2439</v>
      </c>
      <c r="J38" s="86" t="s">
        <v>2419</v>
      </c>
      <c r="K38" s="86" t="s">
        <v>2411</v>
      </c>
    </row>
    <row r="39" spans="3:11" ht="16.5">
      <c r="C39" s="86" t="s">
        <v>717</v>
      </c>
      <c r="D39" s="86" t="s">
        <v>2420</v>
      </c>
      <c r="E39" s="86" t="s">
        <v>1830</v>
      </c>
      <c r="F39" s="104">
        <v>5453000000</v>
      </c>
      <c r="G39" s="86" t="s">
        <v>2408</v>
      </c>
      <c r="H39" s="86" t="s">
        <v>2105</v>
      </c>
      <c r="I39" s="86" t="s">
        <v>2439</v>
      </c>
      <c r="J39" s="86" t="s">
        <v>2419</v>
      </c>
      <c r="K39" s="86" t="s">
        <v>2411</v>
      </c>
    </row>
    <row r="40" spans="3:11" ht="16.5">
      <c r="C40" s="86" t="s">
        <v>717</v>
      </c>
      <c r="D40" s="86" t="s">
        <v>2421</v>
      </c>
      <c r="E40" s="86" t="s">
        <v>2080</v>
      </c>
      <c r="F40" s="104">
        <v>5710000000</v>
      </c>
      <c r="G40" s="86" t="s">
        <v>2408</v>
      </c>
      <c r="H40" s="86" t="s">
        <v>2105</v>
      </c>
      <c r="I40" s="86" t="s">
        <v>2439</v>
      </c>
      <c r="J40" s="86" t="s">
        <v>2419</v>
      </c>
      <c r="K40" s="86" t="s">
        <v>2411</v>
      </c>
    </row>
    <row r="41" spans="3:11" ht="16.5">
      <c r="C41" s="86" t="s">
        <v>718</v>
      </c>
      <c r="D41" s="86" t="s">
        <v>2407</v>
      </c>
      <c r="E41" s="86" t="s">
        <v>1068</v>
      </c>
      <c r="F41" s="104">
        <v>1150000000</v>
      </c>
      <c r="G41" s="86" t="s">
        <v>2408</v>
      </c>
      <c r="H41" s="86" t="s">
        <v>1601</v>
      </c>
      <c r="I41" s="86" t="s">
        <v>2440</v>
      </c>
      <c r="J41" s="86" t="s">
        <v>2410</v>
      </c>
      <c r="K41" s="86" t="s">
        <v>2411</v>
      </c>
    </row>
    <row r="42" spans="3:11" ht="16.5">
      <c r="C42" s="86" t="s">
        <v>718</v>
      </c>
      <c r="D42" s="86" t="s">
        <v>2412</v>
      </c>
      <c r="E42" s="86" t="s">
        <v>2413</v>
      </c>
      <c r="F42" s="104">
        <v>1283000000</v>
      </c>
      <c r="G42" s="86" t="s">
        <v>2408</v>
      </c>
      <c r="H42" s="86" t="s">
        <v>1860</v>
      </c>
      <c r="I42" s="86" t="s">
        <v>2441</v>
      </c>
      <c r="J42" s="86" t="s">
        <v>2415</v>
      </c>
      <c r="K42" s="86" t="s">
        <v>2411</v>
      </c>
    </row>
    <row r="43" spans="3:11" ht="16.5">
      <c r="C43" s="86" t="s">
        <v>718</v>
      </c>
      <c r="D43" s="86" t="s">
        <v>2416</v>
      </c>
      <c r="E43" s="86" t="s">
        <v>2417</v>
      </c>
      <c r="F43" s="104">
        <v>908000000</v>
      </c>
      <c r="G43" s="86" t="s">
        <v>2408</v>
      </c>
      <c r="H43" s="86" t="s">
        <v>2105</v>
      </c>
      <c r="I43" s="86" t="s">
        <v>2442</v>
      </c>
      <c r="J43" s="86" t="s">
        <v>2419</v>
      </c>
      <c r="K43" s="86" t="s">
        <v>2411</v>
      </c>
    </row>
    <row r="44" spans="3:11" ht="16.5">
      <c r="C44" s="86" t="s">
        <v>718</v>
      </c>
      <c r="D44" s="86" t="s">
        <v>2420</v>
      </c>
      <c r="E44" s="86" t="s">
        <v>1830</v>
      </c>
      <c r="F44" s="104">
        <v>654000000</v>
      </c>
      <c r="G44" s="86" t="s">
        <v>2408</v>
      </c>
      <c r="H44" s="86" t="s">
        <v>2105</v>
      </c>
      <c r="I44" s="86" t="s">
        <v>2442</v>
      </c>
      <c r="J44" s="86" t="s">
        <v>2419</v>
      </c>
      <c r="K44" s="86" t="s">
        <v>2411</v>
      </c>
    </row>
    <row r="45" spans="3:11" ht="16.5">
      <c r="C45" s="86" t="s">
        <v>718</v>
      </c>
      <c r="D45" s="86" t="s">
        <v>2421</v>
      </c>
      <c r="E45" s="86" t="s">
        <v>2080</v>
      </c>
      <c r="F45" s="104">
        <v>709000000</v>
      </c>
      <c r="G45" s="86" t="s">
        <v>2408</v>
      </c>
      <c r="H45" s="86" t="s">
        <v>2105</v>
      </c>
      <c r="I45" s="86" t="s">
        <v>2442</v>
      </c>
      <c r="J45" s="86" t="s">
        <v>2419</v>
      </c>
      <c r="K45" s="86" t="s">
        <v>2411</v>
      </c>
    </row>
    <row r="46" spans="3:11" ht="16.5">
      <c r="C46" s="86" t="s">
        <v>692</v>
      </c>
      <c r="D46" s="86" t="s">
        <v>2407</v>
      </c>
      <c r="E46" s="86" t="s">
        <v>1068</v>
      </c>
      <c r="F46" s="104">
        <v>7769000000</v>
      </c>
      <c r="G46" s="86" t="s">
        <v>2408</v>
      </c>
      <c r="H46" s="86" t="s">
        <v>1601</v>
      </c>
      <c r="I46" s="86" t="s">
        <v>2443</v>
      </c>
      <c r="J46" s="86" t="s">
        <v>2410</v>
      </c>
      <c r="K46" s="86" t="s">
        <v>2411</v>
      </c>
    </row>
    <row r="47" spans="3:11" ht="16.5">
      <c r="C47" s="86" t="s">
        <v>692</v>
      </c>
      <c r="D47" s="86" t="s">
        <v>2412</v>
      </c>
      <c r="E47" s="86" t="s">
        <v>2413</v>
      </c>
      <c r="F47" s="104">
        <v>8749000000</v>
      </c>
      <c r="G47" s="86" t="s">
        <v>2408</v>
      </c>
      <c r="H47" s="86" t="s">
        <v>1860</v>
      </c>
      <c r="I47" s="86" t="s">
        <v>2444</v>
      </c>
      <c r="J47" s="86" t="s">
        <v>2415</v>
      </c>
      <c r="K47" s="86" t="s">
        <v>2411</v>
      </c>
    </row>
    <row r="48" spans="3:11" ht="16.5">
      <c r="C48" s="86" t="s">
        <v>692</v>
      </c>
      <c r="D48" s="86" t="s">
        <v>2416</v>
      </c>
      <c r="E48" s="86" t="s">
        <v>2417</v>
      </c>
      <c r="F48" s="104">
        <v>6510000000</v>
      </c>
      <c r="G48" s="86" t="s">
        <v>2408</v>
      </c>
      <c r="H48" s="86" t="s">
        <v>2105</v>
      </c>
      <c r="I48" s="86" t="s">
        <v>2445</v>
      </c>
      <c r="J48" s="86" t="s">
        <v>2419</v>
      </c>
      <c r="K48" s="86" t="s">
        <v>2411</v>
      </c>
    </row>
    <row r="49" spans="3:11" ht="16.5">
      <c r="C49" s="86" t="s">
        <v>692</v>
      </c>
      <c r="D49" s="86" t="s">
        <v>2420</v>
      </c>
      <c r="E49" s="86" t="s">
        <v>1830</v>
      </c>
      <c r="F49" s="104">
        <v>4799000000</v>
      </c>
      <c r="G49" s="86" t="s">
        <v>2408</v>
      </c>
      <c r="H49" s="86" t="s">
        <v>2105</v>
      </c>
      <c r="I49" s="86" t="s">
        <v>2445</v>
      </c>
      <c r="J49" s="86" t="s">
        <v>2419</v>
      </c>
      <c r="K49" s="86" t="s">
        <v>2411</v>
      </c>
    </row>
    <row r="50" spans="3:11" ht="16.5">
      <c r="C50" s="86" t="s">
        <v>692</v>
      </c>
      <c r="D50" s="86" t="s">
        <v>2421</v>
      </c>
      <c r="E50" s="86" t="s">
        <v>2080</v>
      </c>
      <c r="F50" s="104">
        <v>5001000000</v>
      </c>
      <c r="G50" s="86" t="s">
        <v>2408</v>
      </c>
      <c r="H50" s="86" t="s">
        <v>2105</v>
      </c>
      <c r="I50" s="86" t="s">
        <v>2445</v>
      </c>
      <c r="J50" s="86" t="s">
        <v>2419</v>
      </c>
      <c r="K50" s="86" t="s">
        <v>2411</v>
      </c>
    </row>
    <row r="51" spans="3:11" ht="16.5">
      <c r="C51" s="86" t="s">
        <v>722</v>
      </c>
      <c r="D51" s="86"/>
      <c r="E51" s="86" t="s">
        <v>1068</v>
      </c>
      <c r="F51" s="104">
        <v>4631000000</v>
      </c>
      <c r="G51" s="86" t="s">
        <v>2408</v>
      </c>
      <c r="H51" s="86" t="s">
        <v>1351</v>
      </c>
      <c r="I51" s="86" t="s">
        <v>2446</v>
      </c>
      <c r="J51" s="86" t="s">
        <v>2447</v>
      </c>
      <c r="K51" s="86" t="s">
        <v>2411</v>
      </c>
    </row>
    <row r="52" spans="3:11" ht="16.5">
      <c r="C52" s="86" t="s">
        <v>722</v>
      </c>
      <c r="D52" s="86"/>
      <c r="E52" s="86" t="s">
        <v>2413</v>
      </c>
      <c r="F52" s="104">
        <v>3050000000</v>
      </c>
      <c r="G52" s="86" t="s">
        <v>2408</v>
      </c>
      <c r="H52" s="86" t="s">
        <v>1601</v>
      </c>
      <c r="I52" s="86" t="s">
        <v>2448</v>
      </c>
      <c r="J52" s="86" t="s">
        <v>2410</v>
      </c>
      <c r="K52" s="86" t="s">
        <v>2411</v>
      </c>
    </row>
    <row r="53" spans="3:11" ht="16.5">
      <c r="C53" s="86" t="s">
        <v>722</v>
      </c>
      <c r="D53" s="86"/>
      <c r="E53" s="86" t="s">
        <v>2417</v>
      </c>
      <c r="F53" s="104">
        <v>2964000000</v>
      </c>
      <c r="G53" s="86" t="s">
        <v>2408</v>
      </c>
      <c r="H53" s="86" t="s">
        <v>1860</v>
      </c>
      <c r="I53" s="86" t="s">
        <v>2449</v>
      </c>
      <c r="J53" s="86" t="s">
        <v>2415</v>
      </c>
      <c r="K53" s="86" t="s">
        <v>2411</v>
      </c>
    </row>
    <row r="54" spans="3:11" ht="16.5">
      <c r="C54" s="86" t="s">
        <v>722</v>
      </c>
      <c r="D54" s="86"/>
      <c r="E54" s="86" t="s">
        <v>1830</v>
      </c>
      <c r="F54" s="104">
        <v>3200000000</v>
      </c>
      <c r="G54" s="86" t="s">
        <v>2408</v>
      </c>
      <c r="H54" s="86" t="s">
        <v>2105</v>
      </c>
      <c r="I54" s="86" t="s">
        <v>2450</v>
      </c>
      <c r="J54" s="86" t="s">
        <v>2419</v>
      </c>
      <c r="K54" s="86" t="s">
        <v>2411</v>
      </c>
    </row>
    <row r="55" spans="3:11" ht="16.5">
      <c r="C55" s="86" t="s">
        <v>722</v>
      </c>
      <c r="D55" s="86"/>
      <c r="E55" s="86" t="s">
        <v>2080</v>
      </c>
      <c r="F55" s="104">
        <v>3225000000</v>
      </c>
      <c r="G55" s="86" t="s">
        <v>2408</v>
      </c>
      <c r="H55" s="86" t="s">
        <v>2105</v>
      </c>
      <c r="I55" s="86" t="s">
        <v>2450</v>
      </c>
      <c r="J55" s="86" t="s">
        <v>2419</v>
      </c>
      <c r="K55" s="86" t="s">
        <v>2411</v>
      </c>
    </row>
    <row r="56" spans="3:11" ht="16.5">
      <c r="C56" s="86" t="s">
        <v>723</v>
      </c>
      <c r="D56" s="86"/>
      <c r="E56" s="86" t="s">
        <v>1068</v>
      </c>
      <c r="F56" s="104">
        <v>1701000000</v>
      </c>
      <c r="G56" s="86" t="s">
        <v>2408</v>
      </c>
      <c r="H56" s="86" t="s">
        <v>1351</v>
      </c>
      <c r="I56" s="86" t="s">
        <v>2451</v>
      </c>
      <c r="J56" s="86" t="s">
        <v>2447</v>
      </c>
      <c r="K56" s="86" t="s">
        <v>2411</v>
      </c>
    </row>
    <row r="57" spans="3:11" ht="16.5">
      <c r="C57" s="86" t="s">
        <v>723</v>
      </c>
      <c r="D57" s="86"/>
      <c r="E57" s="86" t="s">
        <v>2413</v>
      </c>
      <c r="F57" s="104">
        <v>1895000000</v>
      </c>
      <c r="G57" s="86" t="s">
        <v>2408</v>
      </c>
      <c r="H57" s="86" t="s">
        <v>1601</v>
      </c>
      <c r="I57" s="86" t="s">
        <v>2452</v>
      </c>
      <c r="J57" s="86" t="s">
        <v>2410</v>
      </c>
      <c r="K57" s="86" t="s">
        <v>2411</v>
      </c>
    </row>
    <row r="58" spans="3:11" ht="16.5">
      <c r="C58" s="86" t="s">
        <v>723</v>
      </c>
      <c r="D58" s="86"/>
      <c r="E58" s="86" t="s">
        <v>2417</v>
      </c>
      <c r="F58" s="104">
        <v>1787000000</v>
      </c>
      <c r="G58" s="86" t="s">
        <v>2408</v>
      </c>
      <c r="H58" s="86" t="s">
        <v>1860</v>
      </c>
      <c r="I58" s="86" t="s">
        <v>2453</v>
      </c>
      <c r="J58" s="86" t="s">
        <v>2415</v>
      </c>
      <c r="K58" s="86" t="s">
        <v>2411</v>
      </c>
    </row>
    <row r="59" spans="3:11" ht="16.5">
      <c r="C59" s="86" t="s">
        <v>723</v>
      </c>
      <c r="D59" s="86"/>
      <c r="E59" s="86" t="s">
        <v>1830</v>
      </c>
      <c r="F59" s="104">
        <v>1719000000</v>
      </c>
      <c r="G59" s="86" t="s">
        <v>2408</v>
      </c>
      <c r="H59" s="86" t="s">
        <v>2105</v>
      </c>
      <c r="I59" s="86" t="s">
        <v>2454</v>
      </c>
      <c r="J59" s="86" t="s">
        <v>2419</v>
      </c>
      <c r="K59" s="86" t="s">
        <v>2411</v>
      </c>
    </row>
    <row r="60" spans="3:11" ht="16.5">
      <c r="C60" s="86" t="s">
        <v>723</v>
      </c>
      <c r="D60" s="86"/>
      <c r="E60" s="86" t="s">
        <v>2080</v>
      </c>
      <c r="F60" s="104">
        <v>1963000000</v>
      </c>
      <c r="G60" s="86" t="s">
        <v>2408</v>
      </c>
      <c r="H60" s="86" t="s">
        <v>2105</v>
      </c>
      <c r="I60" s="86" t="s">
        <v>2454</v>
      </c>
      <c r="J60" s="86" t="s">
        <v>2419</v>
      </c>
      <c r="K60" s="86" t="s">
        <v>2411</v>
      </c>
    </row>
    <row r="61" spans="3:11" ht="16.5">
      <c r="C61" s="86" t="s">
        <v>724</v>
      </c>
      <c r="D61" s="86"/>
      <c r="E61" s="86" t="s">
        <v>1068</v>
      </c>
      <c r="F61" s="104">
        <v>1910000000</v>
      </c>
      <c r="G61" s="86" t="s">
        <v>2408</v>
      </c>
      <c r="H61" s="86" t="s">
        <v>1351</v>
      </c>
      <c r="I61" s="86" t="s">
        <v>2455</v>
      </c>
      <c r="J61" s="86" t="s">
        <v>2447</v>
      </c>
      <c r="K61" s="86" t="s">
        <v>2411</v>
      </c>
    </row>
    <row r="62" spans="3:11" ht="16.5">
      <c r="C62" s="86" t="s">
        <v>724</v>
      </c>
      <c r="D62" s="86"/>
      <c r="E62" s="86" t="s">
        <v>2413</v>
      </c>
      <c r="F62" s="104">
        <v>2757000000</v>
      </c>
      <c r="G62" s="86" t="s">
        <v>2408</v>
      </c>
      <c r="H62" s="86" t="s">
        <v>1601</v>
      </c>
      <c r="I62" s="86" t="s">
        <v>2456</v>
      </c>
      <c r="J62" s="86" t="s">
        <v>2410</v>
      </c>
      <c r="K62" s="86" t="s">
        <v>2411</v>
      </c>
    </row>
    <row r="63" spans="3:11" ht="16.5">
      <c r="C63" s="86" t="s">
        <v>724</v>
      </c>
      <c r="D63" s="86"/>
      <c r="E63" s="86" t="s">
        <v>2417</v>
      </c>
      <c r="F63" s="104">
        <v>3999000000</v>
      </c>
      <c r="G63" s="86" t="s">
        <v>2408</v>
      </c>
      <c r="H63" s="86" t="s">
        <v>1860</v>
      </c>
      <c r="I63" s="86" t="s">
        <v>2457</v>
      </c>
      <c r="J63" s="86" t="s">
        <v>2415</v>
      </c>
      <c r="K63" s="86" t="s">
        <v>2411</v>
      </c>
    </row>
    <row r="64" spans="3:11" ht="16.5">
      <c r="C64" s="86" t="s">
        <v>724</v>
      </c>
      <c r="D64" s="86"/>
      <c r="E64" s="86" t="s">
        <v>1830</v>
      </c>
      <c r="F64" s="104">
        <v>4527000000</v>
      </c>
      <c r="G64" s="86" t="s">
        <v>2408</v>
      </c>
      <c r="H64" s="86" t="s">
        <v>2105</v>
      </c>
      <c r="I64" s="86" t="s">
        <v>2458</v>
      </c>
      <c r="J64" s="86" t="s">
        <v>2419</v>
      </c>
      <c r="K64" s="86" t="s">
        <v>2411</v>
      </c>
    </row>
    <row r="65" spans="3:11" ht="16.5">
      <c r="C65" s="86" t="s">
        <v>724</v>
      </c>
      <c r="D65" s="86"/>
      <c r="E65" s="86" t="s">
        <v>2080</v>
      </c>
      <c r="F65" s="104">
        <v>4804000000</v>
      </c>
      <c r="G65" s="86" t="s">
        <v>2408</v>
      </c>
      <c r="H65" s="86" t="s">
        <v>2105</v>
      </c>
      <c r="I65" s="86" t="s">
        <v>2458</v>
      </c>
      <c r="J65" s="86" t="s">
        <v>2419</v>
      </c>
      <c r="K65" s="86" t="s">
        <v>2411</v>
      </c>
    </row>
    <row r="66" spans="3:11" ht="16.5">
      <c r="C66" s="86" t="s">
        <v>725</v>
      </c>
      <c r="D66" s="86"/>
      <c r="E66" s="86" t="s">
        <v>1068</v>
      </c>
      <c r="F66" s="104">
        <v>13685000000</v>
      </c>
      <c r="G66" s="86" t="s">
        <v>2408</v>
      </c>
      <c r="H66" s="86" t="s">
        <v>1351</v>
      </c>
      <c r="I66" s="86" t="s">
        <v>2459</v>
      </c>
      <c r="J66" s="86" t="s">
        <v>2447</v>
      </c>
      <c r="K66" s="86" t="s">
        <v>2411</v>
      </c>
    </row>
    <row r="67" spans="3:11" ht="16.5">
      <c r="C67" s="86" t="s">
        <v>725</v>
      </c>
      <c r="D67" s="86"/>
      <c r="E67" s="86" t="s">
        <v>2413</v>
      </c>
      <c r="F67" s="104">
        <v>14021000000</v>
      </c>
      <c r="G67" s="86" t="s">
        <v>2408</v>
      </c>
      <c r="H67" s="86" t="s">
        <v>1601</v>
      </c>
      <c r="I67" s="86" t="s">
        <v>2460</v>
      </c>
      <c r="J67" s="86" t="s">
        <v>2410</v>
      </c>
      <c r="K67" s="86" t="s">
        <v>2411</v>
      </c>
    </row>
    <row r="68" spans="3:11" ht="16.5">
      <c r="C68" s="86" t="s">
        <v>725</v>
      </c>
      <c r="D68" s="86"/>
      <c r="E68" s="86" t="s">
        <v>2417</v>
      </c>
      <c r="F68" s="104">
        <v>15122000000</v>
      </c>
      <c r="G68" s="86" t="s">
        <v>2408</v>
      </c>
      <c r="H68" s="86" t="s">
        <v>1860</v>
      </c>
      <c r="I68" s="86" t="s">
        <v>2461</v>
      </c>
      <c r="J68" s="86" t="s">
        <v>2415</v>
      </c>
      <c r="K68" s="86" t="s">
        <v>2411</v>
      </c>
    </row>
    <row r="69" spans="3:11" ht="16.5">
      <c r="C69" s="86" t="s">
        <v>725</v>
      </c>
      <c r="D69" s="86"/>
      <c r="E69" s="86" t="s">
        <v>1830</v>
      </c>
      <c r="F69" s="104">
        <v>15026000000</v>
      </c>
      <c r="G69" s="86" t="s">
        <v>2408</v>
      </c>
      <c r="H69" s="86" t="s">
        <v>2105</v>
      </c>
      <c r="I69" s="86" t="s">
        <v>2462</v>
      </c>
      <c r="J69" s="86" t="s">
        <v>2419</v>
      </c>
      <c r="K69" s="86" t="s">
        <v>2411</v>
      </c>
    </row>
    <row r="70" spans="3:11" ht="16.5">
      <c r="C70" s="86" t="s">
        <v>725</v>
      </c>
      <c r="D70" s="86"/>
      <c r="E70" s="86" t="s">
        <v>2080</v>
      </c>
      <c r="F70" s="104">
        <v>13750000000</v>
      </c>
      <c r="G70" s="86" t="s">
        <v>2408</v>
      </c>
      <c r="H70" s="86" t="s">
        <v>2105</v>
      </c>
      <c r="I70" s="86" t="s">
        <v>2462</v>
      </c>
      <c r="J70" s="86" t="s">
        <v>2419</v>
      </c>
      <c r="K70" s="86" t="s">
        <v>2411</v>
      </c>
    </row>
    <row r="71" spans="3:11" ht="16.5">
      <c r="C71" s="86" t="s">
        <v>726</v>
      </c>
      <c r="D71" s="86"/>
      <c r="E71" s="86" t="s">
        <v>1068</v>
      </c>
      <c r="F71" s="104">
        <v>5141000000</v>
      </c>
      <c r="G71" s="86" t="s">
        <v>2408</v>
      </c>
      <c r="H71" s="86" t="s">
        <v>1351</v>
      </c>
      <c r="I71" s="86" t="s">
        <v>2463</v>
      </c>
      <c r="J71" s="86" t="s">
        <v>2447</v>
      </c>
      <c r="K71" s="86" t="s">
        <v>2411</v>
      </c>
    </row>
    <row r="72" spans="3:11" ht="16.5">
      <c r="C72" s="86" t="s">
        <v>726</v>
      </c>
      <c r="D72" s="86"/>
      <c r="E72" s="86" t="s">
        <v>2413</v>
      </c>
      <c r="F72" s="104">
        <v>6876000000</v>
      </c>
      <c r="G72" s="86" t="s">
        <v>2408</v>
      </c>
      <c r="H72" s="86" t="s">
        <v>1601</v>
      </c>
      <c r="I72" s="86" t="s">
        <v>2464</v>
      </c>
      <c r="J72" s="86" t="s">
        <v>2410</v>
      </c>
      <c r="K72" s="86" t="s">
        <v>2411</v>
      </c>
    </row>
    <row r="73" spans="3:11" ht="16.5">
      <c r="C73" s="86" t="s">
        <v>726</v>
      </c>
      <c r="D73" s="86"/>
      <c r="E73" s="86" t="s">
        <v>2417</v>
      </c>
      <c r="F73" s="104">
        <v>9999000000</v>
      </c>
      <c r="G73" s="86" t="s">
        <v>2408</v>
      </c>
      <c r="H73" s="86" t="s">
        <v>1860</v>
      </c>
      <c r="I73" s="86" t="s">
        <v>2465</v>
      </c>
      <c r="J73" s="86" t="s">
        <v>2415</v>
      </c>
      <c r="K73" s="86" t="s">
        <v>2411</v>
      </c>
    </row>
    <row r="74" spans="3:11" ht="16.5">
      <c r="C74" s="86" t="s">
        <v>726</v>
      </c>
      <c r="D74" s="86"/>
      <c r="E74" s="86" t="s">
        <v>1830</v>
      </c>
      <c r="F74" s="104">
        <v>11347000000</v>
      </c>
      <c r="G74" s="86" t="s">
        <v>2408</v>
      </c>
      <c r="H74" s="86" t="s">
        <v>2105</v>
      </c>
      <c r="I74" s="86" t="s">
        <v>2466</v>
      </c>
      <c r="J74" s="86" t="s">
        <v>2419</v>
      </c>
      <c r="K74" s="86" t="s">
        <v>2411</v>
      </c>
    </row>
    <row r="75" spans="3:11" ht="16.5">
      <c r="C75" s="86" t="s">
        <v>726</v>
      </c>
      <c r="D75" s="86"/>
      <c r="E75" s="86" t="s">
        <v>2080</v>
      </c>
      <c r="F75" s="104">
        <v>12320000000</v>
      </c>
      <c r="G75" s="86" t="s">
        <v>2408</v>
      </c>
      <c r="H75" s="86" t="s">
        <v>2105</v>
      </c>
      <c r="I75" s="86" t="s">
        <v>2466</v>
      </c>
      <c r="J75" s="86" t="s">
        <v>2419</v>
      </c>
      <c r="K75" s="86" t="s">
        <v>2411</v>
      </c>
    </row>
    <row r="76" spans="3:11" ht="16.5">
      <c r="C76" s="86" t="s">
        <v>693</v>
      </c>
      <c r="D76" s="86"/>
      <c r="E76" s="86" t="s">
        <v>1068</v>
      </c>
      <c r="F76" s="104">
        <v>24676000000</v>
      </c>
      <c r="G76" s="86" t="s">
        <v>2408</v>
      </c>
      <c r="H76" s="86" t="s">
        <v>1351</v>
      </c>
      <c r="I76" s="86" t="s">
        <v>2467</v>
      </c>
      <c r="J76" s="86" t="s">
        <v>2447</v>
      </c>
      <c r="K76" s="86" t="s">
        <v>2411</v>
      </c>
    </row>
    <row r="77" spans="3:11" ht="16.5">
      <c r="C77" s="86" t="s">
        <v>693</v>
      </c>
      <c r="D77" s="86"/>
      <c r="E77" s="86" t="s">
        <v>2413</v>
      </c>
      <c r="F77" s="104">
        <v>27207000000</v>
      </c>
      <c r="G77" s="86" t="s">
        <v>2408</v>
      </c>
      <c r="H77" s="86" t="s">
        <v>1601</v>
      </c>
      <c r="I77" s="86" t="s">
        <v>2468</v>
      </c>
      <c r="J77" s="86" t="s">
        <v>2410</v>
      </c>
      <c r="K77" s="86" t="s">
        <v>2411</v>
      </c>
    </row>
    <row r="78" spans="3:11" ht="16.5">
      <c r="C78" s="86" t="s">
        <v>693</v>
      </c>
      <c r="D78" s="86"/>
      <c r="E78" s="86" t="s">
        <v>2417</v>
      </c>
      <c r="F78" s="104">
        <v>32348000000</v>
      </c>
      <c r="G78" s="86" t="s">
        <v>2408</v>
      </c>
      <c r="H78" s="86" t="s">
        <v>1860</v>
      </c>
      <c r="I78" s="86" t="s">
        <v>2469</v>
      </c>
      <c r="J78" s="86" t="s">
        <v>2415</v>
      </c>
      <c r="K78" s="86" t="s">
        <v>2411</v>
      </c>
    </row>
    <row r="79" spans="3:11" ht="16.5">
      <c r="C79" s="86" t="s">
        <v>693</v>
      </c>
      <c r="D79" s="86"/>
      <c r="E79" s="86" t="s">
        <v>1830</v>
      </c>
      <c r="F79" s="104">
        <v>35509000000</v>
      </c>
      <c r="G79" s="86" t="s">
        <v>2408</v>
      </c>
      <c r="H79" s="86" t="s">
        <v>2105</v>
      </c>
      <c r="I79" s="86" t="s">
        <v>2470</v>
      </c>
      <c r="J79" s="86" t="s">
        <v>2419</v>
      </c>
      <c r="K79" s="86" t="s">
        <v>2411</v>
      </c>
    </row>
    <row r="80" spans="3:11" ht="16.5">
      <c r="C80" s="86" t="s">
        <v>693</v>
      </c>
      <c r="D80" s="86"/>
      <c r="E80" s="86" t="s">
        <v>2080</v>
      </c>
      <c r="F80" s="104">
        <v>34585000000</v>
      </c>
      <c r="G80" s="86" t="s">
        <v>2408</v>
      </c>
      <c r="H80" s="86" t="s">
        <v>2105</v>
      </c>
      <c r="I80" s="86" t="s">
        <v>2470</v>
      </c>
      <c r="J80" s="86" t="s">
        <v>2419</v>
      </c>
      <c r="K80" s="86" t="s">
        <v>2411</v>
      </c>
    </row>
    <row r="81" spans="3:11" ht="16.5">
      <c r="C81" s="86" t="s">
        <v>728</v>
      </c>
      <c r="D81" s="86"/>
      <c r="E81" s="86" t="s">
        <v>1068</v>
      </c>
      <c r="F81" s="104">
        <v>571000000</v>
      </c>
      <c r="G81" s="86" t="s">
        <v>2408</v>
      </c>
      <c r="H81" s="86" t="s">
        <v>1351</v>
      </c>
      <c r="I81" s="86" t="s">
        <v>2471</v>
      </c>
      <c r="J81" s="86" t="s">
        <v>2447</v>
      </c>
      <c r="K81" s="86" t="s">
        <v>2411</v>
      </c>
    </row>
    <row r="82" spans="3:11" ht="16.5">
      <c r="C82" s="86" t="s">
        <v>728</v>
      </c>
      <c r="D82" s="86"/>
      <c r="E82" s="86" t="s">
        <v>2413</v>
      </c>
      <c r="F82" s="104">
        <v>851000000</v>
      </c>
      <c r="G82" s="86" t="s">
        <v>2408</v>
      </c>
      <c r="H82" s="86" t="s">
        <v>1601</v>
      </c>
      <c r="I82" s="86" t="s">
        <v>2472</v>
      </c>
      <c r="J82" s="86" t="s">
        <v>2410</v>
      </c>
      <c r="K82" s="86" t="s">
        <v>2411</v>
      </c>
    </row>
    <row r="83" spans="3:11" ht="16.5">
      <c r="C83" s="86" t="s">
        <v>728</v>
      </c>
      <c r="D83" s="86"/>
      <c r="E83" s="86" t="s">
        <v>2417</v>
      </c>
      <c r="F83" s="104">
        <v>802000000</v>
      </c>
      <c r="G83" s="86" t="s">
        <v>2408</v>
      </c>
      <c r="H83" s="86" t="s">
        <v>1860</v>
      </c>
      <c r="I83" s="86" t="s">
        <v>2473</v>
      </c>
      <c r="J83" s="86" t="s">
        <v>2415</v>
      </c>
      <c r="K83" s="86" t="s">
        <v>2411</v>
      </c>
    </row>
    <row r="84" spans="3:11" ht="16.5">
      <c r="C84" s="86" t="s">
        <v>728</v>
      </c>
      <c r="D84" s="86"/>
      <c r="E84" s="86" t="s">
        <v>1830</v>
      </c>
      <c r="F84" s="104">
        <v>820000000</v>
      </c>
      <c r="G84" s="86" t="s">
        <v>2408</v>
      </c>
      <c r="H84" s="86" t="s">
        <v>2105</v>
      </c>
      <c r="I84" s="86" t="s">
        <v>2474</v>
      </c>
      <c r="J84" s="86" t="s">
        <v>2419</v>
      </c>
      <c r="K84" s="86" t="s">
        <v>2411</v>
      </c>
    </row>
    <row r="85" spans="3:11" ht="16.5">
      <c r="C85" s="86" t="s">
        <v>728</v>
      </c>
      <c r="D85" s="86"/>
      <c r="E85" s="86" t="s">
        <v>2080</v>
      </c>
      <c r="F85" s="104">
        <v>756000000</v>
      </c>
      <c r="G85" s="86" t="s">
        <v>2408</v>
      </c>
      <c r="H85" s="86" t="s">
        <v>2105</v>
      </c>
      <c r="I85" s="86" t="s">
        <v>2474</v>
      </c>
      <c r="J85" s="86" t="s">
        <v>2419</v>
      </c>
      <c r="K85" s="86" t="s">
        <v>2411</v>
      </c>
    </row>
    <row r="86" spans="3:11" ht="16.5">
      <c r="C86" s="86" t="s">
        <v>729</v>
      </c>
      <c r="D86" s="86"/>
      <c r="E86" s="86" t="s">
        <v>1068</v>
      </c>
      <c r="F86" s="104">
        <v>2569000000</v>
      </c>
      <c r="G86" s="86" t="s">
        <v>2408</v>
      </c>
      <c r="H86" s="86" t="s">
        <v>1351</v>
      </c>
      <c r="I86" s="86" t="s">
        <v>2475</v>
      </c>
      <c r="J86" s="86" t="s">
        <v>2447</v>
      </c>
      <c r="K86" s="86" t="s">
        <v>2411</v>
      </c>
    </row>
    <row r="87" spans="3:11" ht="16.5">
      <c r="C87" s="86" t="s">
        <v>729</v>
      </c>
      <c r="D87" s="86"/>
      <c r="E87" s="86" t="s">
        <v>2413</v>
      </c>
      <c r="F87" s="104">
        <v>2985000000</v>
      </c>
      <c r="G87" s="86" t="s">
        <v>2408</v>
      </c>
      <c r="H87" s="86" t="s">
        <v>1601</v>
      </c>
      <c r="I87" s="86" t="s">
        <v>2476</v>
      </c>
      <c r="J87" s="86" t="s">
        <v>2410</v>
      </c>
      <c r="K87" s="86" t="s">
        <v>2411</v>
      </c>
    </row>
    <row r="88" spans="3:11" ht="16.5">
      <c r="C88" s="86" t="s">
        <v>729</v>
      </c>
      <c r="D88" s="86"/>
      <c r="E88" s="86" t="s">
        <v>2417</v>
      </c>
      <c r="F88" s="104">
        <v>3320000000</v>
      </c>
      <c r="G88" s="86" t="s">
        <v>2408</v>
      </c>
      <c r="H88" s="86" t="s">
        <v>1860</v>
      </c>
      <c r="I88" s="86" t="s">
        <v>2477</v>
      </c>
      <c r="J88" s="86" t="s">
        <v>2415</v>
      </c>
      <c r="K88" s="86" t="s">
        <v>2411</v>
      </c>
    </row>
    <row r="89" spans="3:11" ht="16.5">
      <c r="C89" s="86" t="s">
        <v>729</v>
      </c>
      <c r="D89" s="86"/>
      <c r="E89" s="86" t="s">
        <v>1830</v>
      </c>
      <c r="F89" s="104">
        <v>3643000000</v>
      </c>
      <c r="G89" s="86" t="s">
        <v>2408</v>
      </c>
      <c r="H89" s="86" t="s">
        <v>2105</v>
      </c>
      <c r="I89" s="86" t="s">
        <v>2478</v>
      </c>
      <c r="J89" s="86" t="s">
        <v>2419</v>
      </c>
      <c r="K89" s="86" t="s">
        <v>2411</v>
      </c>
    </row>
    <row r="90" spans="3:11" ht="16.5">
      <c r="C90" s="86" t="s">
        <v>729</v>
      </c>
      <c r="D90" s="86"/>
      <c r="E90" s="86" t="s">
        <v>2080</v>
      </c>
      <c r="F90" s="104">
        <v>3159000000</v>
      </c>
      <c r="G90" s="86" t="s">
        <v>2408</v>
      </c>
      <c r="H90" s="86" t="s">
        <v>2105</v>
      </c>
      <c r="I90" s="86" t="s">
        <v>2478</v>
      </c>
      <c r="J90" s="86" t="s">
        <v>2419</v>
      </c>
      <c r="K90" s="86" t="s">
        <v>2411</v>
      </c>
    </row>
    <row r="91" spans="3:11" ht="16.5">
      <c r="C91" s="86" t="s">
        <v>730</v>
      </c>
      <c r="D91" s="86"/>
      <c r="E91" s="86" t="s">
        <v>1068</v>
      </c>
      <c r="F91" s="104">
        <v>11343000000</v>
      </c>
      <c r="G91" s="86" t="s">
        <v>2408</v>
      </c>
      <c r="H91" s="86" t="s">
        <v>1351</v>
      </c>
      <c r="I91" s="86" t="s">
        <v>2479</v>
      </c>
      <c r="J91" s="86" t="s">
        <v>2447</v>
      </c>
      <c r="K91" s="86" t="s">
        <v>2411</v>
      </c>
    </row>
    <row r="92" spans="3:11" ht="16.5">
      <c r="C92" s="86" t="s">
        <v>730</v>
      </c>
      <c r="D92" s="86"/>
      <c r="E92" s="86" t="s">
        <v>2413</v>
      </c>
      <c r="F92" s="104">
        <v>12630000000</v>
      </c>
      <c r="G92" s="86" t="s">
        <v>2408</v>
      </c>
      <c r="H92" s="86" t="s">
        <v>1601</v>
      </c>
      <c r="I92" s="86" t="s">
        <v>2480</v>
      </c>
      <c r="J92" s="86" t="s">
        <v>2410</v>
      </c>
      <c r="K92" s="86" t="s">
        <v>2411</v>
      </c>
    </row>
    <row r="93" spans="3:11" ht="16.5">
      <c r="C93" s="86" t="s">
        <v>730</v>
      </c>
      <c r="D93" s="86"/>
      <c r="E93" s="86" t="s">
        <v>2417</v>
      </c>
      <c r="F93" s="104">
        <v>15451000000</v>
      </c>
      <c r="G93" s="86" t="s">
        <v>2408</v>
      </c>
      <c r="H93" s="86" t="s">
        <v>1860</v>
      </c>
      <c r="I93" s="86" t="s">
        <v>2481</v>
      </c>
      <c r="J93" s="86" t="s">
        <v>2415</v>
      </c>
      <c r="K93" s="86" t="s">
        <v>2411</v>
      </c>
    </row>
    <row r="94" spans="3:11" ht="16.5">
      <c r="C94" s="86" t="s">
        <v>730</v>
      </c>
      <c r="D94" s="86"/>
      <c r="E94" s="86" t="s">
        <v>1830</v>
      </c>
      <c r="F94" s="104">
        <v>18606000000</v>
      </c>
      <c r="G94" s="86" t="s">
        <v>2408</v>
      </c>
      <c r="H94" s="86" t="s">
        <v>2105</v>
      </c>
      <c r="I94" s="86" t="s">
        <v>2482</v>
      </c>
      <c r="J94" s="86" t="s">
        <v>2419</v>
      </c>
      <c r="K94" s="86" t="s">
        <v>2411</v>
      </c>
    </row>
    <row r="95" spans="3:11" ht="16.5">
      <c r="C95" s="86" t="s">
        <v>730</v>
      </c>
      <c r="D95" s="86"/>
      <c r="E95" s="86" t="s">
        <v>2080</v>
      </c>
      <c r="F95" s="104">
        <v>18312000000</v>
      </c>
      <c r="G95" s="86" t="s">
        <v>2408</v>
      </c>
      <c r="H95" s="86" t="s">
        <v>2105</v>
      </c>
      <c r="I95" s="86" t="s">
        <v>2482</v>
      </c>
      <c r="J95" s="86" t="s">
        <v>2419</v>
      </c>
      <c r="K95" s="86" t="s">
        <v>2411</v>
      </c>
    </row>
    <row r="96" spans="3:11" ht="16.5">
      <c r="C96" s="86" t="s">
        <v>694</v>
      </c>
      <c r="D96" s="86"/>
      <c r="E96" s="86" t="s">
        <v>1068</v>
      </c>
      <c r="F96" s="104">
        <v>13333000000</v>
      </c>
      <c r="G96" s="86" t="s">
        <v>2408</v>
      </c>
      <c r="H96" s="86" t="s">
        <v>1351</v>
      </c>
      <c r="I96" s="86" t="s">
        <v>2483</v>
      </c>
      <c r="J96" s="86" t="s">
        <v>2484</v>
      </c>
      <c r="K96" s="86" t="s">
        <v>2411</v>
      </c>
    </row>
    <row r="97" spans="3:11" ht="16.5">
      <c r="C97" s="86" t="s">
        <v>694</v>
      </c>
      <c r="D97" s="86"/>
      <c r="E97" s="86" t="s">
        <v>2413</v>
      </c>
      <c r="F97" s="104">
        <v>14577000000</v>
      </c>
      <c r="G97" s="86" t="s">
        <v>2408</v>
      </c>
      <c r="H97" s="86" t="s">
        <v>1601</v>
      </c>
      <c r="I97" s="86" t="s">
        <v>2485</v>
      </c>
      <c r="J97" s="86" t="s">
        <v>2486</v>
      </c>
      <c r="K97" s="86" t="s">
        <v>2411</v>
      </c>
    </row>
    <row r="98" spans="3:11" ht="16.5">
      <c r="C98" s="86" t="s">
        <v>694</v>
      </c>
      <c r="D98" s="86"/>
      <c r="E98" s="86" t="s">
        <v>2417</v>
      </c>
      <c r="F98" s="104">
        <v>16897000000</v>
      </c>
      <c r="G98" s="86" t="s">
        <v>2408</v>
      </c>
      <c r="H98" s="86" t="s">
        <v>1860</v>
      </c>
      <c r="I98" s="86" t="s">
        <v>2485</v>
      </c>
      <c r="J98" s="86" t="s">
        <v>2487</v>
      </c>
      <c r="K98" s="86" t="s">
        <v>2411</v>
      </c>
    </row>
    <row r="99" spans="3:11" ht="16.5">
      <c r="C99" s="86" t="s">
        <v>694</v>
      </c>
      <c r="D99" s="86"/>
      <c r="E99" s="86" t="s">
        <v>1830</v>
      </c>
      <c r="F99" s="104">
        <v>16903000000</v>
      </c>
      <c r="G99" s="86" t="s">
        <v>2408</v>
      </c>
      <c r="H99" s="86" t="s">
        <v>2105</v>
      </c>
      <c r="I99" s="86" t="s">
        <v>2485</v>
      </c>
      <c r="J99" s="86" t="s">
        <v>2488</v>
      </c>
      <c r="K99" s="86" t="s">
        <v>2411</v>
      </c>
    </row>
    <row r="100" spans="3:11" ht="16.5">
      <c r="C100" s="86" t="s">
        <v>694</v>
      </c>
      <c r="D100" s="86"/>
      <c r="E100" s="86" t="s">
        <v>2080</v>
      </c>
      <c r="F100" s="104">
        <v>16273000000</v>
      </c>
      <c r="G100" s="86" t="s">
        <v>2408</v>
      </c>
      <c r="H100" s="86" t="s">
        <v>2105</v>
      </c>
      <c r="I100" s="86" t="s">
        <v>2489</v>
      </c>
      <c r="J100" s="86" t="s">
        <v>2488</v>
      </c>
      <c r="K100" s="86" t="s">
        <v>2411</v>
      </c>
    </row>
    <row r="101" spans="3:11" ht="16.5">
      <c r="C101" s="86" t="s">
        <v>695</v>
      </c>
      <c r="D101" s="86" t="s">
        <v>2407</v>
      </c>
      <c r="E101" s="86" t="s">
        <v>1068</v>
      </c>
      <c r="F101" s="104">
        <v>8756000000</v>
      </c>
      <c r="G101" s="86" t="s">
        <v>2408</v>
      </c>
      <c r="H101" s="86" t="s">
        <v>1601</v>
      </c>
      <c r="I101" s="86" t="s">
        <v>2490</v>
      </c>
      <c r="J101" s="86" t="s">
        <v>2410</v>
      </c>
      <c r="K101" s="86" t="s">
        <v>2411</v>
      </c>
    </row>
    <row r="102" spans="3:11" ht="16.5">
      <c r="C102" s="86" t="s">
        <v>695</v>
      </c>
      <c r="D102" s="86" t="s">
        <v>2412</v>
      </c>
      <c r="E102" s="86" t="s">
        <v>2413</v>
      </c>
      <c r="F102" s="104">
        <v>8720000000</v>
      </c>
      <c r="G102" s="86" t="s">
        <v>2408</v>
      </c>
      <c r="H102" s="86" t="s">
        <v>1860</v>
      </c>
      <c r="I102" s="86" t="s">
        <v>2491</v>
      </c>
      <c r="J102" s="86" t="s">
        <v>2415</v>
      </c>
      <c r="K102" s="86" t="s">
        <v>2411</v>
      </c>
    </row>
    <row r="103" spans="3:11" ht="16.5">
      <c r="C103" s="86" t="s">
        <v>695</v>
      </c>
      <c r="D103" s="86" t="s">
        <v>2416</v>
      </c>
      <c r="E103" s="86" t="s">
        <v>2417</v>
      </c>
      <c r="F103" s="104">
        <v>6420000000</v>
      </c>
      <c r="G103" s="86" t="s">
        <v>2408</v>
      </c>
      <c r="H103" s="86" t="s">
        <v>2105</v>
      </c>
      <c r="I103" s="86" t="s">
        <v>2492</v>
      </c>
      <c r="J103" s="86" t="s">
        <v>2419</v>
      </c>
      <c r="K103" s="86" t="s">
        <v>2411</v>
      </c>
    </row>
    <row r="104" spans="3:11" ht="16.5">
      <c r="C104" s="86" t="s">
        <v>695</v>
      </c>
      <c r="D104" s="86" t="s">
        <v>2420</v>
      </c>
      <c r="E104" s="86" t="s">
        <v>1830</v>
      </c>
      <c r="F104" s="104">
        <v>6318000000</v>
      </c>
      <c r="G104" s="86" t="s">
        <v>2408</v>
      </c>
      <c r="H104" s="86" t="s">
        <v>2105</v>
      </c>
      <c r="I104" s="86" t="s">
        <v>2492</v>
      </c>
      <c r="J104" s="86" t="s">
        <v>2419</v>
      </c>
      <c r="K104" s="86" t="s">
        <v>2411</v>
      </c>
    </row>
    <row r="105" spans="3:11" ht="16.5">
      <c r="C105" s="86" t="s">
        <v>695</v>
      </c>
      <c r="D105" s="86" t="s">
        <v>2421</v>
      </c>
      <c r="E105" s="86" t="s">
        <v>2080</v>
      </c>
      <c r="F105" s="104">
        <v>7153000000</v>
      </c>
      <c r="G105" s="86" t="s">
        <v>2408</v>
      </c>
      <c r="H105" s="86" t="s">
        <v>2105</v>
      </c>
      <c r="I105" s="86" t="s">
        <v>2492</v>
      </c>
      <c r="J105" s="86" t="s">
        <v>2419</v>
      </c>
      <c r="K105" s="86" t="s">
        <v>2411</v>
      </c>
    </row>
    <row r="106" spans="3:11" ht="16.5">
      <c r="C106" s="86" t="s">
        <v>696</v>
      </c>
      <c r="D106" s="86" t="s">
        <v>2407</v>
      </c>
      <c r="E106" s="86" t="s">
        <v>1068</v>
      </c>
      <c r="F106" s="104">
        <v>-4095000000</v>
      </c>
      <c r="G106" s="86" t="s">
        <v>2408</v>
      </c>
      <c r="H106" s="86" t="s">
        <v>1601</v>
      </c>
      <c r="I106" s="86" t="s">
        <v>2493</v>
      </c>
      <c r="J106" s="86" t="s">
        <v>2410</v>
      </c>
      <c r="K106" s="86" t="s">
        <v>2411</v>
      </c>
    </row>
    <row r="107" spans="3:11" ht="16.5">
      <c r="C107" s="86" t="s">
        <v>696</v>
      </c>
      <c r="D107" s="86" t="s">
        <v>2412</v>
      </c>
      <c r="E107" s="86" t="s">
        <v>2413</v>
      </c>
      <c r="F107" s="104">
        <v>-3583000000</v>
      </c>
      <c r="G107" s="86" t="s">
        <v>2408</v>
      </c>
      <c r="H107" s="86" t="s">
        <v>1860</v>
      </c>
      <c r="I107" s="86" t="s">
        <v>2494</v>
      </c>
      <c r="J107" s="86" t="s">
        <v>2415</v>
      </c>
      <c r="K107" s="86" t="s">
        <v>2411</v>
      </c>
    </row>
    <row r="108" spans="3:11" ht="16.5">
      <c r="C108" s="86" t="s">
        <v>696</v>
      </c>
      <c r="D108" s="86" t="s">
        <v>2416</v>
      </c>
      <c r="E108" s="86" t="s">
        <v>2417</v>
      </c>
      <c r="F108" s="104">
        <v>-4362000000</v>
      </c>
      <c r="G108" s="86" t="s">
        <v>2408</v>
      </c>
      <c r="H108" s="86" t="s">
        <v>2105</v>
      </c>
      <c r="I108" s="86" t="s">
        <v>2495</v>
      </c>
      <c r="J108" s="86" t="s">
        <v>2419</v>
      </c>
      <c r="K108" s="86" t="s">
        <v>2411</v>
      </c>
    </row>
    <row r="109" spans="3:11" ht="16.5">
      <c r="C109" s="86" t="s">
        <v>696</v>
      </c>
      <c r="D109" s="86" t="s">
        <v>2420</v>
      </c>
      <c r="E109" s="86" t="s">
        <v>1830</v>
      </c>
      <c r="F109" s="104">
        <v>-3202000000</v>
      </c>
      <c r="G109" s="86" t="s">
        <v>2408</v>
      </c>
      <c r="H109" s="86" t="s">
        <v>2105</v>
      </c>
      <c r="I109" s="86" t="s">
        <v>2495</v>
      </c>
      <c r="J109" s="86" t="s">
        <v>2419</v>
      </c>
      <c r="K109" s="86" t="s">
        <v>2411</v>
      </c>
    </row>
    <row r="110" spans="3:11" ht="16.5">
      <c r="C110" s="86" t="s">
        <v>696</v>
      </c>
      <c r="D110" s="86" t="s">
        <v>2421</v>
      </c>
      <c r="E110" s="86" t="s">
        <v>2080</v>
      </c>
      <c r="F110" s="104">
        <v>-1439000000</v>
      </c>
      <c r="G110" s="86" t="s">
        <v>2408</v>
      </c>
      <c r="H110" s="86" t="s">
        <v>2105</v>
      </c>
      <c r="I110" s="86" t="s">
        <v>2495</v>
      </c>
      <c r="J110" s="86" t="s">
        <v>2419</v>
      </c>
      <c r="K110" s="86" t="s">
        <v>2411</v>
      </c>
    </row>
    <row r="111" spans="3:11" ht="16.5">
      <c r="C111" s="86" t="s">
        <v>697</v>
      </c>
      <c r="D111" s="86" t="s">
        <v>2407</v>
      </c>
      <c r="E111" s="86" t="s">
        <v>1068</v>
      </c>
      <c r="F111" s="104">
        <v>-3137000000</v>
      </c>
      <c r="G111" s="86" t="s">
        <v>2408</v>
      </c>
      <c r="H111" s="86" t="s">
        <v>1601</v>
      </c>
      <c r="I111" s="86" t="s">
        <v>2496</v>
      </c>
      <c r="J111" s="86" t="s">
        <v>2410</v>
      </c>
      <c r="K111" s="86" t="s">
        <v>2411</v>
      </c>
    </row>
    <row r="112" spans="3:11" ht="16.5">
      <c r="C112" s="86" t="s">
        <v>697</v>
      </c>
      <c r="D112" s="86" t="s">
        <v>2412</v>
      </c>
      <c r="E112" s="86" t="s">
        <v>2413</v>
      </c>
      <c r="F112" s="104">
        <v>-6718000000</v>
      </c>
      <c r="G112" s="86" t="s">
        <v>2408</v>
      </c>
      <c r="H112" s="86" t="s">
        <v>1860</v>
      </c>
      <c r="I112" s="86" t="s">
        <v>2497</v>
      </c>
      <c r="J112" s="86" t="s">
        <v>2415</v>
      </c>
      <c r="K112" s="86" t="s">
        <v>2411</v>
      </c>
    </row>
    <row r="113" spans="3:11" ht="16.5">
      <c r="C113" s="86" t="s">
        <v>697</v>
      </c>
      <c r="D113" s="86" t="s">
        <v>2416</v>
      </c>
      <c r="E113" s="86" t="s">
        <v>2417</v>
      </c>
      <c r="F113" s="104">
        <v>-2144000000</v>
      </c>
      <c r="G113" s="86" t="s">
        <v>2408</v>
      </c>
      <c r="H113" s="86" t="s">
        <v>2105</v>
      </c>
      <c r="I113" s="86" t="s">
        <v>2498</v>
      </c>
      <c r="J113" s="86" t="s">
        <v>2419</v>
      </c>
      <c r="K113" s="86" t="s">
        <v>2411</v>
      </c>
    </row>
    <row r="114" spans="3:11" ht="16.5">
      <c r="C114" s="86" t="s">
        <v>697</v>
      </c>
      <c r="D114" s="86" t="s">
        <v>2420</v>
      </c>
      <c r="E114" s="86" t="s">
        <v>1830</v>
      </c>
      <c r="F114" s="104">
        <v>-2880000000</v>
      </c>
      <c r="G114" s="86" t="s">
        <v>2408</v>
      </c>
      <c r="H114" s="86" t="s">
        <v>2105</v>
      </c>
      <c r="I114" s="86" t="s">
        <v>2498</v>
      </c>
      <c r="J114" s="86" t="s">
        <v>2419</v>
      </c>
      <c r="K114" s="86" t="s">
        <v>2411</v>
      </c>
    </row>
    <row r="115" spans="3:11" ht="16.5">
      <c r="C115" s="86" t="s">
        <v>697</v>
      </c>
      <c r="D115" s="86" t="s">
        <v>2421</v>
      </c>
      <c r="E115" s="86" t="s">
        <v>2080</v>
      </c>
      <c r="F115" s="104">
        <v>-5689000000</v>
      </c>
      <c r="G115" s="86" t="s">
        <v>2408</v>
      </c>
      <c r="H115" s="86" t="s">
        <v>2105</v>
      </c>
      <c r="I115" s="86" t="s">
        <v>2498</v>
      </c>
      <c r="J115" s="86" t="s">
        <v>2419</v>
      </c>
      <c r="K115" s="86" t="s">
        <v>2411</v>
      </c>
    </row>
    <row r="116" spans="3:11" ht="16.5">
      <c r="C116" s="86" t="s">
        <v>737</v>
      </c>
      <c r="D116" s="86" t="s">
        <v>2407</v>
      </c>
      <c r="E116" s="86" t="s">
        <v>1068</v>
      </c>
      <c r="F116" s="104">
        <v>0</v>
      </c>
      <c r="G116" s="86" t="s">
        <v>2408</v>
      </c>
      <c r="H116" s="86" t="s">
        <v>1601</v>
      </c>
      <c r="I116" s="86" t="s">
        <v>2499</v>
      </c>
      <c r="J116" s="86" t="s">
        <v>2486</v>
      </c>
      <c r="K116" s="86" t="s">
        <v>2411</v>
      </c>
    </row>
    <row r="117" spans="3:11" ht="16.5">
      <c r="C117" s="86" t="s">
        <v>737</v>
      </c>
      <c r="D117" s="86" t="s">
        <v>2412</v>
      </c>
      <c r="E117" s="86" t="s">
        <v>2413</v>
      </c>
      <c r="F117" s="104">
        <v>0</v>
      </c>
      <c r="G117" s="86" t="s">
        <v>2408</v>
      </c>
      <c r="H117" s="86" t="s">
        <v>1860</v>
      </c>
      <c r="I117" s="86" t="s">
        <v>2499</v>
      </c>
      <c r="J117" s="86" t="s">
        <v>2487</v>
      </c>
      <c r="K117" s="86" t="s">
        <v>2411</v>
      </c>
    </row>
    <row r="118" spans="3:11" ht="16.5">
      <c r="C118" s="86" t="s">
        <v>737</v>
      </c>
      <c r="D118" s="86" t="s">
        <v>2416</v>
      </c>
      <c r="E118" s="86" t="s">
        <v>2417</v>
      </c>
      <c r="F118" s="104">
        <v>0</v>
      </c>
      <c r="G118" s="86" t="s">
        <v>2408</v>
      </c>
      <c r="H118" s="86" t="s">
        <v>2105</v>
      </c>
      <c r="I118" s="86" t="s">
        <v>2499</v>
      </c>
      <c r="J118" s="86" t="s">
        <v>2488</v>
      </c>
      <c r="K118" s="86" t="s">
        <v>2411</v>
      </c>
    </row>
    <row r="119" spans="3:11" ht="16.5">
      <c r="C119" s="86" t="s">
        <v>737</v>
      </c>
      <c r="D119" s="86" t="s">
        <v>2420</v>
      </c>
      <c r="E119" s="86" t="s">
        <v>1830</v>
      </c>
      <c r="F119" s="104">
        <v>0</v>
      </c>
      <c r="G119" s="86" t="s">
        <v>2408</v>
      </c>
      <c r="H119" s="86" t="s">
        <v>2105</v>
      </c>
      <c r="I119" s="86" t="s">
        <v>2500</v>
      </c>
      <c r="J119" s="86" t="s">
        <v>2488</v>
      </c>
      <c r="K119" s="86" t="s">
        <v>2411</v>
      </c>
    </row>
    <row r="120" spans="3:11" ht="16.5">
      <c r="C120" s="86" t="s">
        <v>737</v>
      </c>
      <c r="D120" s="86" t="s">
        <v>2421</v>
      </c>
      <c r="E120" s="86" t="s">
        <v>2080</v>
      </c>
      <c r="F120" s="104">
        <v>0</v>
      </c>
      <c r="G120" s="86" t="s">
        <v>2408</v>
      </c>
      <c r="H120" s="86" t="s">
        <v>2105</v>
      </c>
      <c r="I120" s="86" t="s">
        <v>2501</v>
      </c>
      <c r="J120" s="86" t="s">
        <v>2488</v>
      </c>
      <c r="K120" s="86" t="s">
        <v>2411</v>
      </c>
    </row>
    <row r="121" spans="3:11" ht="16.5">
      <c r="C121" s="86" t="s">
        <v>738</v>
      </c>
      <c r="D121" s="86" t="s">
        <v>2407</v>
      </c>
      <c r="E121" s="86" t="s">
        <v>1068</v>
      </c>
      <c r="F121" s="104">
        <v>1524000000</v>
      </c>
      <c r="G121" s="86" t="s">
        <v>2408</v>
      </c>
      <c r="H121" s="86" t="s">
        <v>1601</v>
      </c>
      <c r="I121" s="86" t="s">
        <v>2502</v>
      </c>
      <c r="J121" s="86" t="s">
        <v>2486</v>
      </c>
      <c r="K121" s="86" t="s">
        <v>2411</v>
      </c>
    </row>
    <row r="122" spans="3:11" ht="16.5">
      <c r="C122" s="86" t="s">
        <v>738</v>
      </c>
      <c r="D122" s="86" t="s">
        <v>2412</v>
      </c>
      <c r="E122" s="86" t="s">
        <v>2413</v>
      </c>
      <c r="F122" s="104">
        <v>-1581000000</v>
      </c>
      <c r="G122" s="86" t="s">
        <v>2408</v>
      </c>
      <c r="H122" s="86" t="s">
        <v>1860</v>
      </c>
      <c r="I122" s="86" t="s">
        <v>2502</v>
      </c>
      <c r="J122" s="86" t="s">
        <v>2487</v>
      </c>
      <c r="K122" s="86" t="s">
        <v>2411</v>
      </c>
    </row>
    <row r="123" spans="3:11" ht="16.5">
      <c r="C123" s="86" t="s">
        <v>738</v>
      </c>
      <c r="D123" s="86" t="s">
        <v>2416</v>
      </c>
      <c r="E123" s="86" t="s">
        <v>2417</v>
      </c>
      <c r="F123" s="104">
        <v>-86000000</v>
      </c>
      <c r="G123" s="86" t="s">
        <v>2408</v>
      </c>
      <c r="H123" s="86" t="s">
        <v>2105</v>
      </c>
      <c r="I123" s="86" t="s">
        <v>2502</v>
      </c>
      <c r="J123" s="86" t="s">
        <v>2488</v>
      </c>
      <c r="K123" s="86" t="s">
        <v>2411</v>
      </c>
    </row>
    <row r="124" spans="3:11" ht="16.5">
      <c r="C124" s="86" t="s">
        <v>738</v>
      </c>
      <c r="D124" s="86" t="s">
        <v>2420</v>
      </c>
      <c r="E124" s="86" t="s">
        <v>1830</v>
      </c>
      <c r="F124" s="104">
        <v>236000000</v>
      </c>
      <c r="G124" s="86" t="s">
        <v>2408</v>
      </c>
      <c r="H124" s="86" t="s">
        <v>2105</v>
      </c>
      <c r="I124" s="86" t="s">
        <v>2503</v>
      </c>
      <c r="J124" s="86" t="s">
        <v>2488</v>
      </c>
      <c r="K124" s="86" t="s">
        <v>2411</v>
      </c>
    </row>
    <row r="125" spans="3:11" ht="16.5">
      <c r="C125" s="86" t="s">
        <v>738</v>
      </c>
      <c r="D125" s="86" t="s">
        <v>2421</v>
      </c>
      <c r="E125" s="86" t="s">
        <v>2080</v>
      </c>
      <c r="F125" s="104">
        <v>25000000</v>
      </c>
      <c r="G125" s="86" t="s">
        <v>2408</v>
      </c>
      <c r="H125" s="86" t="s">
        <v>2105</v>
      </c>
      <c r="I125" s="86" t="s">
        <v>2504</v>
      </c>
      <c r="J125" s="86" t="s">
        <v>2488</v>
      </c>
      <c r="K125" s="86" t="s">
        <v>2411</v>
      </c>
    </row>
    <row r="126" spans="3:11" ht="16.5">
      <c r="C126" s="86" t="s">
        <v>698</v>
      </c>
      <c r="D126" s="86"/>
      <c r="E126" s="86" t="s">
        <v>1068</v>
      </c>
      <c r="F126" s="104">
        <v>4631000000</v>
      </c>
      <c r="G126" s="86" t="s">
        <v>2408</v>
      </c>
      <c r="H126" s="86" t="s">
        <v>1351</v>
      </c>
      <c r="I126" s="86" t="s">
        <v>2446</v>
      </c>
      <c r="J126" s="86" t="s">
        <v>2447</v>
      </c>
      <c r="K126" s="86" t="s">
        <v>2411</v>
      </c>
    </row>
    <row r="127" spans="3:11" ht="16.5">
      <c r="C127" s="86" t="s">
        <v>698</v>
      </c>
      <c r="D127" s="86"/>
      <c r="E127" s="86" t="s">
        <v>2413</v>
      </c>
      <c r="F127" s="104">
        <v>3050000000</v>
      </c>
      <c r="G127" s="86" t="s">
        <v>2408</v>
      </c>
      <c r="H127" s="86" t="s">
        <v>1601</v>
      </c>
      <c r="I127" s="86" t="s">
        <v>2448</v>
      </c>
      <c r="J127" s="86" t="s">
        <v>2410</v>
      </c>
      <c r="K127" s="86" t="s">
        <v>2411</v>
      </c>
    </row>
    <row r="128" spans="3:11" ht="16.5">
      <c r="C128" s="86" t="s">
        <v>698</v>
      </c>
      <c r="D128" s="86"/>
      <c r="E128" s="86" t="s">
        <v>2417</v>
      </c>
      <c r="F128" s="104">
        <v>2964000000</v>
      </c>
      <c r="G128" s="86" t="s">
        <v>2408</v>
      </c>
      <c r="H128" s="86" t="s">
        <v>1860</v>
      </c>
      <c r="I128" s="86" t="s">
        <v>2449</v>
      </c>
      <c r="J128" s="86" t="s">
        <v>2415</v>
      </c>
      <c r="K128" s="86" t="s">
        <v>2411</v>
      </c>
    </row>
    <row r="129" spans="3:11" ht="16.5">
      <c r="C129" s="86" t="s">
        <v>698</v>
      </c>
      <c r="D129" s="86"/>
      <c r="E129" s="86" t="s">
        <v>1830</v>
      </c>
      <c r="F129" s="104">
        <v>3200000000</v>
      </c>
      <c r="G129" s="86" t="s">
        <v>2408</v>
      </c>
      <c r="H129" s="86" t="s">
        <v>2105</v>
      </c>
      <c r="I129" s="86" t="s">
        <v>2450</v>
      </c>
      <c r="J129" s="86" t="s">
        <v>2419</v>
      </c>
      <c r="K129" s="86" t="s">
        <v>2411</v>
      </c>
    </row>
    <row r="130" spans="3:11" ht="16.5">
      <c r="C130" s="86" t="s">
        <v>698</v>
      </c>
      <c r="D130" s="86"/>
      <c r="E130" s="86" t="s">
        <v>2080</v>
      </c>
      <c r="F130" s="104">
        <v>3225000000</v>
      </c>
      <c r="G130" s="86" t="s">
        <v>2408</v>
      </c>
      <c r="H130" s="86" t="s">
        <v>2105</v>
      </c>
      <c r="I130" s="86" t="s">
        <v>2450</v>
      </c>
      <c r="J130" s="86" t="s">
        <v>2419</v>
      </c>
      <c r="K130" s="86" t="s">
        <v>2411</v>
      </c>
    </row>
    <row r="131" spans="3:11" ht="16.5">
      <c r="C131" s="86" t="s">
        <v>732</v>
      </c>
      <c r="D131" s="86" t="s">
        <v>2407</v>
      </c>
      <c r="E131" s="86" t="s">
        <v>1068</v>
      </c>
      <c r="F131" s="104">
        <v>954000000</v>
      </c>
      <c r="G131" s="86" t="s">
        <v>2408</v>
      </c>
      <c r="H131" s="86" t="s">
        <v>1601</v>
      </c>
      <c r="I131" s="86" t="s">
        <v>2505</v>
      </c>
      <c r="J131" s="86" t="s">
        <v>2486</v>
      </c>
      <c r="K131" s="86" t="s">
        <v>2411</v>
      </c>
    </row>
    <row r="132" spans="3:11" ht="16.5">
      <c r="C132" s="86" t="s">
        <v>732</v>
      </c>
      <c r="D132" s="86" t="s">
        <v>2412</v>
      </c>
      <c r="E132" s="86" t="s">
        <v>2413</v>
      </c>
      <c r="F132" s="104">
        <v>979000000</v>
      </c>
      <c r="G132" s="86" t="s">
        <v>2408</v>
      </c>
      <c r="H132" s="86" t="s">
        <v>1860</v>
      </c>
      <c r="I132" s="86" t="s">
        <v>2506</v>
      </c>
      <c r="J132" s="86" t="s">
        <v>2487</v>
      </c>
      <c r="K132" s="86" t="s">
        <v>2411</v>
      </c>
    </row>
    <row r="133" spans="3:11" ht="16.5">
      <c r="C133" s="86" t="s">
        <v>732</v>
      </c>
      <c r="D133" s="86" t="s">
        <v>2416</v>
      </c>
      <c r="E133" s="86" t="s">
        <v>2417</v>
      </c>
      <c r="F133" s="104">
        <v>1238000000</v>
      </c>
      <c r="G133" s="86" t="s">
        <v>2408</v>
      </c>
      <c r="H133" s="86" t="s">
        <v>2105</v>
      </c>
      <c r="I133" s="86" t="s">
        <v>2507</v>
      </c>
      <c r="J133" s="86" t="s">
        <v>2488</v>
      </c>
      <c r="K133" s="86" t="s">
        <v>2411</v>
      </c>
    </row>
    <row r="134" spans="3:11" ht="16.5">
      <c r="C134" s="86" t="s">
        <v>732</v>
      </c>
      <c r="D134" s="86" t="s">
        <v>2420</v>
      </c>
      <c r="E134" s="86" t="s">
        <v>1830</v>
      </c>
      <c r="F134" s="104">
        <v>1580000000</v>
      </c>
      <c r="G134" s="86" t="s">
        <v>2408</v>
      </c>
      <c r="H134" s="86" t="s">
        <v>2105</v>
      </c>
      <c r="I134" s="86" t="s">
        <v>2508</v>
      </c>
      <c r="J134" s="86" t="s">
        <v>2488</v>
      </c>
      <c r="K134" s="86" t="s">
        <v>2411</v>
      </c>
    </row>
    <row r="135" spans="3:11" ht="16.5">
      <c r="C135" s="86" t="s">
        <v>732</v>
      </c>
      <c r="D135" s="86" t="s">
        <v>2421</v>
      </c>
      <c r="E135" s="86" t="s">
        <v>2080</v>
      </c>
      <c r="F135" s="104">
        <v>1999000000</v>
      </c>
      <c r="G135" s="86" t="s">
        <v>2408</v>
      </c>
      <c r="H135" s="86" t="s">
        <v>2105</v>
      </c>
      <c r="I135" s="86" t="s">
        <v>2509</v>
      </c>
      <c r="J135" s="86" t="s">
        <v>2488</v>
      </c>
      <c r="K135" s="86" t="s">
        <v>2411</v>
      </c>
    </row>
    <row r="136" spans="3:11" ht="16.5">
      <c r="C136" s="86" t="s">
        <v>735</v>
      </c>
      <c r="D136" s="86" t="s">
        <v>2407</v>
      </c>
      <c r="E136" s="86" t="s">
        <v>1068</v>
      </c>
      <c r="F136" s="104">
        <v>2462000000</v>
      </c>
      <c r="G136" s="86" t="s">
        <v>2408</v>
      </c>
      <c r="H136" s="86" t="s">
        <v>1601</v>
      </c>
      <c r="I136" s="86" t="s">
        <v>2510</v>
      </c>
      <c r="J136" s="86" t="s">
        <v>2410</v>
      </c>
      <c r="K136" s="86" t="s">
        <v>2511</v>
      </c>
    </row>
    <row r="137" spans="3:11" ht="16.5">
      <c r="C137" s="86" t="s">
        <v>735</v>
      </c>
      <c r="D137" s="86" t="s">
        <v>2412</v>
      </c>
      <c r="E137" s="86" t="s">
        <v>2413</v>
      </c>
      <c r="F137" s="104">
        <v>2797000000</v>
      </c>
      <c r="G137" s="86" t="s">
        <v>2408</v>
      </c>
      <c r="H137" s="86" t="s">
        <v>1860</v>
      </c>
      <c r="I137" s="86" t="s">
        <v>2512</v>
      </c>
      <c r="J137" s="86" t="s">
        <v>2415</v>
      </c>
      <c r="K137" s="86" t="s">
        <v>2511</v>
      </c>
    </row>
    <row r="138" spans="3:11" ht="16.5">
      <c r="C138" s="86" t="s">
        <v>735</v>
      </c>
      <c r="D138" s="86" t="s">
        <v>2416</v>
      </c>
      <c r="E138" s="86" t="s">
        <v>2417</v>
      </c>
      <c r="F138" s="104">
        <v>5071000000</v>
      </c>
      <c r="G138" s="86" t="s">
        <v>2408</v>
      </c>
      <c r="H138" s="86" t="s">
        <v>2105</v>
      </c>
      <c r="I138" s="86" t="s">
        <v>2513</v>
      </c>
      <c r="J138" s="86" t="s">
        <v>2419</v>
      </c>
      <c r="K138" s="86" t="s">
        <v>2511</v>
      </c>
    </row>
    <row r="139" spans="3:11" ht="16.5">
      <c r="C139" s="86" t="s">
        <v>735</v>
      </c>
      <c r="D139" s="86" t="s">
        <v>2420</v>
      </c>
      <c r="E139" s="86" t="s">
        <v>1830</v>
      </c>
      <c r="F139" s="104">
        <v>4820000000</v>
      </c>
      <c r="G139" s="86" t="s">
        <v>2408</v>
      </c>
      <c r="H139" s="86" t="s">
        <v>2105</v>
      </c>
      <c r="I139" s="86" t="s">
        <v>2513</v>
      </c>
      <c r="J139" s="86" t="s">
        <v>2419</v>
      </c>
      <c r="K139" s="86" t="s">
        <v>2511</v>
      </c>
    </row>
    <row r="140" spans="3:11" ht="16.5">
      <c r="C140" s="86" t="s">
        <v>735</v>
      </c>
      <c r="D140" s="86" t="s">
        <v>2421</v>
      </c>
      <c r="E140" s="86" t="s">
        <v>2080</v>
      </c>
      <c r="F140" s="104">
        <v>4550000000</v>
      </c>
      <c r="G140" s="86" t="s">
        <v>2408</v>
      </c>
      <c r="H140" s="86" t="s">
        <v>2105</v>
      </c>
      <c r="I140" s="86" t="s">
        <v>2513</v>
      </c>
      <c r="J140" s="86" t="s">
        <v>2419</v>
      </c>
      <c r="K140" s="86" t="s">
        <v>2511</v>
      </c>
    </row>
    <row r="141" spans="3:11" ht="16.5">
      <c r="C141" s="86" t="s">
        <v>720</v>
      </c>
      <c r="D141" s="86" t="s">
        <v>2407</v>
      </c>
      <c r="E141" s="86" t="s">
        <v>1068</v>
      </c>
      <c r="F141" s="104">
        <v>0</v>
      </c>
      <c r="G141" s="86" t="s">
        <v>2408</v>
      </c>
      <c r="H141" s="86" t="s">
        <v>1351</v>
      </c>
      <c r="I141" s="86" t="s">
        <v>2514</v>
      </c>
      <c r="J141" s="86" t="s">
        <v>2484</v>
      </c>
      <c r="K141" s="86" t="s">
        <v>2411</v>
      </c>
    </row>
    <row r="142" spans="3:11" ht="16.5">
      <c r="C142" s="86" t="s">
        <v>720</v>
      </c>
      <c r="D142" s="86" t="s">
        <v>2412</v>
      </c>
      <c r="E142" s="86" t="s">
        <v>2413</v>
      </c>
      <c r="F142" s="104">
        <v>0</v>
      </c>
      <c r="G142" s="86" t="s">
        <v>2408</v>
      </c>
      <c r="H142" s="86" t="s">
        <v>1601</v>
      </c>
      <c r="I142" s="86" t="s">
        <v>2515</v>
      </c>
      <c r="J142" s="86" t="s">
        <v>2486</v>
      </c>
      <c r="K142" s="86" t="s">
        <v>2411</v>
      </c>
    </row>
    <row r="143" spans="3:11" ht="16.5">
      <c r="C143" s="86" t="s">
        <v>720</v>
      </c>
      <c r="D143" s="86" t="s">
        <v>2416</v>
      </c>
      <c r="E143" s="86" t="s">
        <v>2417</v>
      </c>
      <c r="F143" s="104">
        <v>0</v>
      </c>
      <c r="G143" s="86" t="s">
        <v>2408</v>
      </c>
      <c r="H143" s="86" t="s">
        <v>1860</v>
      </c>
      <c r="I143" s="86" t="s">
        <v>2515</v>
      </c>
      <c r="J143" s="86" t="s">
        <v>2487</v>
      </c>
      <c r="K143" s="86" t="s">
        <v>2411</v>
      </c>
    </row>
    <row r="144" spans="3:11" ht="16.5">
      <c r="C144" s="86" t="s">
        <v>720</v>
      </c>
      <c r="D144" s="86" t="s">
        <v>2420</v>
      </c>
      <c r="E144" s="86" t="s">
        <v>1830</v>
      </c>
      <c r="F144" s="104">
        <v>0</v>
      </c>
      <c r="G144" s="86" t="s">
        <v>2408</v>
      </c>
      <c r="H144" s="86" t="s">
        <v>2105</v>
      </c>
      <c r="I144" s="86" t="s">
        <v>2515</v>
      </c>
      <c r="J144" s="86" t="s">
        <v>2488</v>
      </c>
      <c r="K144" s="86" t="s">
        <v>2411</v>
      </c>
    </row>
    <row r="145" spans="3:11" ht="16.5">
      <c r="C145" s="86" t="s">
        <v>720</v>
      </c>
      <c r="D145" s="86" t="s">
        <v>2421</v>
      </c>
      <c r="E145" s="86" t="s">
        <v>2080</v>
      </c>
      <c r="F145" s="104">
        <v>0</v>
      </c>
      <c r="G145" s="86" t="s">
        <v>2408</v>
      </c>
      <c r="H145" s="86" t="s">
        <v>2105</v>
      </c>
      <c r="I145" s="86" t="s">
        <v>2516</v>
      </c>
      <c r="J145" s="86" t="s">
        <v>2488</v>
      </c>
      <c r="K145" s="86" t="s">
        <v>2411</v>
      </c>
    </row>
    <row r="146" spans="3:11" ht="16.5">
      <c r="C146" s="86" t="s">
        <v>727</v>
      </c>
      <c r="D146" s="86"/>
      <c r="E146" s="86" t="s">
        <v>1068</v>
      </c>
      <c r="F146" s="104">
        <v>85000000</v>
      </c>
      <c r="G146" s="86" t="s">
        <v>2408</v>
      </c>
      <c r="H146" s="86" t="s">
        <v>1351</v>
      </c>
      <c r="I146" s="86" t="s">
        <v>2517</v>
      </c>
      <c r="J146" s="86" t="s">
        <v>2484</v>
      </c>
      <c r="K146" s="86" t="s">
        <v>2411</v>
      </c>
    </row>
    <row r="147" spans="3:11" ht="16.5">
      <c r="C147" s="86" t="s">
        <v>727</v>
      </c>
      <c r="D147" s="86"/>
      <c r="E147" s="86" t="s">
        <v>2413</v>
      </c>
      <c r="F147" s="104">
        <v>152000000</v>
      </c>
      <c r="G147" s="86" t="s">
        <v>2408</v>
      </c>
      <c r="H147" s="86" t="s">
        <v>1601</v>
      </c>
      <c r="I147" s="86" t="s">
        <v>2518</v>
      </c>
      <c r="J147" s="86" t="s">
        <v>2486</v>
      </c>
      <c r="K147" s="86" t="s">
        <v>2411</v>
      </c>
    </row>
    <row r="148" spans="3:11" ht="16.5">
      <c r="C148" s="86" t="s">
        <v>727</v>
      </c>
      <c r="D148" s="86"/>
      <c r="E148" s="86" t="s">
        <v>2417</v>
      </c>
      <c r="F148" s="104">
        <v>223000000</v>
      </c>
      <c r="G148" s="86" t="s">
        <v>2408</v>
      </c>
      <c r="H148" s="86" t="s">
        <v>1860</v>
      </c>
      <c r="I148" s="86" t="s">
        <v>2518</v>
      </c>
      <c r="J148" s="86" t="s">
        <v>2487</v>
      </c>
      <c r="K148" s="86" t="s">
        <v>2411</v>
      </c>
    </row>
    <row r="149" spans="3:11" ht="16.5">
      <c r="C149" s="86" t="s">
        <v>727</v>
      </c>
      <c r="D149" s="86"/>
      <c r="E149" s="86" t="s">
        <v>1830</v>
      </c>
      <c r="F149" s="104">
        <v>257000000</v>
      </c>
      <c r="G149" s="86" t="s">
        <v>2408</v>
      </c>
      <c r="H149" s="86" t="s">
        <v>2105</v>
      </c>
      <c r="I149" s="86" t="s">
        <v>2518</v>
      </c>
      <c r="J149" s="86" t="s">
        <v>2488</v>
      </c>
      <c r="K149" s="86" t="s">
        <v>2411</v>
      </c>
    </row>
    <row r="150" spans="3:11" ht="16.5">
      <c r="C150" s="86" t="s">
        <v>727</v>
      </c>
      <c r="D150" s="86"/>
      <c r="E150" s="86" t="s">
        <v>2080</v>
      </c>
      <c r="F150" s="104">
        <v>238000000</v>
      </c>
      <c r="G150" s="86" t="s">
        <v>2408</v>
      </c>
      <c r="H150" s="86" t="s">
        <v>2105</v>
      </c>
      <c r="I150" s="86" t="s">
        <v>2519</v>
      </c>
      <c r="J150" s="86" t="s">
        <v>2488</v>
      </c>
      <c r="K150" s="86" t="s">
        <v>2411</v>
      </c>
    </row>
    <row r="151" spans="3:11" ht="16.5">
      <c r="C151" s="86" t="s">
        <v>719</v>
      </c>
      <c r="D151" s="86" t="s">
        <v>2407</v>
      </c>
      <c r="E151" s="86" t="s">
        <v>1068</v>
      </c>
      <c r="F151" s="104">
        <v>7769000000</v>
      </c>
      <c r="G151" s="86" t="s">
        <v>2408</v>
      </c>
      <c r="H151" s="86" t="s">
        <v>1601</v>
      </c>
      <c r="I151" s="86" t="s">
        <v>2443</v>
      </c>
      <c r="J151" s="86" t="s">
        <v>2410</v>
      </c>
      <c r="K151" s="86" t="s">
        <v>2411</v>
      </c>
    </row>
    <row r="152" spans="3:11" ht="16.5">
      <c r="C152" s="86" t="s">
        <v>719</v>
      </c>
      <c r="D152" s="86" t="s">
        <v>2412</v>
      </c>
      <c r="E152" s="86" t="s">
        <v>2413</v>
      </c>
      <c r="F152" s="104">
        <v>8749000000</v>
      </c>
      <c r="G152" s="86" t="s">
        <v>2408</v>
      </c>
      <c r="H152" s="86" t="s">
        <v>1860</v>
      </c>
      <c r="I152" s="86" t="s">
        <v>2444</v>
      </c>
      <c r="J152" s="86" t="s">
        <v>2415</v>
      </c>
      <c r="K152" s="86" t="s">
        <v>2411</v>
      </c>
    </row>
    <row r="153" spans="3:11" ht="16.5">
      <c r="C153" s="86" t="s">
        <v>719</v>
      </c>
      <c r="D153" s="86" t="s">
        <v>2416</v>
      </c>
      <c r="E153" s="86" t="s">
        <v>2417</v>
      </c>
      <c r="F153" s="104">
        <v>6510000000</v>
      </c>
      <c r="G153" s="86" t="s">
        <v>2408</v>
      </c>
      <c r="H153" s="86" t="s">
        <v>2105</v>
      </c>
      <c r="I153" s="86" t="s">
        <v>2445</v>
      </c>
      <c r="J153" s="86" t="s">
        <v>2419</v>
      </c>
      <c r="K153" s="86" t="s">
        <v>2411</v>
      </c>
    </row>
    <row r="154" spans="3:11" ht="16.5">
      <c r="C154" s="86" t="s">
        <v>719</v>
      </c>
      <c r="D154" s="86" t="s">
        <v>2420</v>
      </c>
      <c r="E154" s="86" t="s">
        <v>1830</v>
      </c>
      <c r="F154" s="104">
        <v>4799000000</v>
      </c>
      <c r="G154" s="86" t="s">
        <v>2408</v>
      </c>
      <c r="H154" s="86" t="s">
        <v>2105</v>
      </c>
      <c r="I154" s="86" t="s">
        <v>2445</v>
      </c>
      <c r="J154" s="86" t="s">
        <v>2419</v>
      </c>
      <c r="K154" s="86" t="s">
        <v>2411</v>
      </c>
    </row>
    <row r="155" spans="3:11" ht="16.5">
      <c r="C155" s="86" t="s">
        <v>719</v>
      </c>
      <c r="D155" s="86" t="s">
        <v>2421</v>
      </c>
      <c r="E155" s="86" t="s">
        <v>2080</v>
      </c>
      <c r="F155" s="104">
        <v>5001000000</v>
      </c>
      <c r="G155" s="86" t="s">
        <v>2408</v>
      </c>
      <c r="H155" s="86" t="s">
        <v>2105</v>
      </c>
      <c r="I155" s="86" t="s">
        <v>2445</v>
      </c>
      <c r="J155" s="86" t="s">
        <v>2419</v>
      </c>
      <c r="K155" s="86" t="s">
        <v>2411</v>
      </c>
    </row>
    <row r="156" spans="3:11" ht="16.5">
      <c r="C156" s="86" t="s">
        <v>733</v>
      </c>
      <c r="D156" s="86" t="s">
        <v>2407</v>
      </c>
      <c r="E156" s="86" t="s">
        <v>1068</v>
      </c>
      <c r="F156" s="104">
        <v>755000000</v>
      </c>
      <c r="G156" s="86" t="s">
        <v>2408</v>
      </c>
      <c r="H156" s="86" t="s">
        <v>1601</v>
      </c>
      <c r="I156" s="86" t="s">
        <v>2520</v>
      </c>
      <c r="J156" s="86" t="s">
        <v>2410</v>
      </c>
      <c r="K156" s="86" t="s">
        <v>2411</v>
      </c>
    </row>
    <row r="157" spans="3:11" ht="16.5">
      <c r="C157" s="86" t="s">
        <v>733</v>
      </c>
      <c r="D157" s="86" t="s">
        <v>2412</v>
      </c>
      <c r="E157" s="86" t="s">
        <v>2413</v>
      </c>
      <c r="F157" s="104">
        <v>925000000</v>
      </c>
      <c r="G157" s="86" t="s">
        <v>2408</v>
      </c>
      <c r="H157" s="86" t="s">
        <v>1860</v>
      </c>
      <c r="I157" s="86" t="s">
        <v>2521</v>
      </c>
      <c r="J157" s="86" t="s">
        <v>2415</v>
      </c>
      <c r="K157" s="86" t="s">
        <v>2411</v>
      </c>
    </row>
    <row r="158" spans="3:11" ht="16.5">
      <c r="C158" s="86" t="s">
        <v>733</v>
      </c>
      <c r="D158" s="86" t="s">
        <v>2416</v>
      </c>
      <c r="E158" s="86" t="s">
        <v>2417</v>
      </c>
      <c r="F158" s="104">
        <v>1175000000</v>
      </c>
      <c r="G158" s="86" t="s">
        <v>2408</v>
      </c>
      <c r="H158" s="86" t="s">
        <v>2105</v>
      </c>
      <c r="I158" s="86" t="s">
        <v>2522</v>
      </c>
      <c r="J158" s="86" t="s">
        <v>2419</v>
      </c>
      <c r="K158" s="86" t="s">
        <v>2411</v>
      </c>
    </row>
    <row r="159" spans="3:11" ht="16.5">
      <c r="C159" s="86" t="s">
        <v>733</v>
      </c>
      <c r="D159" s="86" t="s">
        <v>2420</v>
      </c>
      <c r="E159" s="86" t="s">
        <v>1830</v>
      </c>
      <c r="F159" s="104">
        <v>1508000000</v>
      </c>
      <c r="G159" s="86" t="s">
        <v>2408</v>
      </c>
      <c r="H159" s="86" t="s">
        <v>2105</v>
      </c>
      <c r="I159" s="86" t="s">
        <v>2522</v>
      </c>
      <c r="J159" s="86" t="s">
        <v>2419</v>
      </c>
      <c r="K159" s="86" t="s">
        <v>2411</v>
      </c>
    </row>
    <row r="160" spans="3:11" ht="16.5">
      <c r="C160" s="86" t="s">
        <v>733</v>
      </c>
      <c r="D160" s="86" t="s">
        <v>2421</v>
      </c>
      <c r="E160" s="86" t="s">
        <v>2080</v>
      </c>
      <c r="F160" s="104">
        <v>1918000000</v>
      </c>
      <c r="G160" s="86" t="s">
        <v>2408</v>
      </c>
      <c r="H160" s="86" t="s">
        <v>2105</v>
      </c>
      <c r="I160" s="86" t="s">
        <v>2522</v>
      </c>
      <c r="J160" s="86" t="s">
        <v>2419</v>
      </c>
      <c r="K160" s="86" t="s">
        <v>2411</v>
      </c>
    </row>
    <row r="161" spans="3:11" ht="16.5">
      <c r="C161" s="86" t="s">
        <v>734</v>
      </c>
      <c r="D161" s="86" t="s">
        <v>2407</v>
      </c>
      <c r="E161" s="86" t="s">
        <v>1068</v>
      </c>
      <c r="F161" s="104">
        <v>142000000</v>
      </c>
      <c r="G161" s="86" t="s">
        <v>2408</v>
      </c>
      <c r="H161" s="86" t="s">
        <v>1601</v>
      </c>
      <c r="I161" s="86" t="s">
        <v>2523</v>
      </c>
      <c r="J161" s="86" t="s">
        <v>2410</v>
      </c>
      <c r="K161" s="86" t="s">
        <v>2411</v>
      </c>
    </row>
    <row r="162" spans="3:11" ht="16.5">
      <c r="C162" s="86" t="s">
        <v>734</v>
      </c>
      <c r="D162" s="86" t="s">
        <v>2412</v>
      </c>
      <c r="E162" s="86" t="s">
        <v>2413</v>
      </c>
      <c r="F162" s="104">
        <v>0</v>
      </c>
      <c r="G162" s="86" t="s">
        <v>2408</v>
      </c>
      <c r="H162" s="86" t="s">
        <v>1601</v>
      </c>
      <c r="I162" s="86" t="s">
        <v>2523</v>
      </c>
      <c r="J162" s="86" t="s">
        <v>2410</v>
      </c>
      <c r="K162" s="86" t="s">
        <v>2411</v>
      </c>
    </row>
    <row r="163" spans="3:11" ht="16.5">
      <c r="C163" s="86" t="s">
        <v>734</v>
      </c>
      <c r="D163" s="86" t="s">
        <v>2416</v>
      </c>
      <c r="E163" s="86" t="s">
        <v>2417</v>
      </c>
      <c r="F163" s="104">
        <v>0</v>
      </c>
      <c r="G163" s="86" t="s">
        <v>2408</v>
      </c>
      <c r="H163" s="86" t="s">
        <v>1601</v>
      </c>
      <c r="I163" s="86" t="s">
        <v>2523</v>
      </c>
      <c r="J163" s="86" t="s">
        <v>2410</v>
      </c>
      <c r="K163" s="86" t="s">
        <v>2411</v>
      </c>
    </row>
    <row r="164" spans="3:11" ht="16.5">
      <c r="C164" s="86" t="s">
        <v>736</v>
      </c>
      <c r="D164" s="86" t="s">
        <v>2407</v>
      </c>
      <c r="E164" s="86" t="s">
        <v>1068</v>
      </c>
      <c r="F164" s="104">
        <v>3886000000</v>
      </c>
      <c r="G164" s="86" t="s">
        <v>2408</v>
      </c>
      <c r="H164" s="86" t="s">
        <v>1601</v>
      </c>
      <c r="I164" s="86" t="s">
        <v>2524</v>
      </c>
      <c r="J164" s="86" t="s">
        <v>2410</v>
      </c>
      <c r="K164" s="86" t="s">
        <v>2511</v>
      </c>
    </row>
    <row r="165" spans="3:11" ht="16.5">
      <c r="C165" s="86" t="s">
        <v>736</v>
      </c>
      <c r="D165" s="86" t="s">
        <v>2412</v>
      </c>
      <c r="E165" s="86" t="s">
        <v>2413</v>
      </c>
      <c r="F165" s="104">
        <v>4297000000</v>
      </c>
      <c r="G165" s="86" t="s">
        <v>2408</v>
      </c>
      <c r="H165" s="86" t="s">
        <v>1860</v>
      </c>
      <c r="I165" s="86" t="s">
        <v>2525</v>
      </c>
      <c r="J165" s="86" t="s">
        <v>2415</v>
      </c>
      <c r="K165" s="86" t="s">
        <v>2511</v>
      </c>
    </row>
    <row r="166" spans="3:11" ht="16.5">
      <c r="C166" s="86" t="s">
        <v>736</v>
      </c>
      <c r="D166" s="86" t="s">
        <v>2416</v>
      </c>
      <c r="E166" s="86" t="s">
        <v>2417</v>
      </c>
      <c r="F166" s="104">
        <v>4557000000</v>
      </c>
      <c r="G166" s="86" t="s">
        <v>2408</v>
      </c>
      <c r="H166" s="86" t="s">
        <v>2105</v>
      </c>
      <c r="I166" s="86" t="s">
        <v>2526</v>
      </c>
      <c r="J166" s="86" t="s">
        <v>2419</v>
      </c>
      <c r="K166" s="86" t="s">
        <v>2511</v>
      </c>
    </row>
    <row r="167" spans="3:11" ht="16.5">
      <c r="C167" s="86" t="s">
        <v>736</v>
      </c>
      <c r="D167" s="86" t="s">
        <v>2420</v>
      </c>
      <c r="E167" s="86" t="s">
        <v>1830</v>
      </c>
      <c r="F167" s="104">
        <v>4795000000</v>
      </c>
      <c r="G167" s="86" t="s">
        <v>2408</v>
      </c>
      <c r="H167" s="86" t="s">
        <v>2105</v>
      </c>
      <c r="I167" s="86" t="s">
        <v>2526</v>
      </c>
      <c r="J167" s="86" t="s">
        <v>2419</v>
      </c>
      <c r="K167" s="86" t="s">
        <v>2511</v>
      </c>
    </row>
    <row r="168" spans="3:11" ht="16.5">
      <c r="C168" s="86" t="s">
        <v>736</v>
      </c>
      <c r="D168" s="86" t="s">
        <v>2421</v>
      </c>
      <c r="E168" s="86" t="s">
        <v>2080</v>
      </c>
      <c r="F168" s="104">
        <v>4999000000</v>
      </c>
      <c r="G168" s="86" t="s">
        <v>2408</v>
      </c>
      <c r="H168" s="86" t="s">
        <v>2105</v>
      </c>
      <c r="I168" s="86" t="s">
        <v>2526</v>
      </c>
      <c r="J168" s="86" t="s">
        <v>2419</v>
      </c>
      <c r="K168" s="86" t="s">
        <v>2511</v>
      </c>
    </row>
    <row r="169" spans="3:11" ht="16.5">
      <c r="C169" s="86" t="s">
        <v>740</v>
      </c>
      <c r="D169" s="86"/>
      <c r="E169" s="86" t="s">
        <v>2080</v>
      </c>
      <c r="F169" s="104">
        <v>14006000000</v>
      </c>
      <c r="G169" s="86" t="s">
        <v>2408</v>
      </c>
      <c r="H169" s="86" t="s">
        <v>2105</v>
      </c>
      <c r="I169" s="86" t="s">
        <v>2527</v>
      </c>
      <c r="J169" s="86" t="s">
        <v>2488</v>
      </c>
      <c r="K169" s="86" t="s">
        <v>2411</v>
      </c>
    </row>
    <row r="170" spans="3:11" ht="16.5">
      <c r="C170" s="86" t="s">
        <v>741</v>
      </c>
      <c r="D170" s="86"/>
      <c r="E170" s="86" t="s">
        <v>2080</v>
      </c>
      <c r="F170" s="104">
        <v>2697000000</v>
      </c>
      <c r="G170" s="86" t="s">
        <v>2408</v>
      </c>
      <c r="H170" s="86" t="s">
        <v>2105</v>
      </c>
      <c r="I170" s="86" t="s">
        <v>2528</v>
      </c>
      <c r="J170" s="86" t="s">
        <v>2488</v>
      </c>
      <c r="K170" s="86" t="s">
        <v>2411</v>
      </c>
    </row>
    <row r="171" spans="3:11" ht="16.5">
      <c r="C171" s="86" t="s">
        <v>742</v>
      </c>
      <c r="D171" s="86"/>
      <c r="E171" s="86" t="s">
        <v>2080</v>
      </c>
      <c r="F171" s="104">
        <v>979000000</v>
      </c>
      <c r="G171" s="86" t="s">
        <v>2408</v>
      </c>
      <c r="H171" s="86" t="s">
        <v>2105</v>
      </c>
      <c r="I171" s="86" t="s">
        <v>2529</v>
      </c>
      <c r="J171" s="86" t="s">
        <v>2488</v>
      </c>
      <c r="K171" s="86" t="s">
        <v>2411</v>
      </c>
    </row>
    <row r="172" spans="3:11" ht="16.5">
      <c r="C172" s="86" t="s">
        <v>740</v>
      </c>
      <c r="D172" s="86"/>
      <c r="E172" s="86" t="s">
        <v>1830</v>
      </c>
      <c r="F172" s="104">
        <v>12161000000</v>
      </c>
      <c r="G172" s="86" t="s">
        <v>2408</v>
      </c>
      <c r="H172" s="86" t="s">
        <v>2105</v>
      </c>
      <c r="I172" s="86" t="s">
        <v>2530</v>
      </c>
      <c r="J172" s="86" t="s">
        <v>2488</v>
      </c>
      <c r="K172" s="86" t="s">
        <v>2411</v>
      </c>
    </row>
    <row r="173" spans="3:11" ht="16.5">
      <c r="C173" s="86" t="s">
        <v>741</v>
      </c>
      <c r="D173" s="86"/>
      <c r="E173" s="86" t="s">
        <v>1830</v>
      </c>
      <c r="F173" s="104">
        <v>2533000000</v>
      </c>
      <c r="G173" s="86" t="s">
        <v>2408</v>
      </c>
      <c r="H173" s="86" t="s">
        <v>2105</v>
      </c>
      <c r="I173" s="86" t="s">
        <v>2531</v>
      </c>
      <c r="J173" s="86" t="s">
        <v>2488</v>
      </c>
      <c r="K173" s="86" t="s">
        <v>2411</v>
      </c>
    </row>
    <row r="174" spans="3:11" ht="16.5">
      <c r="C174" s="86" t="s">
        <v>742</v>
      </c>
      <c r="D174" s="86"/>
      <c r="E174" s="86" t="s">
        <v>1830</v>
      </c>
      <c r="F174" s="104">
        <v>947000000</v>
      </c>
      <c r="G174" s="86" t="s">
        <v>2408</v>
      </c>
      <c r="H174" s="86" t="s">
        <v>2105</v>
      </c>
      <c r="I174" s="86" t="s">
        <v>2532</v>
      </c>
      <c r="J174" s="86" t="s">
        <v>2488</v>
      </c>
      <c r="K174" s="86" t="s">
        <v>2411</v>
      </c>
    </row>
    <row r="175" spans="3:11" ht="16.5">
      <c r="C175" s="86" t="s">
        <v>740</v>
      </c>
      <c r="D175" s="86"/>
      <c r="E175" s="86" t="s">
        <v>2417</v>
      </c>
      <c r="F175" s="104">
        <v>13040000000</v>
      </c>
      <c r="G175" s="86" t="s">
        <v>2408</v>
      </c>
      <c r="H175" s="86" t="s">
        <v>2105</v>
      </c>
      <c r="I175" s="86" t="s">
        <v>2533</v>
      </c>
      <c r="J175" s="86" t="s">
        <v>2488</v>
      </c>
      <c r="K175" s="86" t="s">
        <v>2411</v>
      </c>
    </row>
    <row r="176" spans="3:11" ht="16.5">
      <c r="C176" s="86" t="s">
        <v>741</v>
      </c>
      <c r="D176" s="86"/>
      <c r="E176" s="86" t="s">
        <v>2417</v>
      </c>
      <c r="F176" s="104">
        <v>3368000000</v>
      </c>
      <c r="G176" s="86" t="s">
        <v>2408</v>
      </c>
      <c r="H176" s="86" t="s">
        <v>2105</v>
      </c>
      <c r="I176" s="86" t="s">
        <v>2534</v>
      </c>
      <c r="J176" s="86" t="s">
        <v>2488</v>
      </c>
      <c r="K176" s="86" t="s">
        <v>2411</v>
      </c>
    </row>
    <row r="177" spans="3:11" ht="16.5">
      <c r="C177" s="86" t="s">
        <v>742</v>
      </c>
      <c r="D177" s="86"/>
      <c r="E177" s="86" t="s">
        <v>2417</v>
      </c>
      <c r="F177" s="104">
        <v>1111000000</v>
      </c>
      <c r="G177" s="86" t="s">
        <v>2408</v>
      </c>
      <c r="H177" s="86" t="s">
        <v>2105</v>
      </c>
      <c r="I177" s="86" t="s">
        <v>2535</v>
      </c>
      <c r="J177" s="86" t="s">
        <v>2488</v>
      </c>
      <c r="K177" s="86" t="s">
        <v>2411</v>
      </c>
    </row>
    <row r="178" spans="3:11" ht="16.5">
      <c r="C178" s="86" t="s">
        <v>743</v>
      </c>
      <c r="D178" s="86"/>
      <c r="E178" s="86" t="s">
        <v>1830</v>
      </c>
      <c r="F178" s="104">
        <v>15641000000</v>
      </c>
      <c r="G178" s="86" t="s">
        <v>2408</v>
      </c>
      <c r="H178" s="86" t="s">
        <v>2105</v>
      </c>
      <c r="I178" s="86" t="s">
        <v>2536</v>
      </c>
      <c r="J178" s="86" t="s">
        <v>2488</v>
      </c>
      <c r="K178" s="86" t="s">
        <v>2411</v>
      </c>
    </row>
    <row r="179" spans="3:11" ht="16.5">
      <c r="C179" s="86" t="s">
        <v>743</v>
      </c>
      <c r="D179" s="86"/>
      <c r="E179" s="86" t="s">
        <v>2080</v>
      </c>
      <c r="F179" s="104">
        <v>17682000000</v>
      </c>
      <c r="G179" s="86" t="s">
        <v>2408</v>
      </c>
      <c r="H179" s="86" t="s">
        <v>2105</v>
      </c>
      <c r="I179" s="86" t="s">
        <v>2537</v>
      </c>
      <c r="J179" s="86" t="s">
        <v>2488</v>
      </c>
      <c r="K179" s="86" t="s">
        <v>2411</v>
      </c>
    </row>
    <row r="180" spans="3:11" ht="16.5">
      <c r="C180" s="86" t="s">
        <v>743</v>
      </c>
      <c r="D180" s="86"/>
      <c r="E180" s="86" t="s">
        <v>2417</v>
      </c>
      <c r="F180" s="104">
        <v>17519000000</v>
      </c>
      <c r="G180" s="86" t="s">
        <v>2408</v>
      </c>
      <c r="H180" s="86" t="s">
        <v>2105</v>
      </c>
      <c r="I180" s="86" t="s">
        <v>2538</v>
      </c>
      <c r="J180" s="86" t="s">
        <v>2488</v>
      </c>
      <c r="K180" s="86" t="s">
        <v>2411</v>
      </c>
    </row>
    <row r="181" spans="3:11" ht="16.5">
      <c r="C181" s="86" t="s">
        <v>747</v>
      </c>
      <c r="D181" s="86"/>
      <c r="E181" s="86" t="s">
        <v>2080</v>
      </c>
      <c r="F181" s="104">
        <v>6763000000</v>
      </c>
      <c r="G181" s="86" t="s">
        <v>2408</v>
      </c>
      <c r="H181" s="86" t="s">
        <v>2105</v>
      </c>
      <c r="I181" s="86" t="s">
        <v>2539</v>
      </c>
      <c r="J181" s="86" t="s">
        <v>2488</v>
      </c>
      <c r="K181" s="86" t="s">
        <v>2411</v>
      </c>
    </row>
    <row r="182" spans="3:11" ht="16.5">
      <c r="C182" s="86" t="s">
        <v>747</v>
      </c>
      <c r="D182" s="86"/>
      <c r="E182" s="86" t="s">
        <v>1830</v>
      </c>
      <c r="F182" s="104">
        <v>5957000000</v>
      </c>
      <c r="G182" s="86" t="s">
        <v>2408</v>
      </c>
      <c r="H182" s="86" t="s">
        <v>2105</v>
      </c>
      <c r="I182" s="86" t="s">
        <v>2540</v>
      </c>
      <c r="J182" s="86" t="s">
        <v>2488</v>
      </c>
      <c r="K182" s="86" t="s">
        <v>2411</v>
      </c>
    </row>
    <row r="183" spans="3:11" ht="16.5">
      <c r="C183" s="86" t="s">
        <v>747</v>
      </c>
      <c r="D183" s="86"/>
      <c r="E183" s="86" t="s">
        <v>2417</v>
      </c>
      <c r="F183" s="104">
        <v>5814000000</v>
      </c>
      <c r="G183" s="86" t="s">
        <v>2408</v>
      </c>
      <c r="H183" s="86" t="s">
        <v>2105</v>
      </c>
      <c r="I183" s="86" t="s">
        <v>2541</v>
      </c>
      <c r="J183" s="86" t="s">
        <v>2488</v>
      </c>
      <c r="K183" s="86" t="s">
        <v>2411</v>
      </c>
    </row>
    <row r="184" spans="3:11" ht="16.5">
      <c r="C184" s="86" t="s">
        <v>748</v>
      </c>
      <c r="D184" s="86"/>
      <c r="E184" s="86" t="s">
        <v>2080</v>
      </c>
      <c r="F184" s="104">
        <v>3781000000</v>
      </c>
      <c r="G184" s="86" t="s">
        <v>2408</v>
      </c>
      <c r="H184" s="86" t="s">
        <v>2105</v>
      </c>
      <c r="I184" s="86" t="s">
        <v>2542</v>
      </c>
      <c r="J184" s="86" t="s">
        <v>2488</v>
      </c>
      <c r="K184" s="86" t="s">
        <v>2411</v>
      </c>
    </row>
    <row r="185" spans="3:11" ht="16.5">
      <c r="C185" s="86" t="s">
        <v>748</v>
      </c>
      <c r="D185" s="86"/>
      <c r="E185" s="86" t="s">
        <v>1830</v>
      </c>
      <c r="F185" s="104">
        <v>3012000000</v>
      </c>
      <c r="G185" s="86" t="s">
        <v>2408</v>
      </c>
      <c r="H185" s="86" t="s">
        <v>2105</v>
      </c>
      <c r="I185" s="86" t="s">
        <v>2543</v>
      </c>
      <c r="J185" s="86" t="s">
        <v>2488</v>
      </c>
      <c r="K185" s="86" t="s">
        <v>2411</v>
      </c>
    </row>
    <row r="186" spans="3:11" ht="16.5">
      <c r="C186" s="86" t="s">
        <v>748</v>
      </c>
      <c r="D186" s="86"/>
      <c r="E186" s="86" t="s">
        <v>2417</v>
      </c>
      <c r="F186" s="104">
        <v>3293000000</v>
      </c>
      <c r="G186" s="86" t="s">
        <v>2408</v>
      </c>
      <c r="H186" s="86" t="s">
        <v>2105</v>
      </c>
      <c r="I186" s="86" t="s">
        <v>2544</v>
      </c>
      <c r="J186" s="86" t="s">
        <v>2488</v>
      </c>
      <c r="K186" s="86" t="s">
        <v>2411</v>
      </c>
    </row>
    <row r="187" spans="3:11" ht="16.5">
      <c r="C187" s="86" t="s">
        <v>749</v>
      </c>
      <c r="D187" s="86"/>
      <c r="E187" s="86" t="s">
        <v>2080</v>
      </c>
      <c r="F187" s="104">
        <v>1887000000</v>
      </c>
      <c r="G187" s="86" t="s">
        <v>2408</v>
      </c>
      <c r="H187" s="86" t="s">
        <v>2105</v>
      </c>
      <c r="I187" s="86" t="s">
        <v>2545</v>
      </c>
      <c r="J187" s="86" t="s">
        <v>2488</v>
      </c>
      <c r="K187" s="86" t="s">
        <v>2411</v>
      </c>
    </row>
    <row r="188" spans="3:11" ht="16.5">
      <c r="C188" s="86" t="s">
        <v>749</v>
      </c>
      <c r="D188" s="86"/>
      <c r="E188" s="86" t="s">
        <v>1830</v>
      </c>
      <c r="F188" s="104">
        <v>1681000000</v>
      </c>
      <c r="G188" s="86" t="s">
        <v>2408</v>
      </c>
      <c r="H188" s="86" t="s">
        <v>2105</v>
      </c>
      <c r="I188" s="86" t="s">
        <v>2546</v>
      </c>
      <c r="J188" s="86" t="s">
        <v>2488</v>
      </c>
      <c r="K188" s="86" t="s">
        <v>2411</v>
      </c>
    </row>
    <row r="189" spans="3:11" ht="16.5">
      <c r="C189" s="86" t="s">
        <v>749</v>
      </c>
      <c r="D189" s="86"/>
      <c r="E189" s="86" t="s">
        <v>2417</v>
      </c>
      <c r="F189" s="104">
        <v>1721000000</v>
      </c>
      <c r="G189" s="86" t="s">
        <v>2408</v>
      </c>
      <c r="H189" s="86" t="s">
        <v>2105</v>
      </c>
      <c r="I189" s="86" t="s">
        <v>2547</v>
      </c>
      <c r="J189" s="86" t="s">
        <v>2488</v>
      </c>
      <c r="K189" s="86" t="s">
        <v>2411</v>
      </c>
    </row>
    <row r="190" spans="3:11" ht="16.5">
      <c r="C190" s="86" t="s">
        <v>750</v>
      </c>
      <c r="D190" s="86"/>
      <c r="E190" s="86" t="s">
        <v>2080</v>
      </c>
      <c r="F190" s="104">
        <v>3747000000</v>
      </c>
      <c r="G190" s="86" t="s">
        <v>2408</v>
      </c>
      <c r="H190" s="86" t="s">
        <v>2105</v>
      </c>
      <c r="I190" s="86" t="s">
        <v>2548</v>
      </c>
      <c r="J190" s="86" t="s">
        <v>2488</v>
      </c>
      <c r="K190" s="86" t="s">
        <v>2411</v>
      </c>
    </row>
    <row r="191" spans="3:11" ht="16.5">
      <c r="C191" s="86" t="s">
        <v>750</v>
      </c>
      <c r="D191" s="86"/>
      <c r="E191" s="86" t="s">
        <v>1830</v>
      </c>
      <c r="F191" s="104">
        <v>3519000000</v>
      </c>
      <c r="G191" s="86" t="s">
        <v>2408</v>
      </c>
      <c r="H191" s="86" t="s">
        <v>2105</v>
      </c>
      <c r="I191" s="86" t="s">
        <v>2549</v>
      </c>
      <c r="J191" s="86" t="s">
        <v>2488</v>
      </c>
      <c r="K191" s="86" t="s">
        <v>2411</v>
      </c>
    </row>
    <row r="192" spans="3:11" ht="16.5">
      <c r="C192" s="86" t="s">
        <v>750</v>
      </c>
      <c r="D192" s="86"/>
      <c r="E192" s="86" t="s">
        <v>2417</v>
      </c>
      <c r="F192" s="104">
        <v>4642000000</v>
      </c>
      <c r="G192" s="86" t="s">
        <v>2408</v>
      </c>
      <c r="H192" s="86" t="s">
        <v>2105</v>
      </c>
      <c r="I192" s="86" t="s">
        <v>2550</v>
      </c>
      <c r="J192" s="86" t="s">
        <v>2488</v>
      </c>
      <c r="K192" s="86" t="s">
        <v>2411</v>
      </c>
    </row>
    <row r="193" spans="3:11" ht="16.5">
      <c r="C193" s="86" t="s">
        <v>751</v>
      </c>
      <c r="D193" s="86"/>
      <c r="E193" s="86" t="s">
        <v>2080</v>
      </c>
      <c r="F193" s="104">
        <v>1173000000</v>
      </c>
      <c r="G193" s="86" t="s">
        <v>2408</v>
      </c>
      <c r="H193" s="86" t="s">
        <v>2105</v>
      </c>
      <c r="I193" s="86" t="s">
        <v>2551</v>
      </c>
      <c r="J193" s="86" t="s">
        <v>2488</v>
      </c>
      <c r="K193" s="86" t="s">
        <v>2411</v>
      </c>
    </row>
    <row r="194" spans="3:11" ht="16.5">
      <c r="C194" s="86" t="s">
        <v>751</v>
      </c>
      <c r="D194" s="86"/>
      <c r="E194" s="86" t="s">
        <v>1830</v>
      </c>
      <c r="F194" s="104">
        <v>1212000000</v>
      </c>
      <c r="G194" s="86" t="s">
        <v>2408</v>
      </c>
      <c r="H194" s="86" t="s">
        <v>2105</v>
      </c>
      <c r="I194" s="86" t="s">
        <v>2552</v>
      </c>
      <c r="J194" s="86" t="s">
        <v>2488</v>
      </c>
      <c r="K194" s="86" t="s">
        <v>2411</v>
      </c>
    </row>
    <row r="195" spans="3:11" ht="16.5">
      <c r="C195" s="86" t="s">
        <v>751</v>
      </c>
      <c r="D195" s="86"/>
      <c r="E195" s="86" t="s">
        <v>2417</v>
      </c>
      <c r="F195" s="104">
        <v>1782000000</v>
      </c>
      <c r="G195" s="86" t="s">
        <v>2408</v>
      </c>
      <c r="H195" s="86" t="s">
        <v>2105</v>
      </c>
      <c r="I195" s="86" t="s">
        <v>2553</v>
      </c>
      <c r="J195" s="86" t="s">
        <v>2488</v>
      </c>
      <c r="K195" s="86" t="s">
        <v>2411</v>
      </c>
    </row>
    <row r="196" spans="3:11" ht="16.5">
      <c r="C196" s="86" t="s">
        <v>752</v>
      </c>
      <c r="D196" s="86"/>
      <c r="E196" s="86" t="s">
        <v>2080</v>
      </c>
      <c r="F196" s="104">
        <v>331000000</v>
      </c>
      <c r="G196" s="86" t="s">
        <v>2408</v>
      </c>
      <c r="H196" s="86" t="s">
        <v>2105</v>
      </c>
      <c r="I196" s="86" t="s">
        <v>2554</v>
      </c>
      <c r="J196" s="86" t="s">
        <v>2488</v>
      </c>
      <c r="K196" s="86" t="s">
        <v>2411</v>
      </c>
    </row>
    <row r="197" spans="3:11" ht="16.5">
      <c r="C197" s="86" t="s">
        <v>752</v>
      </c>
      <c r="D197" s="86"/>
      <c r="E197" s="86" t="s">
        <v>1830</v>
      </c>
      <c r="F197" s="104">
        <v>260000000</v>
      </c>
      <c r="G197" s="86" t="s">
        <v>2408</v>
      </c>
      <c r="H197" s="86" t="s">
        <v>2105</v>
      </c>
      <c r="I197" s="86" t="s">
        <v>2555</v>
      </c>
      <c r="J197" s="86" t="s">
        <v>2488</v>
      </c>
      <c r="K197" s="86" t="s">
        <v>2411</v>
      </c>
    </row>
    <row r="198" spans="3:11" ht="16.5">
      <c r="C198" s="86" t="s">
        <v>752</v>
      </c>
      <c r="D198" s="86"/>
      <c r="E198" s="86" t="s">
        <v>2417</v>
      </c>
      <c r="F198" s="104">
        <v>267000000</v>
      </c>
      <c r="G198" s="86" t="s">
        <v>2408</v>
      </c>
      <c r="H198" s="86" t="s">
        <v>2105</v>
      </c>
      <c r="I198" s="86" t="s">
        <v>2556</v>
      </c>
      <c r="J198" s="86" t="s">
        <v>2488</v>
      </c>
      <c r="K198" s="86" t="s">
        <v>2411</v>
      </c>
    </row>
    <row r="199" spans="3:11" ht="16.5">
      <c r="C199" s="86" t="s">
        <v>743</v>
      </c>
      <c r="D199" s="86"/>
      <c r="E199" s="86" t="s">
        <v>2080</v>
      </c>
      <c r="F199" s="104">
        <v>17682000000</v>
      </c>
      <c r="G199" s="86" t="s">
        <v>2408</v>
      </c>
      <c r="H199" s="86" t="s">
        <v>2105</v>
      </c>
      <c r="I199" s="86" t="s">
        <v>2557</v>
      </c>
      <c r="J199" s="86" t="s">
        <v>2488</v>
      </c>
      <c r="K199" s="86" t="s">
        <v>2411</v>
      </c>
    </row>
    <row r="200" spans="3:11" ht="16.5">
      <c r="C200" s="86" t="s">
        <v>743</v>
      </c>
      <c r="D200" s="86"/>
      <c r="E200" s="86" t="s">
        <v>1830</v>
      </c>
      <c r="F200" s="104">
        <v>15641000000</v>
      </c>
      <c r="G200" s="86" t="s">
        <v>2408</v>
      </c>
      <c r="H200" s="86" t="s">
        <v>2105</v>
      </c>
      <c r="I200" s="86" t="s">
        <v>2558</v>
      </c>
      <c r="J200" s="86" t="s">
        <v>2488</v>
      </c>
      <c r="K200" s="86" t="s">
        <v>2411</v>
      </c>
    </row>
    <row r="201" spans="3:11" ht="16.5">
      <c r="C201" s="86" t="s">
        <v>743</v>
      </c>
      <c r="D201" s="86"/>
      <c r="E201" s="86" t="s">
        <v>2417</v>
      </c>
      <c r="F201" s="104">
        <v>17519000000</v>
      </c>
      <c r="G201" s="86" t="s">
        <v>2408</v>
      </c>
      <c r="H201" s="86" t="s">
        <v>2105</v>
      </c>
      <c r="I201" s="86" t="s">
        <v>2559</v>
      </c>
      <c r="J201" s="86" t="s">
        <v>2488</v>
      </c>
      <c r="K201" s="86" t="s">
        <v>2411</v>
      </c>
    </row>
    <row r="202" spans="3:11" ht="16.5">
      <c r="C202" s="86" t="s">
        <v>740</v>
      </c>
      <c r="D202" s="86"/>
      <c r="E202" s="86" t="s">
        <v>2413</v>
      </c>
      <c r="F202" s="104">
        <v>15359000000</v>
      </c>
      <c r="G202" s="86" t="s">
        <v>2408</v>
      </c>
      <c r="H202" s="86" t="s">
        <v>1860</v>
      </c>
      <c r="I202" s="86" t="s">
        <v>2533</v>
      </c>
      <c r="J202" s="86" t="s">
        <v>2487</v>
      </c>
      <c r="K202" s="86" t="s">
        <v>2411</v>
      </c>
    </row>
    <row r="203" spans="3:11" ht="16.5">
      <c r="C203" s="86" t="s">
        <v>741</v>
      </c>
      <c r="D203" s="86"/>
      <c r="E203" s="86" t="s">
        <v>2413</v>
      </c>
      <c r="F203" s="104">
        <v>3261000000</v>
      </c>
      <c r="G203" s="86" t="s">
        <v>2408</v>
      </c>
      <c r="H203" s="86" t="s">
        <v>1860</v>
      </c>
      <c r="I203" s="86" t="s">
        <v>2534</v>
      </c>
      <c r="J203" s="86" t="s">
        <v>2487</v>
      </c>
      <c r="K203" s="86" t="s">
        <v>2411</v>
      </c>
    </row>
    <row r="204" spans="3:11" ht="16.5">
      <c r="C204" s="86" t="s">
        <v>742</v>
      </c>
      <c r="D204" s="86"/>
      <c r="E204" s="86" t="s">
        <v>2413</v>
      </c>
      <c r="F204" s="104">
        <v>1408000000</v>
      </c>
      <c r="G204" s="86" t="s">
        <v>2408</v>
      </c>
      <c r="H204" s="86" t="s">
        <v>1860</v>
      </c>
      <c r="I204" s="86" t="s">
        <v>2535</v>
      </c>
      <c r="J204" s="86" t="s">
        <v>2487</v>
      </c>
      <c r="K204" s="86" t="s">
        <v>2411</v>
      </c>
    </row>
    <row r="205" spans="3:11" ht="16.5">
      <c r="C205" s="86" t="s">
        <v>743</v>
      </c>
      <c r="D205" s="86"/>
      <c r="E205" s="86" t="s">
        <v>2413</v>
      </c>
      <c r="F205" s="104">
        <v>20028000000</v>
      </c>
      <c r="G205" s="86" t="s">
        <v>2408</v>
      </c>
      <c r="H205" s="86" t="s">
        <v>1860</v>
      </c>
      <c r="I205" s="86" t="s">
        <v>2538</v>
      </c>
      <c r="J205" s="86" t="s">
        <v>2487</v>
      </c>
      <c r="K205" s="86" t="s">
        <v>2411</v>
      </c>
    </row>
    <row r="206" spans="3:11" ht="16.5">
      <c r="C206" s="86" t="s">
        <v>747</v>
      </c>
      <c r="D206" s="86"/>
      <c r="E206" s="86" t="s">
        <v>2413</v>
      </c>
      <c r="F206" s="104">
        <v>6609000000</v>
      </c>
      <c r="G206" s="86" t="s">
        <v>2408</v>
      </c>
      <c r="H206" s="86" t="s">
        <v>1860</v>
      </c>
      <c r="I206" s="86" t="s">
        <v>2541</v>
      </c>
      <c r="J206" s="86" t="s">
        <v>2487</v>
      </c>
      <c r="K206" s="86" t="s">
        <v>2411</v>
      </c>
    </row>
    <row r="207" spans="3:11" ht="16.5">
      <c r="C207" s="86" t="s">
        <v>748</v>
      </c>
      <c r="D207" s="86"/>
      <c r="E207" s="86" t="s">
        <v>2413</v>
      </c>
      <c r="F207" s="104">
        <v>4807000000</v>
      </c>
      <c r="G207" s="86" t="s">
        <v>2408</v>
      </c>
      <c r="H207" s="86" t="s">
        <v>1860</v>
      </c>
      <c r="I207" s="86" t="s">
        <v>2544</v>
      </c>
      <c r="J207" s="86" t="s">
        <v>2487</v>
      </c>
      <c r="K207" s="86" t="s">
        <v>2411</v>
      </c>
    </row>
    <row r="208" spans="3:11" ht="16.5">
      <c r="C208" s="86" t="s">
        <v>749</v>
      </c>
      <c r="D208" s="86"/>
      <c r="E208" s="86" t="s">
        <v>2413</v>
      </c>
      <c r="F208" s="104">
        <v>2003000000</v>
      </c>
      <c r="G208" s="86" t="s">
        <v>2408</v>
      </c>
      <c r="H208" s="86" t="s">
        <v>1860</v>
      </c>
      <c r="I208" s="86" t="s">
        <v>2547</v>
      </c>
      <c r="J208" s="86" t="s">
        <v>2487</v>
      </c>
      <c r="K208" s="86" t="s">
        <v>2411</v>
      </c>
    </row>
    <row r="209" spans="3:11" ht="16.5">
      <c r="C209" s="86" t="s">
        <v>750</v>
      </c>
      <c r="D209" s="86"/>
      <c r="E209" s="86" t="s">
        <v>2413</v>
      </c>
      <c r="F209" s="104">
        <v>4807000000</v>
      </c>
      <c r="G209" s="86" t="s">
        <v>2408</v>
      </c>
      <c r="H209" s="86" t="s">
        <v>1860</v>
      </c>
      <c r="I209" s="86" t="s">
        <v>2550</v>
      </c>
      <c r="J209" s="86" t="s">
        <v>2487</v>
      </c>
      <c r="K209" s="86" t="s">
        <v>2411</v>
      </c>
    </row>
    <row r="210" spans="3:11" ht="16.5">
      <c r="C210" s="86" t="s">
        <v>751</v>
      </c>
      <c r="D210" s="86"/>
      <c r="E210" s="86" t="s">
        <v>2413</v>
      </c>
      <c r="F210" s="104">
        <v>1602000000</v>
      </c>
      <c r="G210" s="86" t="s">
        <v>2408</v>
      </c>
      <c r="H210" s="86" t="s">
        <v>1860</v>
      </c>
      <c r="I210" s="86" t="s">
        <v>2553</v>
      </c>
      <c r="J210" s="86" t="s">
        <v>2487</v>
      </c>
      <c r="K210" s="86" t="s">
        <v>2411</v>
      </c>
    </row>
    <row r="211" spans="3:11" ht="16.5">
      <c r="C211" s="86" t="s">
        <v>752</v>
      </c>
      <c r="D211" s="86"/>
      <c r="E211" s="86" t="s">
        <v>2413</v>
      </c>
      <c r="F211" s="104">
        <v>200000000</v>
      </c>
      <c r="G211" s="86" t="s">
        <v>2408</v>
      </c>
      <c r="H211" s="86" t="s">
        <v>1860</v>
      </c>
      <c r="I211" s="86" t="s">
        <v>2556</v>
      </c>
      <c r="J211" s="86" t="s">
        <v>2487</v>
      </c>
      <c r="K211" s="86" t="s">
        <v>2411</v>
      </c>
    </row>
    <row r="212" spans="3:11" ht="16.5">
      <c r="C212" s="86" t="s">
        <v>743</v>
      </c>
      <c r="D212" s="86"/>
      <c r="E212" s="86" t="s">
        <v>2413</v>
      </c>
      <c r="F212" s="104">
        <v>20028000000</v>
      </c>
      <c r="G212" s="86" t="s">
        <v>2408</v>
      </c>
      <c r="H212" s="86" t="s">
        <v>1860</v>
      </c>
      <c r="I212" s="86" t="s">
        <v>2559</v>
      </c>
      <c r="J212" s="86" t="s">
        <v>2487</v>
      </c>
      <c r="K212" s="86" t="s">
        <v>2411</v>
      </c>
    </row>
    <row r="213" spans="3:11" ht="16.5">
      <c r="C213" s="86" t="s">
        <v>740</v>
      </c>
      <c r="D213" s="86"/>
      <c r="E213" s="86" t="s">
        <v>1068</v>
      </c>
      <c r="F213" s="104">
        <v>14050000000</v>
      </c>
      <c r="G213" s="86" t="s">
        <v>2408</v>
      </c>
      <c r="H213" s="86" t="s">
        <v>1601</v>
      </c>
      <c r="I213" s="86" t="s">
        <v>2560</v>
      </c>
      <c r="J213" s="86" t="s">
        <v>2486</v>
      </c>
      <c r="K213" s="86" t="s">
        <v>2411</v>
      </c>
    </row>
    <row r="214" spans="3:11" ht="16.5">
      <c r="C214" s="86" t="s">
        <v>741</v>
      </c>
      <c r="D214" s="86"/>
      <c r="E214" s="86" t="s">
        <v>1068</v>
      </c>
      <c r="F214" s="104">
        <v>3049000000</v>
      </c>
      <c r="G214" s="86" t="s">
        <v>2408</v>
      </c>
      <c r="H214" s="86" t="s">
        <v>1601</v>
      </c>
      <c r="I214" s="86" t="s">
        <v>2561</v>
      </c>
      <c r="J214" s="86" t="s">
        <v>2486</v>
      </c>
      <c r="K214" s="86" t="s">
        <v>2411</v>
      </c>
    </row>
    <row r="215" spans="3:11" ht="16.5">
      <c r="C215" s="86" t="s">
        <v>742</v>
      </c>
      <c r="D215" s="86"/>
      <c r="E215" s="86" t="s">
        <v>1068</v>
      </c>
      <c r="F215" s="104">
        <v>1245000000</v>
      </c>
      <c r="G215" s="86" t="s">
        <v>2408</v>
      </c>
      <c r="H215" s="86" t="s">
        <v>1601</v>
      </c>
      <c r="I215" s="86" t="s">
        <v>2535</v>
      </c>
      <c r="J215" s="86" t="s">
        <v>2486</v>
      </c>
      <c r="K215" s="86" t="s">
        <v>2411</v>
      </c>
    </row>
    <row r="216" spans="3:11" ht="16.5">
      <c r="C216" s="86" t="s">
        <v>743</v>
      </c>
      <c r="D216" s="86"/>
      <c r="E216" s="86" t="s">
        <v>1068</v>
      </c>
      <c r="F216" s="104">
        <v>18344000000</v>
      </c>
      <c r="G216" s="86" t="s">
        <v>2408</v>
      </c>
      <c r="H216" s="86" t="s">
        <v>1601</v>
      </c>
      <c r="I216" s="86" t="s">
        <v>2538</v>
      </c>
      <c r="J216" s="86" t="s">
        <v>2486</v>
      </c>
      <c r="K216" s="86" t="s">
        <v>2411</v>
      </c>
    </row>
    <row r="217" spans="3:11" ht="16.5">
      <c r="C217" s="86" t="s">
        <v>747</v>
      </c>
      <c r="D217" s="86"/>
      <c r="E217" s="86" t="s">
        <v>1068</v>
      </c>
      <c r="F217" s="104">
        <v>6237000000</v>
      </c>
      <c r="G217" s="86" t="s">
        <v>2408</v>
      </c>
      <c r="H217" s="86" t="s">
        <v>1601</v>
      </c>
      <c r="I217" s="86" t="s">
        <v>2541</v>
      </c>
      <c r="J217" s="86" t="s">
        <v>2486</v>
      </c>
      <c r="K217" s="86" t="s">
        <v>2411</v>
      </c>
    </row>
    <row r="218" spans="3:11" ht="16.5">
      <c r="C218" s="86" t="s">
        <v>748</v>
      </c>
      <c r="D218" s="86"/>
      <c r="E218" s="86" t="s">
        <v>1068</v>
      </c>
      <c r="F218" s="104">
        <v>4586000000</v>
      </c>
      <c r="G218" s="86" t="s">
        <v>2408</v>
      </c>
      <c r="H218" s="86" t="s">
        <v>1601</v>
      </c>
      <c r="I218" s="86" t="s">
        <v>2544</v>
      </c>
      <c r="J218" s="86" t="s">
        <v>2486</v>
      </c>
      <c r="K218" s="86" t="s">
        <v>2411</v>
      </c>
    </row>
    <row r="219" spans="3:11" ht="16.5">
      <c r="C219" s="86" t="s">
        <v>749</v>
      </c>
      <c r="D219" s="86"/>
      <c r="E219" s="86" t="s">
        <v>1068</v>
      </c>
      <c r="F219" s="104">
        <v>2018000000</v>
      </c>
      <c r="G219" s="86" t="s">
        <v>2408</v>
      </c>
      <c r="H219" s="86" t="s">
        <v>1601</v>
      </c>
      <c r="I219" s="86" t="s">
        <v>2547</v>
      </c>
      <c r="J219" s="86" t="s">
        <v>2486</v>
      </c>
      <c r="K219" s="86" t="s">
        <v>2411</v>
      </c>
    </row>
    <row r="220" spans="3:11" ht="16.5">
      <c r="C220" s="86" t="s">
        <v>750</v>
      </c>
      <c r="D220" s="86"/>
      <c r="E220" s="86" t="s">
        <v>1068</v>
      </c>
      <c r="F220" s="104">
        <v>3852000000</v>
      </c>
      <c r="G220" s="86" t="s">
        <v>2408</v>
      </c>
      <c r="H220" s="86" t="s">
        <v>1601</v>
      </c>
      <c r="I220" s="86" t="s">
        <v>2550</v>
      </c>
      <c r="J220" s="86" t="s">
        <v>2486</v>
      </c>
      <c r="K220" s="86" t="s">
        <v>2411</v>
      </c>
    </row>
    <row r="221" spans="3:11" ht="16.5">
      <c r="C221" s="86" t="s">
        <v>751</v>
      </c>
      <c r="D221" s="86"/>
      <c r="E221" s="86" t="s">
        <v>1068</v>
      </c>
      <c r="F221" s="104">
        <v>1468000000</v>
      </c>
      <c r="G221" s="86" t="s">
        <v>2408</v>
      </c>
      <c r="H221" s="86" t="s">
        <v>1601</v>
      </c>
      <c r="I221" s="86" t="s">
        <v>2553</v>
      </c>
      <c r="J221" s="86" t="s">
        <v>2486</v>
      </c>
      <c r="K221" s="86" t="s">
        <v>2411</v>
      </c>
    </row>
    <row r="222" spans="3:11" ht="16.5">
      <c r="C222" s="86" t="s">
        <v>752</v>
      </c>
      <c r="D222" s="86"/>
      <c r="E222" s="86" t="s">
        <v>1068</v>
      </c>
      <c r="F222" s="104">
        <v>183000000</v>
      </c>
      <c r="G222" s="86" t="s">
        <v>2408</v>
      </c>
      <c r="H222" s="86" t="s">
        <v>1601</v>
      </c>
      <c r="I222" s="86" t="s">
        <v>2556</v>
      </c>
      <c r="J222" s="86" t="s">
        <v>2486</v>
      </c>
      <c r="K222" s="86" t="s">
        <v>2411</v>
      </c>
    </row>
    <row r="223" spans="3:11" ht="16.5">
      <c r="C223" s="86" t="s">
        <v>743</v>
      </c>
      <c r="D223" s="86"/>
      <c r="E223" s="86" t="s">
        <v>1068</v>
      </c>
      <c r="F223" s="104">
        <v>18344000000</v>
      </c>
      <c r="G223" s="86" t="s">
        <v>2408</v>
      </c>
      <c r="H223" s="86" t="s">
        <v>1601</v>
      </c>
      <c r="I223" s="86" t="s">
        <v>2559</v>
      </c>
      <c r="J223" s="86" t="s">
        <v>2486</v>
      </c>
      <c r="K223" s="86" t="s">
        <v>2411</v>
      </c>
    </row>
    <row r="224" spans="3:11" ht="16.5">
      <c r="C224" s="86"/>
      <c r="D224" s="86"/>
      <c r="E224" s="86"/>
      <c r="F224" s="86"/>
      <c r="G224" s="86"/>
      <c r="H224" s="86"/>
      <c r="I224" s="86"/>
      <c r="J224" s="86"/>
      <c r="K224" s="86"/>
    </row>
    <row r="225" spans="3:11" ht="16.5">
      <c r="C225" s="86"/>
      <c r="D225" s="86"/>
      <c r="E225" s="86"/>
      <c r="F225" s="86"/>
      <c r="G225" s="86"/>
      <c r="H225" s="86"/>
      <c r="I225" s="86"/>
      <c r="J225" s="86"/>
      <c r="K225" s="86"/>
    </row>
  </sheetData>
  <phoneticPr fontId="12"/>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40"/>
  <sheetViews>
    <sheetView workbookViewId="0">
      <pane xSplit="3" ySplit="5" topLeftCell="D6" activePane="bottomRight" state="frozen"/>
      <selection pane="topRight"/>
      <selection pane="bottomLeft"/>
      <selection pane="bottomRight" activeCell="D6" sqref="D6"/>
    </sheetView>
  </sheetViews>
  <sheetFormatPr defaultRowHeight="14.25"/>
  <cols>
    <col min="1" max="2" width="2" customWidth="1"/>
    <col min="3" max="3" width="52" customWidth="1"/>
    <col min="4" max="11" width="21" customWidth="1"/>
  </cols>
  <sheetData>
    <row r="1" spans="1:11" ht="21.95" customHeight="1">
      <c r="A1" s="71"/>
      <c r="B1" s="71"/>
      <c r="C1" s="71"/>
      <c r="D1" s="71"/>
      <c r="E1" s="71"/>
      <c r="F1" s="71"/>
      <c r="G1" s="71"/>
      <c r="H1" s="71"/>
      <c r="I1" s="71"/>
      <c r="J1" s="71"/>
      <c r="K1" s="71"/>
    </row>
    <row r="2" spans="1:11" ht="21.95" customHeight="1">
      <c r="A2" s="71"/>
      <c r="B2" s="71"/>
      <c r="C2" s="72" t="s">
        <v>2562</v>
      </c>
      <c r="D2" s="71"/>
      <c r="E2" s="71"/>
      <c r="F2" s="71"/>
      <c r="G2" s="71"/>
      <c r="H2" s="71"/>
      <c r="I2" s="71"/>
      <c r="J2" s="71"/>
      <c r="K2" s="71"/>
    </row>
    <row r="3" spans="1:11" ht="21.95" customHeight="1">
      <c r="A3" s="71"/>
      <c r="B3" s="71"/>
      <c r="C3" s="73"/>
      <c r="D3" s="73"/>
      <c r="E3" s="73"/>
      <c r="F3" s="73"/>
      <c r="G3" s="73"/>
      <c r="H3" s="73"/>
      <c r="I3" s="73"/>
      <c r="J3" s="73"/>
      <c r="K3" s="73"/>
    </row>
    <row r="4" spans="1:11" ht="21.95" customHeight="1">
      <c r="A4" s="71"/>
      <c r="B4" s="71"/>
      <c r="C4" s="71" t="s">
        <v>681</v>
      </c>
      <c r="D4" s="71"/>
      <c r="E4" s="71"/>
      <c r="F4" s="71"/>
      <c r="G4" s="71"/>
      <c r="H4" s="71"/>
      <c r="I4" s="71"/>
      <c r="J4" s="71"/>
      <c r="K4" s="71"/>
    </row>
    <row r="5" spans="1:11" ht="24.95" customHeight="1">
      <c r="A5" s="71"/>
      <c r="B5" s="71"/>
      <c r="C5" s="74" t="s">
        <v>61</v>
      </c>
      <c r="D5" s="74" t="s">
        <v>682</v>
      </c>
      <c r="E5" s="74" t="s">
        <v>683</v>
      </c>
      <c r="F5" s="74" t="s">
        <v>684</v>
      </c>
      <c r="G5" s="74" t="s">
        <v>685</v>
      </c>
      <c r="H5" s="74" t="s">
        <v>686</v>
      </c>
      <c r="I5" s="74" t="s">
        <v>687</v>
      </c>
      <c r="J5" s="74" t="s">
        <v>688</v>
      </c>
      <c r="K5" s="74" t="s">
        <v>689</v>
      </c>
    </row>
    <row r="6" spans="1:11" ht="21.95" customHeight="1">
      <c r="A6" s="71"/>
      <c r="B6" s="71"/>
      <c r="C6" s="71" t="s">
        <v>2563</v>
      </c>
      <c r="D6" s="136">
        <f>IF(AND(ISNUMBER('3_BS'!D12),ISNUMBER('3_BS'!D15),ISNUMBER('3_BS'!D16)),'3_BS'!D12-'3_BS'!D15-'3_BS'!D16,"n.a.")</f>
        <v>0</v>
      </c>
      <c r="E6" s="136">
        <f>IF(AND(ISNUMBER('3_BS'!E12),ISNUMBER('3_BS'!E15),ISNUMBER('3_BS'!E16)),'3_BS'!E12-'3_BS'!E15-'3_BS'!E16,"n.a.")</f>
        <v>0</v>
      </c>
      <c r="F6" s="136">
        <f>IF(AND(ISNUMBER('3_BS'!F12),ISNUMBER('3_BS'!F15),ISNUMBER('3_BS'!F16)),'3_BS'!F12-'3_BS'!F15-'3_BS'!F16,"n.a.")</f>
        <v>0</v>
      </c>
      <c r="G6" s="136">
        <f>IF(AND(ISNUMBER('3_BS'!G12),ISNUMBER('3_BS'!G15),ISNUMBER('3_BS'!G16)),'3_BS'!G12-'3_BS'!G15-'3_BS'!G16,"n.a.")</f>
        <v>0</v>
      </c>
      <c r="H6" s="136">
        <f>IF(AND(ISNUMBER('3_BS'!H12),ISNUMBER('3_BS'!H15),ISNUMBER('3_BS'!H16)),'3_BS'!H12-'3_BS'!H15-'3_BS'!H16,"n.a.")</f>
        <v>0</v>
      </c>
      <c r="I6" s="136">
        <f>'3_Forecast'!I62</f>
        <v>-7.2759576141834259E-12</v>
      </c>
      <c r="J6" s="136">
        <f>'3_Forecast'!J62</f>
        <v>3.637978807091713E-12</v>
      </c>
      <c r="K6" s="136">
        <f>'3_Forecast'!K62</f>
        <v>3.637978807091713E-12</v>
      </c>
    </row>
    <row r="7" spans="1:11" ht="21.95" customHeight="1">
      <c r="A7" s="71"/>
      <c r="B7" s="71"/>
      <c r="C7" s="71" t="s">
        <v>2564</v>
      </c>
      <c r="D7" s="136">
        <f>IF(AND(ISNUMBER('3_PL'!D6),ISNUMBER('3_PL'!D7),ISNUMBER('3_PL'!D8)),'3_PL'!D6-'3_PL'!D7-'3_PL'!D8,"n.a.")</f>
        <v>0</v>
      </c>
      <c r="E7" s="136">
        <f>IF(AND(ISNUMBER('3_PL'!E6),ISNUMBER('3_PL'!E7),ISNUMBER('3_PL'!E8)),'3_PL'!E6-'3_PL'!E7-'3_PL'!E8,"n.a.")</f>
        <v>0</v>
      </c>
      <c r="F7" s="136">
        <f>IF(AND(ISNUMBER('3_PL'!F6),ISNUMBER('3_PL'!F7),ISNUMBER('3_PL'!F8)),'3_PL'!F6-'3_PL'!F7-'3_PL'!F8,"n.a.")</f>
        <v>0</v>
      </c>
      <c r="G7" s="136">
        <f>IF(AND(ISNUMBER('3_PL'!G6),ISNUMBER('3_PL'!G7),ISNUMBER('3_PL'!G8)),'3_PL'!G6-'3_PL'!G7-'3_PL'!G8,"n.a.")</f>
        <v>0</v>
      </c>
      <c r="H7" s="136">
        <f>IF(AND(ISNUMBER('3_PL'!H6),ISNUMBER('3_PL'!H7),ISNUMBER('3_PL'!H8)),'3_PL'!H6-'3_PL'!H7-'3_PL'!H8,"n.a.")</f>
        <v>0</v>
      </c>
      <c r="I7" s="136">
        <f>IF(AND(ISNUMBER('3_Forecast'!I8),ISNUMBER('3_Forecast'!I9),ISNUMBER('3_Forecast'!I10)),'3_Forecast'!I8-'3_Forecast'!I9-'3_Forecast'!I10,"n.a.")</f>
        <v>0</v>
      </c>
      <c r="J7" s="136">
        <f>IF(AND(ISNUMBER('3_Forecast'!J8),ISNUMBER('3_Forecast'!J9),ISNUMBER('3_Forecast'!J10)),'3_Forecast'!J8-'3_Forecast'!J9-'3_Forecast'!J10,"n.a.")</f>
        <v>0</v>
      </c>
      <c r="K7" s="136">
        <f>IF(AND(ISNUMBER('3_Forecast'!K8),ISNUMBER('3_Forecast'!K9),ISNUMBER('3_Forecast'!K10)),'3_Forecast'!K8-'3_Forecast'!K9-'3_Forecast'!K10,"n.a.")</f>
        <v>0</v>
      </c>
    </row>
    <row r="8" spans="1:11" ht="21.95" customHeight="1">
      <c r="A8" s="71"/>
      <c r="B8" s="71"/>
      <c r="C8" s="71" t="s">
        <v>2565</v>
      </c>
      <c r="D8" s="136">
        <f>IF(AND(ISNUMBER('3_CF'!D6),ISNUMBER('3_CF'!D10),ISNUMBER('3_CF'!D12),ISNUMBER('3_CF'!D14),ISNUMBER('3_CF'!D15)),'3_CF'!D6+'3_CF'!D10+'3_CF'!D12+'3_CF'!D14-'3_CF'!D15,"n.a.")</f>
        <v>0</v>
      </c>
      <c r="E8" s="136">
        <f>IF(AND(ISNUMBER('3_CF'!E6),ISNUMBER('3_CF'!E10),ISNUMBER('3_CF'!E12),ISNUMBER('3_CF'!E14),ISNUMBER('3_CF'!E15)),'3_CF'!E6+'3_CF'!E10+'3_CF'!E12+'3_CF'!E14-'3_CF'!E15,"n.a.")</f>
        <v>0</v>
      </c>
      <c r="F8" s="136">
        <f>IF(AND(ISNUMBER('3_CF'!F6),ISNUMBER('3_CF'!F10),ISNUMBER('3_CF'!F12),ISNUMBER('3_CF'!F14),ISNUMBER('3_CF'!F15)),'3_CF'!F6+'3_CF'!F10+'3_CF'!F12+'3_CF'!F14-'3_CF'!F15,"n.a.")</f>
        <v>0</v>
      </c>
      <c r="G8" s="136">
        <f>IF(AND(ISNUMBER('3_CF'!G6),ISNUMBER('3_CF'!G10),ISNUMBER('3_CF'!G12),ISNUMBER('3_CF'!G14),ISNUMBER('3_CF'!G15)),'3_CF'!G6+'3_CF'!G10+'3_CF'!G12+'3_CF'!G14-'3_CF'!G15,"n.a.")</f>
        <v>0</v>
      </c>
      <c r="H8" s="136">
        <f>IF(AND(ISNUMBER('3_CF'!H6),ISNUMBER('3_CF'!H10),ISNUMBER('3_CF'!H12),ISNUMBER('3_CF'!H14),ISNUMBER('3_CF'!H15)),'3_CF'!H6+'3_CF'!H10+'3_CF'!H12+'3_CF'!H14-'3_CF'!H15,"n.a.")</f>
        <v>0</v>
      </c>
      <c r="I8" s="136">
        <f>'3_Forecast'!I64</f>
        <v>0</v>
      </c>
      <c r="J8" s="136">
        <f>'3_Forecast'!J64</f>
        <v>0</v>
      </c>
      <c r="K8" s="136">
        <f>'3_Forecast'!K64</f>
        <v>1.8189894035458565E-12</v>
      </c>
    </row>
    <row r="9" spans="1:11" ht="21.95" customHeight="1">
      <c r="A9" s="71"/>
      <c r="B9" s="71"/>
      <c r="C9" s="71"/>
      <c r="D9" s="136"/>
      <c r="E9" s="136"/>
      <c r="F9" s="136"/>
      <c r="G9" s="136"/>
      <c r="H9" s="136"/>
      <c r="I9" s="136"/>
      <c r="J9" s="136"/>
      <c r="K9" s="136"/>
    </row>
    <row r="10" spans="1:11" ht="21.95" customHeight="1">
      <c r="A10" s="71"/>
      <c r="B10" s="71"/>
      <c r="C10" s="71" t="s">
        <v>2566</v>
      </c>
      <c r="D10" s="136">
        <f>IF(AND(ISNUMBER('3_セグメント売上'!D11),ISNUMBER('3_PL'!D6)),'3_セグメント売上'!D11-'3_PL'!D6,"n.a.")</f>
        <v>0</v>
      </c>
      <c r="E10" s="136">
        <f>IF(AND(ISNUMBER('3_セグメント売上'!E11),ISNUMBER('3_PL'!E6)),'3_セグメント売上'!E11-'3_PL'!E6,"n.a.")</f>
        <v>0</v>
      </c>
      <c r="F10" s="136">
        <f>IF(AND(ISNUMBER('3_セグメント売上'!F11),ISNUMBER('3_PL'!F6)),'3_セグメント売上'!F11-'3_PL'!F6,"n.a.")</f>
        <v>0</v>
      </c>
      <c r="G10" s="136">
        <f>IF(AND(ISNUMBER('3_セグメント売上'!G11),ISNUMBER('3_PL'!G6)),'3_セグメント売上'!G11-'3_PL'!G6,"n.a.")</f>
        <v>0</v>
      </c>
      <c r="H10" s="136">
        <f>IF(AND(ISNUMBER('3_セグメント売上'!H11),ISNUMBER('3_PL'!H6)),'3_セグメント売上'!H11-'3_PL'!H6,"n.a.")</f>
        <v>0</v>
      </c>
      <c r="I10" s="136">
        <f>IF(AND(ISNUMBER('3_セグメント売上'!I11),ISNUMBER('3_Forecast'!I8)),'3_セグメント売上'!I11-'3_Forecast'!I8,"n.a.")</f>
        <v>0</v>
      </c>
      <c r="J10" s="136">
        <f>IF(AND(ISNUMBER('3_セグメント売上'!J11),ISNUMBER('3_Forecast'!J8)),'3_セグメント売上'!J11-'3_Forecast'!J8,"n.a.")</f>
        <v>0</v>
      </c>
      <c r="K10" s="136">
        <f>IF(AND(ISNUMBER('3_セグメント売上'!K11),ISNUMBER('3_Forecast'!K8)),'3_セグメント売上'!K11-'3_Forecast'!K8,"n.a.")</f>
        <v>0</v>
      </c>
    </row>
    <row r="11" spans="1:11" ht="21.95" customHeight="1">
      <c r="A11" s="71"/>
      <c r="B11" s="71"/>
      <c r="C11" s="71" t="s">
        <v>2567</v>
      </c>
      <c r="D11" s="136">
        <f>IF(AND(ISNUMBER('3_地域別売上'!D14),ISNUMBER('3_PL'!D6)),'3_地域別売上'!D14-'3_PL'!D6,"n.a.")</f>
        <v>0</v>
      </c>
      <c r="E11" s="136">
        <f>IF(AND(ISNUMBER('3_地域別売上'!E14),ISNUMBER('3_PL'!E6)),'3_地域別売上'!E14-'3_PL'!E6,"n.a.")</f>
        <v>0</v>
      </c>
      <c r="F11" s="136">
        <f>IF(AND(ISNUMBER('3_地域別売上'!F14),ISNUMBER('3_PL'!F6)),'3_地域別売上'!F14-'3_PL'!F6,"n.a.")</f>
        <v>0</v>
      </c>
      <c r="G11" s="136">
        <f>IF(AND(ISNUMBER('3_地域別売上'!G14),ISNUMBER('3_PL'!G6)),'3_地域別売上'!G14-'3_PL'!G6,"n.a.")</f>
        <v>0</v>
      </c>
      <c r="H11" s="136">
        <f>IF(AND(ISNUMBER('3_地域別売上'!H14),ISNUMBER('3_PL'!H6)),'3_地域別売上'!H14-'3_PL'!H6,"n.a.")</f>
        <v>0</v>
      </c>
      <c r="I11" s="136">
        <f>IF(AND(ISNUMBER('3_地域別売上'!I14),ISNUMBER('3_Forecast'!I8)),'3_地域別売上'!I14-'3_Forecast'!I8,"n.a.")</f>
        <v>0</v>
      </c>
      <c r="J11" s="136">
        <f>IF(AND(ISNUMBER('3_地域別売上'!J14),ISNUMBER('3_Forecast'!J8)),'3_地域別売上'!J14-'3_Forecast'!J8,"n.a.")</f>
        <v>3.637978807091713E-12</v>
      </c>
      <c r="K11" s="136">
        <f>IF(AND(ISNUMBER('3_地域別売上'!K14),ISNUMBER('3_Forecast'!K8)),'3_地域別売上'!K14-'3_Forecast'!K8,"n.a.")</f>
        <v>-3.637978807091713E-12</v>
      </c>
    </row>
    <row r="12" spans="1:11" ht="21.95" customHeight="1">
      <c r="A12" s="71"/>
      <c r="B12" s="71"/>
      <c r="C12" s="71"/>
      <c r="D12" s="75"/>
      <c r="E12" s="75"/>
      <c r="F12" s="75"/>
      <c r="G12" s="75"/>
      <c r="H12" s="75"/>
      <c r="I12" s="75"/>
      <c r="J12" s="75"/>
      <c r="K12" s="75"/>
    </row>
    <row r="13" spans="1:11" ht="21.95" customHeight="1">
      <c r="A13" s="71"/>
      <c r="B13" s="71"/>
      <c r="C13" s="71"/>
      <c r="D13" s="75"/>
      <c r="E13" s="75"/>
      <c r="F13" s="75"/>
      <c r="G13" s="75"/>
      <c r="H13" s="75"/>
      <c r="I13" s="75"/>
      <c r="J13" s="75"/>
      <c r="K13" s="75"/>
    </row>
    <row r="14" spans="1:11" ht="21.95" customHeight="1">
      <c r="A14" s="71"/>
      <c r="B14" s="71"/>
      <c r="C14" s="71"/>
      <c r="D14" s="75"/>
      <c r="E14" s="75"/>
      <c r="F14" s="75"/>
      <c r="G14" s="75"/>
      <c r="H14" s="75"/>
      <c r="I14" s="75"/>
      <c r="J14" s="75"/>
      <c r="K14" s="75"/>
    </row>
    <row r="15" spans="1:11" ht="21.95" customHeight="1">
      <c r="A15" s="71"/>
      <c r="B15" s="71"/>
      <c r="C15" s="71" t="s">
        <v>2568</v>
      </c>
      <c r="D15" s="75"/>
      <c r="E15" s="75"/>
      <c r="F15" s="75"/>
      <c r="G15" s="75"/>
      <c r="H15" s="75"/>
      <c r="I15" s="75"/>
      <c r="J15" s="75"/>
      <c r="K15" s="75"/>
    </row>
    <row r="16" spans="1:11" ht="21.95" customHeight="1">
      <c r="A16" s="71"/>
      <c r="B16" s="71"/>
      <c r="C16" s="71" t="s">
        <v>2569</v>
      </c>
      <c r="D16" s="75"/>
      <c r="E16" s="75"/>
      <c r="F16" s="75"/>
      <c r="G16" s="75"/>
      <c r="H16" s="75"/>
      <c r="I16" s="75"/>
      <c r="J16" s="75"/>
      <c r="K16" s="75"/>
    </row>
    <row r="17" spans="1:11" ht="21.95" customHeight="1">
      <c r="A17" s="71"/>
      <c r="B17" s="71"/>
      <c r="C17" s="71" t="s">
        <v>2570</v>
      </c>
      <c r="D17" s="75"/>
      <c r="E17" s="75"/>
      <c r="F17" s="75"/>
      <c r="G17" s="75"/>
      <c r="H17" s="75"/>
      <c r="I17" s="75"/>
      <c r="J17" s="75"/>
      <c r="K17" s="75"/>
    </row>
    <row r="18" spans="1:11" ht="21.95" customHeight="1">
      <c r="A18" s="71"/>
      <c r="B18" s="71"/>
      <c r="C18" s="71"/>
      <c r="D18" s="75"/>
      <c r="E18" s="75"/>
      <c r="F18" s="75"/>
      <c r="G18" s="75"/>
      <c r="H18" s="75"/>
      <c r="I18" s="75"/>
      <c r="J18" s="75"/>
      <c r="K18" s="75"/>
    </row>
    <row r="19" spans="1:11" ht="21.95" customHeight="1">
      <c r="A19" s="71"/>
      <c r="B19" s="71"/>
      <c r="C19" s="71"/>
      <c r="D19" s="75"/>
      <c r="E19" s="75"/>
      <c r="F19" s="75"/>
      <c r="G19" s="75"/>
      <c r="H19" s="75"/>
      <c r="I19" s="75"/>
      <c r="J19" s="75"/>
      <c r="K19" s="75"/>
    </row>
    <row r="20" spans="1:11" ht="21.95" customHeight="1">
      <c r="A20" s="71"/>
      <c r="B20" s="71"/>
      <c r="C20" s="71"/>
      <c r="D20" s="75"/>
      <c r="E20" s="75"/>
      <c r="F20" s="75"/>
      <c r="G20" s="75"/>
      <c r="H20" s="75"/>
      <c r="I20" s="75"/>
      <c r="J20" s="75"/>
      <c r="K20" s="75"/>
    </row>
    <row r="21" spans="1:11" ht="21.95" customHeight="1">
      <c r="A21" s="71"/>
      <c r="B21" s="71"/>
      <c r="C21" s="71"/>
      <c r="D21" s="75"/>
      <c r="E21" s="75"/>
      <c r="F21" s="75"/>
      <c r="G21" s="75"/>
      <c r="H21" s="75"/>
      <c r="I21" s="75"/>
      <c r="J21" s="75"/>
      <c r="K21" s="75"/>
    </row>
    <row r="22" spans="1:11" ht="21.95" customHeight="1">
      <c r="A22" s="71"/>
      <c r="B22" s="71"/>
      <c r="C22" s="71"/>
      <c r="D22" s="75"/>
      <c r="E22" s="75"/>
      <c r="F22" s="75"/>
      <c r="G22" s="75"/>
      <c r="H22" s="75"/>
      <c r="I22" s="75"/>
      <c r="J22" s="75"/>
      <c r="K22" s="75"/>
    </row>
    <row r="23" spans="1:11" ht="21.95" customHeight="1">
      <c r="A23" s="71"/>
      <c r="B23" s="71"/>
      <c r="C23" s="71"/>
      <c r="D23" s="75"/>
      <c r="E23" s="75"/>
      <c r="F23" s="75"/>
      <c r="G23" s="75"/>
      <c r="H23" s="75"/>
      <c r="I23" s="75"/>
      <c r="J23" s="75"/>
      <c r="K23" s="75"/>
    </row>
    <row r="24" spans="1:11" ht="21.95" customHeight="1">
      <c r="A24" s="71"/>
      <c r="B24" s="71"/>
      <c r="C24" s="71"/>
      <c r="D24" s="75"/>
      <c r="E24" s="75"/>
      <c r="F24" s="75"/>
      <c r="G24" s="75"/>
      <c r="H24" s="75"/>
      <c r="I24" s="75"/>
      <c r="J24" s="75"/>
      <c r="K24" s="75"/>
    </row>
    <row r="25" spans="1:11" ht="21.95" customHeight="1">
      <c r="A25" s="71"/>
      <c r="B25" s="71"/>
      <c r="C25" s="71"/>
      <c r="D25" s="75"/>
      <c r="E25" s="75"/>
      <c r="F25" s="75"/>
      <c r="G25" s="75"/>
      <c r="H25" s="75"/>
      <c r="I25" s="75"/>
      <c r="J25" s="75"/>
      <c r="K25" s="75"/>
    </row>
    <row r="26" spans="1:11" ht="21.95" customHeight="1">
      <c r="A26" s="71"/>
      <c r="B26" s="71"/>
      <c r="C26" s="71"/>
      <c r="D26" s="75"/>
      <c r="E26" s="75"/>
      <c r="F26" s="75"/>
      <c r="G26" s="75"/>
      <c r="H26" s="75"/>
      <c r="I26" s="75"/>
      <c r="J26" s="75"/>
      <c r="K26" s="75"/>
    </row>
    <row r="27" spans="1:11" ht="21.95" customHeight="1">
      <c r="A27" s="71"/>
      <c r="B27" s="71"/>
      <c r="C27" s="71"/>
      <c r="D27" s="75"/>
      <c r="E27" s="75"/>
      <c r="F27" s="75"/>
      <c r="G27" s="75"/>
      <c r="H27" s="75"/>
      <c r="I27" s="75"/>
      <c r="J27" s="75"/>
      <c r="K27" s="75"/>
    </row>
    <row r="28" spans="1:11" ht="21.95" customHeight="1">
      <c r="A28" s="71"/>
      <c r="B28" s="71"/>
      <c r="C28" s="71"/>
      <c r="D28" s="75"/>
      <c r="E28" s="75"/>
      <c r="F28" s="75"/>
      <c r="G28" s="75"/>
      <c r="H28" s="75"/>
      <c r="I28" s="75"/>
      <c r="J28" s="75"/>
      <c r="K28" s="75"/>
    </row>
    <row r="29" spans="1:11" ht="21.95" customHeight="1">
      <c r="A29" s="71"/>
      <c r="B29" s="71"/>
      <c r="C29" s="71"/>
      <c r="D29" s="75"/>
      <c r="E29" s="75"/>
      <c r="F29" s="75"/>
      <c r="G29" s="75"/>
      <c r="H29" s="75"/>
      <c r="I29" s="75"/>
      <c r="J29" s="75"/>
      <c r="K29" s="75"/>
    </row>
    <row r="30" spans="1:11" ht="21.95" customHeight="1">
      <c r="A30" s="71"/>
      <c r="B30" s="71"/>
      <c r="C30" s="71"/>
      <c r="D30" s="75"/>
      <c r="E30" s="75"/>
      <c r="F30" s="75"/>
      <c r="G30" s="75"/>
      <c r="H30" s="75"/>
      <c r="I30" s="75"/>
      <c r="J30" s="75"/>
      <c r="K30" s="75"/>
    </row>
    <row r="31" spans="1:11" ht="21.95" customHeight="1">
      <c r="A31" s="71"/>
      <c r="B31" s="71"/>
      <c r="C31" s="71"/>
      <c r="D31" s="75"/>
      <c r="E31" s="75"/>
      <c r="F31" s="75"/>
      <c r="G31" s="75"/>
      <c r="H31" s="75"/>
      <c r="I31" s="75"/>
      <c r="J31" s="75"/>
      <c r="K31" s="75"/>
    </row>
    <row r="32" spans="1:11" ht="21.95" customHeight="1">
      <c r="A32" s="71"/>
      <c r="B32" s="71"/>
      <c r="C32" s="71"/>
      <c r="D32" s="75"/>
      <c r="E32" s="75"/>
      <c r="F32" s="75"/>
      <c r="G32" s="75"/>
      <c r="H32" s="75"/>
      <c r="I32" s="75"/>
      <c r="J32" s="75"/>
      <c r="K32" s="75"/>
    </row>
    <row r="33" spans="1:11" ht="21.95" customHeight="1">
      <c r="A33" s="71"/>
      <c r="B33" s="71"/>
      <c r="C33" s="71"/>
      <c r="D33" s="75"/>
      <c r="E33" s="75"/>
      <c r="F33" s="75"/>
      <c r="G33" s="75"/>
      <c r="H33" s="75"/>
      <c r="I33" s="75"/>
      <c r="J33" s="75"/>
      <c r="K33" s="75"/>
    </row>
    <row r="34" spans="1:11" ht="21.95" customHeight="1">
      <c r="A34" s="71"/>
      <c r="B34" s="71"/>
      <c r="C34" s="71"/>
      <c r="D34" s="75"/>
      <c r="E34" s="75"/>
      <c r="F34" s="75"/>
      <c r="G34" s="75"/>
      <c r="H34" s="75"/>
      <c r="I34" s="75"/>
      <c r="J34" s="75"/>
      <c r="K34" s="75"/>
    </row>
    <row r="35" spans="1:11" ht="21.95" customHeight="1">
      <c r="A35" s="71"/>
      <c r="B35" s="71"/>
      <c r="C35" s="71"/>
      <c r="D35" s="75"/>
      <c r="E35" s="75"/>
      <c r="F35" s="75"/>
      <c r="G35" s="75"/>
      <c r="H35" s="75"/>
      <c r="I35" s="75"/>
      <c r="J35" s="75"/>
      <c r="K35" s="75"/>
    </row>
    <row r="36" spans="1:11" ht="21.95" customHeight="1">
      <c r="A36" s="71"/>
      <c r="B36" s="71"/>
      <c r="C36" s="71"/>
      <c r="D36" s="75"/>
      <c r="E36" s="75"/>
      <c r="F36" s="75"/>
      <c r="G36" s="75"/>
      <c r="H36" s="75"/>
      <c r="I36" s="75"/>
      <c r="J36" s="75"/>
      <c r="K36" s="75"/>
    </row>
    <row r="37" spans="1:11" ht="21.95" customHeight="1">
      <c r="A37" s="71"/>
      <c r="B37" s="71"/>
      <c r="C37" s="71"/>
      <c r="D37" s="75"/>
      <c r="E37" s="75"/>
      <c r="F37" s="75"/>
      <c r="G37" s="75"/>
      <c r="H37" s="75"/>
      <c r="I37" s="75"/>
      <c r="J37" s="75"/>
      <c r="K37" s="75"/>
    </row>
    <row r="38" spans="1:11" ht="21.95" customHeight="1">
      <c r="A38" s="71"/>
      <c r="B38" s="71"/>
      <c r="C38" s="71"/>
      <c r="D38" s="75"/>
      <c r="E38" s="75"/>
      <c r="F38" s="75"/>
      <c r="G38" s="75"/>
      <c r="H38" s="75"/>
      <c r="I38" s="75"/>
      <c r="J38" s="75"/>
      <c r="K38" s="75"/>
    </row>
    <row r="39" spans="1:11" ht="21.95" customHeight="1">
      <c r="A39" s="71"/>
      <c r="B39" s="71"/>
      <c r="C39" s="71"/>
      <c r="D39" s="75"/>
      <c r="E39" s="75"/>
      <c r="F39" s="75"/>
      <c r="G39" s="75"/>
      <c r="H39" s="75"/>
      <c r="I39" s="75"/>
      <c r="J39" s="75"/>
      <c r="K39" s="75"/>
    </row>
    <row r="40" spans="1:11" ht="21.95" customHeight="1">
      <c r="A40" s="71"/>
      <c r="B40" s="71"/>
      <c r="C40" s="71"/>
      <c r="D40" s="75"/>
      <c r="E40" s="75"/>
      <c r="F40" s="75"/>
      <c r="G40" s="75"/>
      <c r="H40" s="75"/>
      <c r="I40" s="75"/>
      <c r="J40" s="75"/>
      <c r="K40" s="75"/>
    </row>
  </sheetData>
  <phoneticPr fontId="12"/>
  <conditionalFormatting sqref="D6:K11">
    <cfRule type="expression" dxfId="8" priority="1">
      <formula>AND(ISNUMBER(D6),ABS(D6)&gt;5)</formula>
    </cfRule>
  </conditionalFormatting>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141"/>
  <sheetViews>
    <sheetView workbookViewId="0">
      <pane ySplit="4" topLeftCell="A5" activePane="bottomLeft" state="frozen"/>
      <selection pane="bottomLeft"/>
    </sheetView>
  </sheetViews>
  <sheetFormatPr defaultRowHeight="14.25"/>
  <cols>
    <col min="1" max="1" width="2" customWidth="1"/>
    <col min="2" max="2" width="7" customWidth="1"/>
    <col min="3" max="3" width="14" customWidth="1"/>
    <col min="4" max="4" width="8" customWidth="1"/>
    <col min="5" max="5" width="20" customWidth="1"/>
    <col min="6" max="6" width="40" customWidth="1"/>
    <col min="7" max="8" width="11" customWidth="1"/>
    <col min="9" max="9" width="8" customWidth="1"/>
    <col min="10" max="10" width="40" customWidth="1"/>
    <col min="11" max="11" width="50" customWidth="1"/>
  </cols>
  <sheetData>
    <row r="1" spans="2:11" ht="21.95" customHeight="1">
      <c r="B1" s="94" t="s">
        <v>2571</v>
      </c>
    </row>
    <row r="2" spans="2:11" ht="16.5">
      <c r="B2" s="86" t="s">
        <v>2572</v>
      </c>
    </row>
    <row r="4" spans="2:11" ht="16.5">
      <c r="B4" s="12" t="s">
        <v>2573</v>
      </c>
      <c r="C4" s="12" t="s">
        <v>2574</v>
      </c>
      <c r="D4" s="12" t="s">
        <v>2575</v>
      </c>
      <c r="E4" s="12" t="s">
        <v>2576</v>
      </c>
      <c r="F4" s="12" t="s">
        <v>2577</v>
      </c>
      <c r="G4" s="12" t="s">
        <v>2578</v>
      </c>
      <c r="H4" s="12" t="s">
        <v>2579</v>
      </c>
      <c r="I4" s="12" t="s">
        <v>2580</v>
      </c>
      <c r="J4" s="12" t="s">
        <v>2581</v>
      </c>
      <c r="K4" s="12" t="s">
        <v>2582</v>
      </c>
    </row>
    <row r="5" spans="2:11" ht="15" customHeight="1">
      <c r="B5" s="81" t="s">
        <v>2583</v>
      </c>
      <c r="C5" s="86" t="s">
        <v>2584</v>
      </c>
      <c r="D5" s="86" t="s">
        <v>2585</v>
      </c>
      <c r="E5" s="14" t="s">
        <v>2586</v>
      </c>
      <c r="F5" s="14" t="s">
        <v>2587</v>
      </c>
      <c r="G5" s="86" t="s">
        <v>2282</v>
      </c>
      <c r="H5" s="86" t="s">
        <v>5</v>
      </c>
      <c r="I5" s="86" t="s">
        <v>2588</v>
      </c>
      <c r="J5" s="137" t="s">
        <v>2589</v>
      </c>
      <c r="K5" s="14"/>
    </row>
    <row r="6" spans="2:11" ht="15" customHeight="1">
      <c r="B6" s="81" t="s">
        <v>2590</v>
      </c>
      <c r="C6" s="86" t="s">
        <v>2584</v>
      </c>
      <c r="D6" s="86" t="s">
        <v>2585</v>
      </c>
      <c r="E6" s="14" t="s">
        <v>2586</v>
      </c>
      <c r="F6" s="14" t="s">
        <v>2591</v>
      </c>
      <c r="G6" s="86" t="s">
        <v>2220</v>
      </c>
      <c r="H6" s="86" t="s">
        <v>5</v>
      </c>
      <c r="I6" s="86" t="s">
        <v>2592</v>
      </c>
      <c r="J6" s="137" t="s">
        <v>2593</v>
      </c>
      <c r="K6" s="14"/>
    </row>
    <row r="7" spans="2:11" ht="15" customHeight="1">
      <c r="B7" s="81" t="s">
        <v>2594</v>
      </c>
      <c r="C7" s="86" t="s">
        <v>245</v>
      </c>
      <c r="D7" s="86" t="s">
        <v>2585</v>
      </c>
      <c r="E7" s="14" t="s">
        <v>2595</v>
      </c>
      <c r="F7" s="14" t="s">
        <v>2596</v>
      </c>
      <c r="G7" s="86" t="s">
        <v>5</v>
      </c>
      <c r="H7" s="86" t="s">
        <v>5</v>
      </c>
      <c r="I7" s="86" t="s">
        <v>2597</v>
      </c>
      <c r="J7" s="137" t="s">
        <v>2598</v>
      </c>
      <c r="K7" s="14"/>
    </row>
    <row r="8" spans="2:11" ht="15" customHeight="1">
      <c r="B8" s="81" t="s">
        <v>2599</v>
      </c>
      <c r="C8" s="86" t="s">
        <v>2584</v>
      </c>
      <c r="D8" s="86" t="s">
        <v>2585</v>
      </c>
      <c r="E8" s="14" t="s">
        <v>2600</v>
      </c>
      <c r="F8" s="14" t="s">
        <v>2601</v>
      </c>
      <c r="G8" s="86" t="s">
        <v>2220</v>
      </c>
      <c r="H8" s="86" t="s">
        <v>5</v>
      </c>
      <c r="I8" s="86" t="s">
        <v>2602</v>
      </c>
      <c r="J8" s="137" t="s">
        <v>2603</v>
      </c>
      <c r="K8" s="14"/>
    </row>
    <row r="9" spans="2:11" ht="15" customHeight="1">
      <c r="B9" s="81" t="s">
        <v>73</v>
      </c>
      <c r="C9" s="86" t="s">
        <v>2604</v>
      </c>
      <c r="D9" s="86" t="s">
        <v>2585</v>
      </c>
      <c r="E9" s="14" t="s">
        <v>2600</v>
      </c>
      <c r="F9" s="14" t="s">
        <v>2605</v>
      </c>
      <c r="G9" s="86" t="s">
        <v>2105</v>
      </c>
      <c r="H9" s="86" t="s">
        <v>5</v>
      </c>
      <c r="I9" s="86" t="s">
        <v>2606</v>
      </c>
      <c r="J9" s="137" t="s">
        <v>2488</v>
      </c>
      <c r="K9" s="14" t="s">
        <v>2607</v>
      </c>
    </row>
    <row r="10" spans="2:11" ht="15" customHeight="1">
      <c r="B10" s="81" t="s">
        <v>90</v>
      </c>
      <c r="C10" s="86" t="s">
        <v>2584</v>
      </c>
      <c r="D10" s="86" t="s">
        <v>2585</v>
      </c>
      <c r="E10" s="14" t="s">
        <v>2600</v>
      </c>
      <c r="F10" s="14" t="s">
        <v>2608</v>
      </c>
      <c r="G10" s="86" t="s">
        <v>2282</v>
      </c>
      <c r="H10" s="86" t="s">
        <v>5</v>
      </c>
      <c r="I10" s="86" t="s">
        <v>2609</v>
      </c>
      <c r="J10" s="137" t="s">
        <v>2589</v>
      </c>
      <c r="K10" s="14"/>
    </row>
    <row r="11" spans="2:11" ht="15" customHeight="1">
      <c r="B11" s="81" t="s">
        <v>2610</v>
      </c>
      <c r="C11" s="86" t="s">
        <v>2584</v>
      </c>
      <c r="D11" s="86" t="s">
        <v>2585</v>
      </c>
      <c r="E11" s="14" t="s">
        <v>2600</v>
      </c>
      <c r="F11" s="14" t="s">
        <v>2611</v>
      </c>
      <c r="G11" s="86" t="s">
        <v>2220</v>
      </c>
      <c r="H11" s="86" t="s">
        <v>5</v>
      </c>
      <c r="I11" s="86" t="s">
        <v>2612</v>
      </c>
      <c r="J11" s="137" t="s">
        <v>2593</v>
      </c>
      <c r="K11" s="14"/>
    </row>
    <row r="12" spans="2:11" ht="15" customHeight="1">
      <c r="B12" s="81" t="s">
        <v>2613</v>
      </c>
      <c r="C12" s="86" t="s">
        <v>2584</v>
      </c>
      <c r="D12" s="86" t="s">
        <v>2585</v>
      </c>
      <c r="E12" s="14" t="s">
        <v>2600</v>
      </c>
      <c r="F12" s="14" t="s">
        <v>2614</v>
      </c>
      <c r="G12" s="86" t="s">
        <v>2258</v>
      </c>
      <c r="H12" s="86" t="s">
        <v>5</v>
      </c>
      <c r="I12" s="86" t="s">
        <v>2615</v>
      </c>
      <c r="J12" s="137" t="s">
        <v>2616</v>
      </c>
      <c r="K12" s="14"/>
    </row>
    <row r="13" spans="2:11" ht="15" customHeight="1">
      <c r="B13" s="81" t="s">
        <v>2617</v>
      </c>
      <c r="C13" s="86" t="s">
        <v>2584</v>
      </c>
      <c r="D13" s="86" t="s">
        <v>2585</v>
      </c>
      <c r="E13" s="14" t="s">
        <v>2618</v>
      </c>
      <c r="F13" s="14" t="s">
        <v>2619</v>
      </c>
      <c r="G13" s="86" t="s">
        <v>2103</v>
      </c>
      <c r="H13" s="86" t="s">
        <v>5</v>
      </c>
      <c r="I13" s="86" t="s">
        <v>2620</v>
      </c>
      <c r="J13" s="137" t="s">
        <v>2621</v>
      </c>
      <c r="K13" s="14"/>
    </row>
    <row r="14" spans="2:11" ht="15" customHeight="1">
      <c r="B14" s="81" t="s">
        <v>2622</v>
      </c>
      <c r="C14" s="86" t="s">
        <v>2623</v>
      </c>
      <c r="D14" s="86" t="s">
        <v>2624</v>
      </c>
      <c r="E14" s="14" t="s">
        <v>2625</v>
      </c>
      <c r="F14" s="14" t="s">
        <v>2626</v>
      </c>
      <c r="G14" s="86" t="s">
        <v>2282</v>
      </c>
      <c r="H14" s="86" t="s">
        <v>5</v>
      </c>
      <c r="I14" s="86" t="s">
        <v>2627</v>
      </c>
      <c r="J14" s="137" t="s">
        <v>2628</v>
      </c>
      <c r="K14" s="14"/>
    </row>
    <row r="15" spans="2:11" ht="15" customHeight="1">
      <c r="B15" s="81" t="s">
        <v>2629</v>
      </c>
      <c r="C15" s="86" t="s">
        <v>2623</v>
      </c>
      <c r="D15" s="86" t="s">
        <v>2624</v>
      </c>
      <c r="E15" s="14" t="s">
        <v>2630</v>
      </c>
      <c r="F15" s="14" t="s">
        <v>2631</v>
      </c>
      <c r="G15" s="86" t="s">
        <v>2179</v>
      </c>
      <c r="H15" s="86" t="s">
        <v>5</v>
      </c>
      <c r="I15" s="86" t="s">
        <v>2632</v>
      </c>
      <c r="J15" s="137" t="s">
        <v>2633</v>
      </c>
      <c r="K15" s="14"/>
    </row>
    <row r="16" spans="2:11" ht="15" customHeight="1">
      <c r="B16" s="81" t="s">
        <v>2634</v>
      </c>
      <c r="C16" s="86" t="s">
        <v>2584</v>
      </c>
      <c r="D16" s="86" t="s">
        <v>2585</v>
      </c>
      <c r="E16" s="14" t="s">
        <v>2600</v>
      </c>
      <c r="F16" s="14" t="s">
        <v>2635</v>
      </c>
      <c r="G16" s="86" t="s">
        <v>2282</v>
      </c>
      <c r="H16" s="86" t="s">
        <v>5</v>
      </c>
      <c r="I16" s="86" t="s">
        <v>2636</v>
      </c>
      <c r="J16" s="137" t="s">
        <v>2637</v>
      </c>
      <c r="K16" s="14"/>
    </row>
    <row r="17" spans="2:11" ht="15" customHeight="1">
      <c r="B17" s="81" t="s">
        <v>2638</v>
      </c>
      <c r="C17" s="86" t="s">
        <v>2584</v>
      </c>
      <c r="D17" s="86" t="s">
        <v>2585</v>
      </c>
      <c r="E17" s="14" t="s">
        <v>2639</v>
      </c>
      <c r="F17" s="14" t="s">
        <v>2640</v>
      </c>
      <c r="G17" s="86" t="s">
        <v>2238</v>
      </c>
      <c r="H17" s="86" t="s">
        <v>5</v>
      </c>
      <c r="I17" s="86" t="s">
        <v>2641</v>
      </c>
      <c r="J17" s="137" t="s">
        <v>2642</v>
      </c>
      <c r="K17" s="14"/>
    </row>
    <row r="18" spans="2:11" ht="15" customHeight="1">
      <c r="B18" s="81" t="s">
        <v>2643</v>
      </c>
      <c r="C18" s="86" t="s">
        <v>2584</v>
      </c>
      <c r="D18" s="86" t="s">
        <v>2585</v>
      </c>
      <c r="E18" s="14" t="s">
        <v>2644</v>
      </c>
      <c r="F18" s="14" t="s">
        <v>2645</v>
      </c>
      <c r="G18" s="86" t="s">
        <v>287</v>
      </c>
      <c r="H18" s="86" t="s">
        <v>5</v>
      </c>
      <c r="I18" s="86" t="s">
        <v>2646</v>
      </c>
      <c r="J18" s="137" t="s">
        <v>2647</v>
      </c>
      <c r="K18" s="14"/>
    </row>
    <row r="19" spans="2:11" ht="15" customHeight="1">
      <c r="B19" s="81" t="s">
        <v>2648</v>
      </c>
      <c r="C19" s="86" t="s">
        <v>2584</v>
      </c>
      <c r="D19" s="86" t="s">
        <v>2624</v>
      </c>
      <c r="E19" s="14" t="s">
        <v>2649</v>
      </c>
      <c r="F19" s="14" t="s">
        <v>2650</v>
      </c>
      <c r="G19" s="86" t="s">
        <v>1084</v>
      </c>
      <c r="H19" s="86" t="s">
        <v>5</v>
      </c>
      <c r="I19" s="86" t="s">
        <v>2651</v>
      </c>
      <c r="J19" s="137" t="s">
        <v>2652</v>
      </c>
      <c r="K19" s="14"/>
    </row>
    <row r="20" spans="2:11" ht="15" customHeight="1">
      <c r="B20" s="81" t="s">
        <v>2653</v>
      </c>
      <c r="C20" s="86" t="s">
        <v>2584</v>
      </c>
      <c r="D20" s="86" t="s">
        <v>2585</v>
      </c>
      <c r="E20" s="14" t="s">
        <v>2654</v>
      </c>
      <c r="F20" s="14" t="s">
        <v>2655</v>
      </c>
      <c r="G20" s="86" t="s">
        <v>2226</v>
      </c>
      <c r="H20" s="86" t="s">
        <v>5</v>
      </c>
      <c r="I20" s="86" t="s">
        <v>2656</v>
      </c>
      <c r="J20" s="137" t="s">
        <v>2657</v>
      </c>
      <c r="K20" s="14"/>
    </row>
    <row r="21" spans="2:11" ht="15" customHeight="1">
      <c r="B21" s="81" t="s">
        <v>2658</v>
      </c>
      <c r="C21" s="86" t="s">
        <v>2584</v>
      </c>
      <c r="D21" s="86" t="s">
        <v>2585</v>
      </c>
      <c r="E21" s="14" t="s">
        <v>2659</v>
      </c>
      <c r="F21" s="14" t="s">
        <v>2660</v>
      </c>
      <c r="G21" s="86" t="s">
        <v>2219</v>
      </c>
      <c r="H21" s="86" t="s">
        <v>5</v>
      </c>
      <c r="I21" s="86" t="s">
        <v>2661</v>
      </c>
      <c r="J21" s="137" t="s">
        <v>2662</v>
      </c>
      <c r="K21" s="14"/>
    </row>
    <row r="22" spans="2:11" ht="15" customHeight="1">
      <c r="B22" s="81" t="s">
        <v>2663</v>
      </c>
      <c r="C22" s="86" t="s">
        <v>2584</v>
      </c>
      <c r="D22" s="86" t="s">
        <v>2585</v>
      </c>
      <c r="E22" s="14" t="s">
        <v>2664</v>
      </c>
      <c r="F22" s="14" t="s">
        <v>2665</v>
      </c>
      <c r="G22" s="86" t="s">
        <v>2224</v>
      </c>
      <c r="H22" s="86" t="s">
        <v>5</v>
      </c>
      <c r="I22" s="86" t="s">
        <v>2666</v>
      </c>
      <c r="J22" s="137" t="s">
        <v>2667</v>
      </c>
      <c r="K22" s="14"/>
    </row>
    <row r="23" spans="2:11" ht="15" customHeight="1">
      <c r="B23" s="81" t="s">
        <v>2668</v>
      </c>
      <c r="C23" s="86" t="s">
        <v>2669</v>
      </c>
      <c r="D23" s="86" t="s">
        <v>2624</v>
      </c>
      <c r="E23" s="14" t="s">
        <v>2670</v>
      </c>
      <c r="F23" s="14" t="s">
        <v>2671</v>
      </c>
      <c r="G23" s="86" t="s">
        <v>2282</v>
      </c>
      <c r="H23" s="86" t="s">
        <v>5</v>
      </c>
      <c r="I23" s="86" t="s">
        <v>2672</v>
      </c>
      <c r="J23" s="137" t="s">
        <v>2628</v>
      </c>
      <c r="K23" s="14"/>
    </row>
    <row r="24" spans="2:11" ht="15" customHeight="1">
      <c r="B24" s="81" t="s">
        <v>2673</v>
      </c>
      <c r="C24" s="86" t="s">
        <v>2623</v>
      </c>
      <c r="D24" s="86" t="s">
        <v>2624</v>
      </c>
      <c r="E24" s="14" t="s">
        <v>2674</v>
      </c>
      <c r="F24" s="14" t="s">
        <v>2675</v>
      </c>
      <c r="G24" s="86" t="s">
        <v>2234</v>
      </c>
      <c r="H24" s="86" t="s">
        <v>5</v>
      </c>
      <c r="I24" s="86"/>
      <c r="J24" s="137" t="s">
        <v>2676</v>
      </c>
      <c r="K24" s="14"/>
    </row>
    <row r="25" spans="2:11" ht="15" customHeight="1">
      <c r="B25" s="81" t="s">
        <v>2677</v>
      </c>
      <c r="C25" s="86" t="s">
        <v>245</v>
      </c>
      <c r="D25" s="86" t="s">
        <v>2624</v>
      </c>
      <c r="E25" s="14" t="s">
        <v>2678</v>
      </c>
      <c r="F25" s="14" t="s">
        <v>2679</v>
      </c>
      <c r="G25" s="86" t="s">
        <v>2680</v>
      </c>
      <c r="H25" s="86" t="s">
        <v>5</v>
      </c>
      <c r="I25" s="86"/>
      <c r="J25" s="137" t="s">
        <v>2681</v>
      </c>
      <c r="K25" s="14"/>
    </row>
    <row r="26" spans="2:11" ht="15" customHeight="1">
      <c r="B26" s="81" t="s">
        <v>2682</v>
      </c>
      <c r="C26" s="86" t="s">
        <v>2623</v>
      </c>
      <c r="D26" s="86" t="s">
        <v>2624</v>
      </c>
      <c r="E26" s="14" t="s">
        <v>2683</v>
      </c>
      <c r="F26" s="14" t="s">
        <v>2684</v>
      </c>
      <c r="G26" s="86" t="s">
        <v>2228</v>
      </c>
      <c r="H26" s="86" t="s">
        <v>5</v>
      </c>
      <c r="I26" s="86"/>
      <c r="J26" s="137" t="s">
        <v>2685</v>
      </c>
      <c r="K26" s="14"/>
    </row>
    <row r="27" spans="2:11" ht="15" customHeight="1">
      <c r="B27" s="81" t="s">
        <v>2686</v>
      </c>
      <c r="C27" s="86" t="s">
        <v>2623</v>
      </c>
      <c r="D27" s="86" t="s">
        <v>2624</v>
      </c>
      <c r="E27" s="14" t="s">
        <v>2687</v>
      </c>
      <c r="F27" s="14" t="s">
        <v>2688</v>
      </c>
      <c r="G27" s="86" t="s">
        <v>2205</v>
      </c>
      <c r="H27" s="86" t="s">
        <v>5</v>
      </c>
      <c r="I27" s="86"/>
      <c r="J27" s="137" t="s">
        <v>2689</v>
      </c>
      <c r="K27" s="14"/>
    </row>
    <row r="28" spans="2:11" ht="15" customHeight="1">
      <c r="B28" s="81" t="s">
        <v>2690</v>
      </c>
      <c r="C28" s="86" t="s">
        <v>2623</v>
      </c>
      <c r="D28" s="86" t="s">
        <v>2624</v>
      </c>
      <c r="E28" s="14" t="s">
        <v>2691</v>
      </c>
      <c r="F28" s="14" t="s">
        <v>2692</v>
      </c>
      <c r="G28" s="86" t="s">
        <v>2224</v>
      </c>
      <c r="H28" s="86" t="s">
        <v>5</v>
      </c>
      <c r="I28" s="86"/>
      <c r="J28" s="137" t="s">
        <v>2693</v>
      </c>
      <c r="K28" s="14"/>
    </row>
    <row r="29" spans="2:11" ht="15" customHeight="1">
      <c r="B29" s="81" t="s">
        <v>2694</v>
      </c>
      <c r="C29" s="86" t="s">
        <v>2623</v>
      </c>
      <c r="D29" s="86" t="s">
        <v>2624</v>
      </c>
      <c r="E29" s="14" t="s">
        <v>2695</v>
      </c>
      <c r="F29" s="14" t="s">
        <v>2696</v>
      </c>
      <c r="G29" s="86" t="s">
        <v>2270</v>
      </c>
      <c r="H29" s="86" t="s">
        <v>5</v>
      </c>
      <c r="I29" s="86"/>
      <c r="J29" s="137" t="s">
        <v>2697</v>
      </c>
      <c r="K29" s="14"/>
    </row>
    <row r="30" spans="2:11" ht="15" customHeight="1">
      <c r="B30" s="81" t="s">
        <v>2698</v>
      </c>
      <c r="C30" s="86" t="s">
        <v>2699</v>
      </c>
      <c r="D30" s="86" t="s">
        <v>2624</v>
      </c>
      <c r="E30" s="14" t="s">
        <v>2700</v>
      </c>
      <c r="F30" s="14" t="s">
        <v>2701</v>
      </c>
      <c r="G30" s="86" t="s">
        <v>2702</v>
      </c>
      <c r="H30" s="86" t="s">
        <v>5</v>
      </c>
      <c r="I30" s="86"/>
      <c r="J30" s="137" t="s">
        <v>2703</v>
      </c>
      <c r="K30" s="14"/>
    </row>
    <row r="31" spans="2:11" ht="15" customHeight="1">
      <c r="B31" s="81" t="s">
        <v>2704</v>
      </c>
      <c r="C31" s="86" t="s">
        <v>245</v>
      </c>
      <c r="D31" s="86" t="s">
        <v>2624</v>
      </c>
      <c r="E31" s="14" t="s">
        <v>2705</v>
      </c>
      <c r="F31" s="14" t="s">
        <v>2706</v>
      </c>
      <c r="G31" s="86" t="s">
        <v>2707</v>
      </c>
      <c r="H31" s="86" t="s">
        <v>5</v>
      </c>
      <c r="I31" s="86" t="s">
        <v>2708</v>
      </c>
      <c r="J31" s="137" t="s">
        <v>2709</v>
      </c>
      <c r="K31" s="14"/>
    </row>
    <row r="32" spans="2:11" ht="15" customHeight="1">
      <c r="B32" s="81" t="s">
        <v>264</v>
      </c>
      <c r="C32" s="86" t="s">
        <v>245</v>
      </c>
      <c r="D32" s="86" t="s">
        <v>2585</v>
      </c>
      <c r="E32" s="14" t="s">
        <v>2710</v>
      </c>
      <c r="F32" s="14" t="s">
        <v>2711</v>
      </c>
      <c r="G32" s="86" t="s">
        <v>2712</v>
      </c>
      <c r="H32" s="86" t="s">
        <v>5</v>
      </c>
      <c r="I32" s="86" t="s">
        <v>2713</v>
      </c>
      <c r="J32" s="137" t="s">
        <v>2714</v>
      </c>
      <c r="K32" s="14"/>
    </row>
    <row r="33" spans="2:11" ht="15" customHeight="1">
      <c r="B33" s="81" t="s">
        <v>274</v>
      </c>
      <c r="C33" s="86" t="s">
        <v>245</v>
      </c>
      <c r="D33" s="86" t="s">
        <v>2585</v>
      </c>
      <c r="E33" s="14" t="s">
        <v>2710</v>
      </c>
      <c r="F33" s="14" t="s">
        <v>2715</v>
      </c>
      <c r="G33" s="86" t="s">
        <v>1034</v>
      </c>
      <c r="H33" s="86" t="s">
        <v>5</v>
      </c>
      <c r="I33" s="86" t="s">
        <v>2713</v>
      </c>
      <c r="J33" s="137" t="s">
        <v>2716</v>
      </c>
      <c r="K33" s="14"/>
    </row>
    <row r="34" spans="2:11" ht="15" customHeight="1">
      <c r="B34" s="81" t="s">
        <v>277</v>
      </c>
      <c r="C34" s="86" t="s">
        <v>245</v>
      </c>
      <c r="D34" s="86" t="s">
        <v>2585</v>
      </c>
      <c r="E34" s="14" t="s">
        <v>2710</v>
      </c>
      <c r="F34" s="14" t="s">
        <v>2717</v>
      </c>
      <c r="G34" s="86" t="s">
        <v>1341</v>
      </c>
      <c r="H34" s="86" t="s">
        <v>5</v>
      </c>
      <c r="I34" s="86" t="s">
        <v>2713</v>
      </c>
      <c r="J34" s="137" t="s">
        <v>2718</v>
      </c>
      <c r="K34" s="14"/>
    </row>
    <row r="35" spans="2:11" ht="15" customHeight="1">
      <c r="B35" s="81" t="s">
        <v>280</v>
      </c>
      <c r="C35" s="86" t="s">
        <v>245</v>
      </c>
      <c r="D35" s="86" t="s">
        <v>2585</v>
      </c>
      <c r="E35" s="14" t="s">
        <v>2710</v>
      </c>
      <c r="F35" s="14" t="s">
        <v>2719</v>
      </c>
      <c r="G35" s="86" t="s">
        <v>2028</v>
      </c>
      <c r="H35" s="86" t="s">
        <v>5</v>
      </c>
      <c r="I35" s="86" t="s">
        <v>2713</v>
      </c>
      <c r="J35" s="137" t="s">
        <v>2720</v>
      </c>
      <c r="K35" s="14"/>
    </row>
    <row r="36" spans="2:11" ht="15" customHeight="1">
      <c r="B36" s="81" t="s">
        <v>2721</v>
      </c>
      <c r="C36" s="86" t="s">
        <v>245</v>
      </c>
      <c r="D36" s="86" t="s">
        <v>2585</v>
      </c>
      <c r="E36" s="14" t="s">
        <v>2710</v>
      </c>
      <c r="F36" s="14" t="s">
        <v>2722</v>
      </c>
      <c r="G36" s="86" t="s">
        <v>2184</v>
      </c>
      <c r="H36" s="86" t="s">
        <v>5</v>
      </c>
      <c r="I36" s="86" t="s">
        <v>2713</v>
      </c>
      <c r="J36" s="137" t="s">
        <v>2723</v>
      </c>
      <c r="K36" s="14"/>
    </row>
    <row r="37" spans="2:11" ht="15" customHeight="1">
      <c r="B37" s="81" t="s">
        <v>2724</v>
      </c>
      <c r="C37" s="86" t="s">
        <v>245</v>
      </c>
      <c r="D37" s="86" t="s">
        <v>2585</v>
      </c>
      <c r="E37" s="14" t="s">
        <v>2710</v>
      </c>
      <c r="F37" s="14" t="s">
        <v>2725</v>
      </c>
      <c r="G37" s="86" t="s">
        <v>2137</v>
      </c>
      <c r="H37" s="86" t="s">
        <v>5</v>
      </c>
      <c r="I37" s="86" t="s">
        <v>2713</v>
      </c>
      <c r="J37" s="137" t="s">
        <v>2726</v>
      </c>
      <c r="K37" s="14"/>
    </row>
    <row r="38" spans="2:11" ht="15" customHeight="1">
      <c r="B38" s="81" t="s">
        <v>267</v>
      </c>
      <c r="C38" s="86" t="s">
        <v>245</v>
      </c>
      <c r="D38" s="86" t="s">
        <v>2585</v>
      </c>
      <c r="E38" s="14" t="s">
        <v>2710</v>
      </c>
      <c r="F38" s="14" t="s">
        <v>2727</v>
      </c>
      <c r="G38" s="86" t="s">
        <v>2122</v>
      </c>
      <c r="H38" s="86" t="s">
        <v>5</v>
      </c>
      <c r="I38" s="86" t="s">
        <v>2728</v>
      </c>
      <c r="J38" s="137" t="s">
        <v>2729</v>
      </c>
      <c r="K38" s="14"/>
    </row>
    <row r="39" spans="2:11" ht="15" customHeight="1">
      <c r="B39" s="81" t="s">
        <v>286</v>
      </c>
      <c r="C39" s="86" t="s">
        <v>245</v>
      </c>
      <c r="D39" s="86" t="s">
        <v>2585</v>
      </c>
      <c r="E39" s="14" t="s">
        <v>2710</v>
      </c>
      <c r="F39" s="14" t="s">
        <v>2730</v>
      </c>
      <c r="G39" s="86" t="s">
        <v>2153</v>
      </c>
      <c r="H39" s="86" t="s">
        <v>5</v>
      </c>
      <c r="I39" s="86" t="s">
        <v>2731</v>
      </c>
      <c r="J39" s="137" t="s">
        <v>2732</v>
      </c>
      <c r="K39" s="14"/>
    </row>
    <row r="40" spans="2:11" ht="15" customHeight="1">
      <c r="B40" s="81" t="s">
        <v>2733</v>
      </c>
      <c r="C40" s="86" t="s">
        <v>2604</v>
      </c>
      <c r="D40" s="86" t="s">
        <v>2585</v>
      </c>
      <c r="E40" s="14" t="s">
        <v>2710</v>
      </c>
      <c r="F40" s="14" t="s">
        <v>2734</v>
      </c>
      <c r="G40" s="86" t="s">
        <v>2105</v>
      </c>
      <c r="H40" s="86" t="s">
        <v>5</v>
      </c>
      <c r="I40" s="86" t="s">
        <v>2735</v>
      </c>
      <c r="J40" s="137" t="s">
        <v>2488</v>
      </c>
      <c r="K40" s="14"/>
    </row>
    <row r="41" spans="2:11" ht="15" customHeight="1">
      <c r="B41" s="81" t="s">
        <v>2736</v>
      </c>
      <c r="C41" s="86" t="s">
        <v>2604</v>
      </c>
      <c r="D41" s="86" t="s">
        <v>2585</v>
      </c>
      <c r="E41" s="14" t="s">
        <v>2710</v>
      </c>
      <c r="F41" s="14" t="s">
        <v>2737</v>
      </c>
      <c r="G41" s="86" t="s">
        <v>1860</v>
      </c>
      <c r="H41" s="86" t="s">
        <v>5</v>
      </c>
      <c r="I41" s="86" t="s">
        <v>2738</v>
      </c>
      <c r="J41" s="137" t="s">
        <v>2487</v>
      </c>
      <c r="K41" s="14"/>
    </row>
    <row r="42" spans="2:11" ht="15" customHeight="1">
      <c r="B42" s="81" t="s">
        <v>2739</v>
      </c>
      <c r="C42" s="86" t="s">
        <v>2604</v>
      </c>
      <c r="D42" s="86" t="s">
        <v>2585</v>
      </c>
      <c r="E42" s="14" t="s">
        <v>2710</v>
      </c>
      <c r="F42" s="14" t="s">
        <v>2740</v>
      </c>
      <c r="G42" s="86" t="s">
        <v>1101</v>
      </c>
      <c r="H42" s="86" t="s">
        <v>5</v>
      </c>
      <c r="I42" s="86" t="s">
        <v>2741</v>
      </c>
      <c r="J42" s="137" t="s">
        <v>2742</v>
      </c>
      <c r="K42" s="14"/>
    </row>
    <row r="43" spans="2:11" ht="15" customHeight="1">
      <c r="B43" s="81" t="s">
        <v>2743</v>
      </c>
      <c r="C43" s="86" t="s">
        <v>2584</v>
      </c>
      <c r="D43" s="86" t="s">
        <v>2585</v>
      </c>
      <c r="E43" s="14" t="s">
        <v>2710</v>
      </c>
      <c r="F43" s="14" t="s">
        <v>2744</v>
      </c>
      <c r="G43" s="86" t="s">
        <v>2282</v>
      </c>
      <c r="H43" s="86" t="s">
        <v>5</v>
      </c>
      <c r="I43" s="86" t="s">
        <v>2609</v>
      </c>
      <c r="J43" s="137" t="s">
        <v>2589</v>
      </c>
      <c r="K43" s="14"/>
    </row>
    <row r="44" spans="2:11" ht="15" customHeight="1">
      <c r="B44" s="81" t="s">
        <v>2745</v>
      </c>
      <c r="C44" s="86" t="s">
        <v>2584</v>
      </c>
      <c r="D44" s="86" t="s">
        <v>2585</v>
      </c>
      <c r="E44" s="14" t="s">
        <v>2710</v>
      </c>
      <c r="F44" s="14" t="s">
        <v>2746</v>
      </c>
      <c r="G44" s="86" t="s">
        <v>2218</v>
      </c>
      <c r="H44" s="86" t="s">
        <v>5</v>
      </c>
      <c r="I44" s="86" t="s">
        <v>2615</v>
      </c>
      <c r="J44" s="137" t="s">
        <v>2747</v>
      </c>
      <c r="K44" s="14"/>
    </row>
    <row r="45" spans="2:11" ht="15" customHeight="1">
      <c r="B45" s="81" t="s">
        <v>2748</v>
      </c>
      <c r="C45" s="86" t="s">
        <v>2584</v>
      </c>
      <c r="D45" s="86" t="s">
        <v>2585</v>
      </c>
      <c r="E45" s="14" t="s">
        <v>2710</v>
      </c>
      <c r="F45" s="14" t="s">
        <v>2749</v>
      </c>
      <c r="G45" s="86" t="s">
        <v>2156</v>
      </c>
      <c r="H45" s="86" t="s">
        <v>5</v>
      </c>
      <c r="I45" s="86" t="s">
        <v>2615</v>
      </c>
      <c r="J45" s="137" t="s">
        <v>2750</v>
      </c>
      <c r="K45" s="14"/>
    </row>
    <row r="46" spans="2:11" ht="15" customHeight="1">
      <c r="B46" s="81" t="s">
        <v>2751</v>
      </c>
      <c r="C46" s="86" t="s">
        <v>2584</v>
      </c>
      <c r="D46" s="86" t="s">
        <v>2585</v>
      </c>
      <c r="E46" s="14" t="s">
        <v>2710</v>
      </c>
      <c r="F46" s="14" t="s">
        <v>2752</v>
      </c>
      <c r="G46" s="86" t="s">
        <v>2097</v>
      </c>
      <c r="H46" s="86" t="s">
        <v>5</v>
      </c>
      <c r="I46" s="86" t="s">
        <v>2615</v>
      </c>
      <c r="J46" s="137" t="s">
        <v>2753</v>
      </c>
      <c r="K46" s="14"/>
    </row>
    <row r="47" spans="2:11" ht="15" customHeight="1">
      <c r="B47" s="81" t="s">
        <v>2754</v>
      </c>
      <c r="C47" s="86" t="s">
        <v>2584</v>
      </c>
      <c r="D47" s="86" t="s">
        <v>2585</v>
      </c>
      <c r="E47" s="14" t="s">
        <v>2710</v>
      </c>
      <c r="F47" s="14" t="s">
        <v>2755</v>
      </c>
      <c r="G47" s="86" t="s">
        <v>2031</v>
      </c>
      <c r="H47" s="86" t="s">
        <v>5</v>
      </c>
      <c r="I47" s="86" t="s">
        <v>2615</v>
      </c>
      <c r="J47" s="137" t="s">
        <v>2756</v>
      </c>
      <c r="K47" s="14"/>
    </row>
    <row r="48" spans="2:11" ht="15" customHeight="1">
      <c r="B48" s="81" t="s">
        <v>2757</v>
      </c>
      <c r="C48" s="86" t="s">
        <v>2584</v>
      </c>
      <c r="D48" s="86" t="s">
        <v>2585</v>
      </c>
      <c r="E48" s="14" t="s">
        <v>2710</v>
      </c>
      <c r="F48" s="14" t="s">
        <v>2758</v>
      </c>
      <c r="G48" s="86" t="s">
        <v>1967</v>
      </c>
      <c r="H48" s="86" t="s">
        <v>5</v>
      </c>
      <c r="I48" s="86" t="s">
        <v>2615</v>
      </c>
      <c r="J48" s="137" t="s">
        <v>2759</v>
      </c>
      <c r="K48" s="14"/>
    </row>
    <row r="49" spans="2:11" ht="15" customHeight="1">
      <c r="B49" s="81" t="s">
        <v>2760</v>
      </c>
      <c r="C49" s="86" t="s">
        <v>2604</v>
      </c>
      <c r="D49" s="86" t="s">
        <v>2585</v>
      </c>
      <c r="E49" s="14" t="s">
        <v>2761</v>
      </c>
      <c r="F49" s="14" t="s">
        <v>2762</v>
      </c>
      <c r="G49" s="86" t="s">
        <v>5</v>
      </c>
      <c r="H49" s="86" t="s">
        <v>5</v>
      </c>
      <c r="I49" s="86" t="s">
        <v>2763</v>
      </c>
      <c r="J49" s="137" t="s">
        <v>2764</v>
      </c>
      <c r="K49" s="14"/>
    </row>
    <row r="50" spans="2:11" ht="15" customHeight="1">
      <c r="B50" s="81" t="s">
        <v>2765</v>
      </c>
      <c r="C50" s="86" t="s">
        <v>2623</v>
      </c>
      <c r="D50" s="86" t="s">
        <v>2624</v>
      </c>
      <c r="E50" s="14" t="s">
        <v>2766</v>
      </c>
      <c r="F50" s="14" t="s">
        <v>2767</v>
      </c>
      <c r="G50" s="86" t="s">
        <v>2117</v>
      </c>
      <c r="H50" s="86" t="s">
        <v>5</v>
      </c>
      <c r="I50" s="86"/>
      <c r="J50" s="137" t="s">
        <v>2768</v>
      </c>
      <c r="K50" s="14"/>
    </row>
    <row r="51" spans="2:11" ht="15" customHeight="1">
      <c r="B51" s="81" t="s">
        <v>2769</v>
      </c>
      <c r="C51" s="86" t="s">
        <v>2623</v>
      </c>
      <c r="D51" s="86" t="s">
        <v>2624</v>
      </c>
      <c r="E51" s="14" t="s">
        <v>2770</v>
      </c>
      <c r="F51" s="14" t="s">
        <v>2771</v>
      </c>
      <c r="G51" s="86" t="s">
        <v>2772</v>
      </c>
      <c r="H51" s="86" t="s">
        <v>5</v>
      </c>
      <c r="I51" s="86"/>
      <c r="J51" s="137" t="s">
        <v>2773</v>
      </c>
      <c r="K51" s="14"/>
    </row>
    <row r="52" spans="2:11" ht="15" customHeight="1">
      <c r="B52" s="81" t="s">
        <v>283</v>
      </c>
      <c r="C52" s="86" t="s">
        <v>2584</v>
      </c>
      <c r="D52" s="86" t="s">
        <v>2585</v>
      </c>
      <c r="E52" s="14" t="s">
        <v>2710</v>
      </c>
      <c r="F52" s="14" t="s">
        <v>2774</v>
      </c>
      <c r="G52" s="86" t="s">
        <v>2103</v>
      </c>
      <c r="H52" s="86" t="s">
        <v>5</v>
      </c>
      <c r="I52" s="86" t="s">
        <v>2615</v>
      </c>
      <c r="J52" s="137" t="s">
        <v>2621</v>
      </c>
      <c r="K52" s="14"/>
    </row>
    <row r="53" spans="2:11" ht="15" customHeight="1">
      <c r="B53" s="81" t="s">
        <v>2775</v>
      </c>
      <c r="C53" s="86" t="s">
        <v>2584</v>
      </c>
      <c r="D53" s="86" t="s">
        <v>2585</v>
      </c>
      <c r="E53" s="14" t="s">
        <v>2600</v>
      </c>
      <c r="F53" s="14" t="s">
        <v>2776</v>
      </c>
      <c r="G53" s="86" t="s">
        <v>2282</v>
      </c>
      <c r="H53" s="86" t="s">
        <v>5</v>
      </c>
      <c r="I53" s="86" t="s">
        <v>2777</v>
      </c>
      <c r="J53" s="137" t="s">
        <v>2637</v>
      </c>
      <c r="K53" s="14"/>
    </row>
    <row r="54" spans="2:11" ht="15" customHeight="1">
      <c r="B54" s="81" t="s">
        <v>2778</v>
      </c>
      <c r="C54" s="86" t="s">
        <v>2669</v>
      </c>
      <c r="D54" s="86" t="s">
        <v>2624</v>
      </c>
      <c r="E54" s="14" t="s">
        <v>2779</v>
      </c>
      <c r="F54" s="14" t="s">
        <v>2780</v>
      </c>
      <c r="G54" s="86" t="s">
        <v>2282</v>
      </c>
      <c r="H54" s="86" t="s">
        <v>5</v>
      </c>
      <c r="I54" s="86"/>
      <c r="J54" s="137" t="s">
        <v>2628</v>
      </c>
      <c r="K54" s="14"/>
    </row>
    <row r="55" spans="2:11" ht="15" customHeight="1">
      <c r="B55" s="81" t="s">
        <v>2781</v>
      </c>
      <c r="C55" s="86" t="s">
        <v>2623</v>
      </c>
      <c r="D55" s="86" t="s">
        <v>2624</v>
      </c>
      <c r="E55" s="14" t="s">
        <v>2782</v>
      </c>
      <c r="F55" s="14" t="s">
        <v>2783</v>
      </c>
      <c r="G55" s="86" t="s">
        <v>2282</v>
      </c>
      <c r="H55" s="86" t="s">
        <v>5</v>
      </c>
      <c r="I55" s="86"/>
      <c r="J55" s="137" t="s">
        <v>2784</v>
      </c>
      <c r="K55" s="14"/>
    </row>
    <row r="56" spans="2:11" ht="15" customHeight="1">
      <c r="B56" s="81" t="s">
        <v>2785</v>
      </c>
      <c r="C56" s="86" t="s">
        <v>245</v>
      </c>
      <c r="D56" s="86" t="s">
        <v>2624</v>
      </c>
      <c r="E56" s="14" t="s">
        <v>2782</v>
      </c>
      <c r="F56" s="14" t="s">
        <v>2786</v>
      </c>
      <c r="G56" s="86" t="s">
        <v>5</v>
      </c>
      <c r="H56" s="86" t="s">
        <v>5</v>
      </c>
      <c r="I56" s="86"/>
      <c r="J56" s="137" t="s">
        <v>2787</v>
      </c>
      <c r="K56" s="14"/>
    </row>
    <row r="57" spans="2:11" ht="15" customHeight="1">
      <c r="B57" s="81" t="s">
        <v>2788</v>
      </c>
      <c r="C57" s="86" t="s">
        <v>2584</v>
      </c>
      <c r="D57" s="86" t="s">
        <v>2585</v>
      </c>
      <c r="E57" s="14" t="s">
        <v>2600</v>
      </c>
      <c r="F57" s="14" t="s">
        <v>2789</v>
      </c>
      <c r="G57" s="86" t="s">
        <v>2220</v>
      </c>
      <c r="H57" s="86" t="s">
        <v>5</v>
      </c>
      <c r="I57" s="86" t="s">
        <v>2790</v>
      </c>
      <c r="J57" s="137" t="s">
        <v>2791</v>
      </c>
      <c r="K57" s="14"/>
    </row>
    <row r="58" spans="2:11" ht="15" customHeight="1">
      <c r="B58" s="81" t="s">
        <v>2792</v>
      </c>
      <c r="C58" s="86" t="s">
        <v>2584</v>
      </c>
      <c r="D58" s="86" t="s">
        <v>2585</v>
      </c>
      <c r="E58" s="14" t="s">
        <v>2600</v>
      </c>
      <c r="F58" s="14" t="s">
        <v>2793</v>
      </c>
      <c r="G58" s="86" t="s">
        <v>2258</v>
      </c>
      <c r="H58" s="86" t="s">
        <v>5</v>
      </c>
      <c r="I58" s="86"/>
      <c r="J58" s="137" t="s">
        <v>2616</v>
      </c>
      <c r="K58" s="14"/>
    </row>
    <row r="59" spans="2:11" ht="15" customHeight="1">
      <c r="B59" s="81" t="s">
        <v>2794</v>
      </c>
      <c r="C59" s="86" t="s">
        <v>2623</v>
      </c>
      <c r="D59" s="86" t="s">
        <v>2624</v>
      </c>
      <c r="E59" s="14" t="s">
        <v>2782</v>
      </c>
      <c r="F59" s="14" t="s">
        <v>2795</v>
      </c>
      <c r="G59" s="86" t="s">
        <v>2218</v>
      </c>
      <c r="H59" s="86" t="s">
        <v>5</v>
      </c>
      <c r="I59" s="86"/>
      <c r="J59" s="137" t="s">
        <v>2796</v>
      </c>
      <c r="K59" s="14"/>
    </row>
    <row r="60" spans="2:11" ht="15" customHeight="1">
      <c r="B60" s="81" t="s">
        <v>2797</v>
      </c>
      <c r="C60" s="86" t="s">
        <v>2623</v>
      </c>
      <c r="D60" s="86" t="s">
        <v>2624</v>
      </c>
      <c r="E60" s="14" t="s">
        <v>2798</v>
      </c>
      <c r="F60" s="14" t="s">
        <v>2799</v>
      </c>
      <c r="G60" s="86" t="s">
        <v>963</v>
      </c>
      <c r="H60" s="86" t="s">
        <v>5</v>
      </c>
      <c r="I60" s="86"/>
      <c r="J60" s="137" t="s">
        <v>2800</v>
      </c>
      <c r="K60" s="14"/>
    </row>
    <row r="61" spans="2:11" ht="15" customHeight="1">
      <c r="B61" s="81" t="s">
        <v>2801</v>
      </c>
      <c r="C61" s="86" t="s">
        <v>2623</v>
      </c>
      <c r="D61" s="86" t="s">
        <v>2624</v>
      </c>
      <c r="E61" s="14" t="s">
        <v>2802</v>
      </c>
      <c r="F61" s="14" t="s">
        <v>2803</v>
      </c>
      <c r="G61" s="86" t="s">
        <v>963</v>
      </c>
      <c r="H61" s="86" t="s">
        <v>5</v>
      </c>
      <c r="I61" s="86"/>
      <c r="J61" s="137" t="s">
        <v>2804</v>
      </c>
      <c r="K61" s="14"/>
    </row>
    <row r="62" spans="2:11" ht="15" customHeight="1">
      <c r="B62" s="81" t="s">
        <v>2805</v>
      </c>
      <c r="C62" s="86" t="s">
        <v>2623</v>
      </c>
      <c r="D62" s="86" t="s">
        <v>2624</v>
      </c>
      <c r="E62" s="14" t="s">
        <v>2806</v>
      </c>
      <c r="F62" s="14" t="s">
        <v>2807</v>
      </c>
      <c r="G62" s="86" t="s">
        <v>963</v>
      </c>
      <c r="H62" s="86" t="s">
        <v>5</v>
      </c>
      <c r="I62" s="86"/>
      <c r="J62" s="137" t="s">
        <v>2808</v>
      </c>
      <c r="K62" s="14"/>
    </row>
    <row r="63" spans="2:11" ht="15" customHeight="1">
      <c r="B63" s="81" t="s">
        <v>2809</v>
      </c>
      <c r="C63" s="86" t="s">
        <v>2623</v>
      </c>
      <c r="D63" s="86" t="s">
        <v>2624</v>
      </c>
      <c r="E63" s="14" t="s">
        <v>2810</v>
      </c>
      <c r="F63" s="14" t="s">
        <v>2811</v>
      </c>
      <c r="G63" s="86" t="s">
        <v>963</v>
      </c>
      <c r="H63" s="86" t="s">
        <v>5</v>
      </c>
      <c r="I63" s="86"/>
      <c r="J63" s="137" t="s">
        <v>2812</v>
      </c>
      <c r="K63" s="14"/>
    </row>
    <row r="64" spans="2:11" ht="15" customHeight="1">
      <c r="B64" s="81" t="s">
        <v>2813</v>
      </c>
      <c r="C64" s="86" t="s">
        <v>2623</v>
      </c>
      <c r="D64" s="86" t="s">
        <v>2624</v>
      </c>
      <c r="E64" s="14" t="s">
        <v>2814</v>
      </c>
      <c r="F64" s="14" t="s">
        <v>2815</v>
      </c>
      <c r="G64" s="86" t="s">
        <v>963</v>
      </c>
      <c r="H64" s="86" t="s">
        <v>5</v>
      </c>
      <c r="I64" s="86"/>
      <c r="J64" s="137" t="s">
        <v>2816</v>
      </c>
      <c r="K64" s="14"/>
    </row>
    <row r="65" spans="2:11" ht="15" customHeight="1">
      <c r="B65" s="81" t="s">
        <v>2817</v>
      </c>
      <c r="C65" s="86" t="s">
        <v>2623</v>
      </c>
      <c r="D65" s="86" t="s">
        <v>2624</v>
      </c>
      <c r="E65" s="14" t="s">
        <v>2818</v>
      </c>
      <c r="F65" s="14" t="s">
        <v>2819</v>
      </c>
      <c r="G65" s="86" t="s">
        <v>2178</v>
      </c>
      <c r="H65" s="86" t="s">
        <v>5</v>
      </c>
      <c r="I65" s="86"/>
      <c r="J65" s="137" t="s">
        <v>2820</v>
      </c>
      <c r="K65" s="14"/>
    </row>
    <row r="66" spans="2:11" ht="15" customHeight="1">
      <c r="B66" s="81" t="s">
        <v>2821</v>
      </c>
      <c r="C66" s="86" t="s">
        <v>2623</v>
      </c>
      <c r="D66" s="86" t="s">
        <v>2624</v>
      </c>
      <c r="E66" s="14" t="s">
        <v>2822</v>
      </c>
      <c r="F66" s="14" t="s">
        <v>2823</v>
      </c>
      <c r="G66" s="86" t="s">
        <v>2162</v>
      </c>
      <c r="H66" s="86" t="s">
        <v>5</v>
      </c>
      <c r="I66" s="86"/>
      <c r="J66" s="137" t="s">
        <v>2824</v>
      </c>
      <c r="K66" s="14"/>
    </row>
    <row r="67" spans="2:11" ht="15" customHeight="1">
      <c r="B67" s="81" t="s">
        <v>2825</v>
      </c>
      <c r="C67" s="86" t="s">
        <v>2623</v>
      </c>
      <c r="D67" s="86" t="s">
        <v>2624</v>
      </c>
      <c r="E67" s="14" t="s">
        <v>2826</v>
      </c>
      <c r="F67" s="14" t="s">
        <v>2827</v>
      </c>
      <c r="G67" s="86" t="s">
        <v>2828</v>
      </c>
      <c r="H67" s="86" t="s">
        <v>5</v>
      </c>
      <c r="I67" s="86"/>
      <c r="J67" s="137" t="s">
        <v>2829</v>
      </c>
      <c r="K67" s="14"/>
    </row>
    <row r="68" spans="2:11" ht="15" customHeight="1">
      <c r="B68" s="81" t="s">
        <v>2830</v>
      </c>
      <c r="C68" s="86" t="s">
        <v>2584</v>
      </c>
      <c r="D68" s="86" t="s">
        <v>2585</v>
      </c>
      <c r="E68" s="14" t="s">
        <v>2600</v>
      </c>
      <c r="F68" s="14" t="s">
        <v>2831</v>
      </c>
      <c r="G68" s="86" t="s">
        <v>2184</v>
      </c>
      <c r="H68" s="86" t="s">
        <v>5</v>
      </c>
      <c r="I68" s="86"/>
      <c r="J68" s="137" t="s">
        <v>2723</v>
      </c>
      <c r="K68" s="14"/>
    </row>
    <row r="69" spans="2:11" ht="15" customHeight="1">
      <c r="B69" s="81" t="s">
        <v>2832</v>
      </c>
      <c r="C69" s="86" t="s">
        <v>2604</v>
      </c>
      <c r="D69" s="86" t="s">
        <v>2585</v>
      </c>
      <c r="E69" s="14" t="s">
        <v>2600</v>
      </c>
      <c r="F69" s="14" t="s">
        <v>2833</v>
      </c>
      <c r="G69" s="86" t="s">
        <v>2122</v>
      </c>
      <c r="H69" s="86" t="s">
        <v>5</v>
      </c>
      <c r="I69" s="86" t="s">
        <v>2834</v>
      </c>
      <c r="J69" s="137" t="s">
        <v>2835</v>
      </c>
      <c r="K69" s="14"/>
    </row>
    <row r="70" spans="2:11" ht="15" customHeight="1">
      <c r="B70" s="81" t="s">
        <v>2836</v>
      </c>
      <c r="C70" s="86" t="s">
        <v>2623</v>
      </c>
      <c r="D70" s="86" t="s">
        <v>2624</v>
      </c>
      <c r="E70" s="14" t="s">
        <v>2779</v>
      </c>
      <c r="F70" s="14" t="s">
        <v>2837</v>
      </c>
      <c r="G70" s="86" t="s">
        <v>963</v>
      </c>
      <c r="H70" s="86" t="s">
        <v>5</v>
      </c>
      <c r="I70" s="86"/>
      <c r="J70" s="137" t="s">
        <v>2838</v>
      </c>
      <c r="K70" s="14"/>
    </row>
    <row r="71" spans="2:11" ht="15" customHeight="1">
      <c r="B71" s="81" t="s">
        <v>2839</v>
      </c>
      <c r="C71" s="86" t="s">
        <v>2623</v>
      </c>
      <c r="D71" s="86" t="s">
        <v>2624</v>
      </c>
      <c r="E71" s="14" t="s">
        <v>2814</v>
      </c>
      <c r="F71" s="14" t="s">
        <v>2840</v>
      </c>
      <c r="G71" s="86" t="s">
        <v>2219</v>
      </c>
      <c r="H71" s="86" t="s">
        <v>5</v>
      </c>
      <c r="I71" s="86"/>
      <c r="J71" s="137" t="s">
        <v>2841</v>
      </c>
      <c r="K71" s="14"/>
    </row>
    <row r="72" spans="2:11" ht="15" customHeight="1">
      <c r="B72" s="81" t="s">
        <v>2842</v>
      </c>
      <c r="C72" s="86" t="s">
        <v>245</v>
      </c>
      <c r="D72" s="86" t="s">
        <v>2624</v>
      </c>
      <c r="E72" s="14" t="s">
        <v>2843</v>
      </c>
      <c r="F72" s="14" t="s">
        <v>2844</v>
      </c>
      <c r="G72" s="86" t="s">
        <v>2278</v>
      </c>
      <c r="H72" s="86" t="s">
        <v>5</v>
      </c>
      <c r="I72" s="86"/>
      <c r="J72" s="137" t="s">
        <v>2845</v>
      </c>
      <c r="K72" s="14"/>
    </row>
    <row r="73" spans="2:11" ht="15" customHeight="1">
      <c r="B73" s="81" t="s">
        <v>2846</v>
      </c>
      <c r="C73" s="86" t="s">
        <v>2623</v>
      </c>
      <c r="D73" s="86" t="s">
        <v>2624</v>
      </c>
      <c r="E73" s="14" t="s">
        <v>2847</v>
      </c>
      <c r="F73" s="14" t="s">
        <v>2848</v>
      </c>
      <c r="G73" s="86" t="s">
        <v>1074</v>
      </c>
      <c r="H73" s="86" t="s">
        <v>5</v>
      </c>
      <c r="I73" s="86"/>
      <c r="J73" s="137" t="s">
        <v>2849</v>
      </c>
      <c r="K73" s="14"/>
    </row>
    <row r="74" spans="2:11" ht="15" customHeight="1">
      <c r="B74" s="81" t="s">
        <v>2850</v>
      </c>
      <c r="C74" s="86" t="s">
        <v>2851</v>
      </c>
      <c r="D74" s="86" t="s">
        <v>2585</v>
      </c>
      <c r="E74" s="14" t="s">
        <v>2852</v>
      </c>
      <c r="F74" s="14" t="s">
        <v>2853</v>
      </c>
      <c r="G74" s="86" t="s">
        <v>2184</v>
      </c>
      <c r="H74" s="86" t="s">
        <v>5</v>
      </c>
      <c r="I74" s="86" t="s">
        <v>2854</v>
      </c>
      <c r="J74" s="137" t="s">
        <v>2855</v>
      </c>
      <c r="K74" s="14"/>
    </row>
    <row r="75" spans="2:11" ht="15" customHeight="1">
      <c r="B75" s="81" t="s">
        <v>2856</v>
      </c>
      <c r="C75" s="86" t="s">
        <v>2851</v>
      </c>
      <c r="D75" s="86" t="s">
        <v>2585</v>
      </c>
      <c r="E75" s="14" t="s">
        <v>2857</v>
      </c>
      <c r="F75" s="14" t="s">
        <v>2858</v>
      </c>
      <c r="G75" s="86" t="s">
        <v>2184</v>
      </c>
      <c r="H75" s="86" t="s">
        <v>5</v>
      </c>
      <c r="I75" s="86" t="s">
        <v>2859</v>
      </c>
      <c r="J75" s="137" t="s">
        <v>2860</v>
      </c>
      <c r="K75" s="14"/>
    </row>
    <row r="76" spans="2:11" ht="15" customHeight="1">
      <c r="B76" s="81" t="s">
        <v>2861</v>
      </c>
      <c r="C76" s="86" t="s">
        <v>2851</v>
      </c>
      <c r="D76" s="86" t="s">
        <v>2624</v>
      </c>
      <c r="E76" s="14" t="s">
        <v>2862</v>
      </c>
      <c r="F76" s="14" t="s">
        <v>2863</v>
      </c>
      <c r="G76" s="86" t="s">
        <v>2270</v>
      </c>
      <c r="H76" s="86" t="s">
        <v>5</v>
      </c>
      <c r="I76" s="86"/>
      <c r="J76" s="137" t="s">
        <v>2864</v>
      </c>
      <c r="K76" s="14"/>
    </row>
    <row r="77" spans="2:11" ht="15" customHeight="1">
      <c r="B77" s="81" t="s">
        <v>475</v>
      </c>
      <c r="C77" s="86" t="s">
        <v>2865</v>
      </c>
      <c r="D77" s="86" t="s">
        <v>2585</v>
      </c>
      <c r="E77" s="14" t="s">
        <v>2866</v>
      </c>
      <c r="F77" s="14" t="s">
        <v>2867</v>
      </c>
      <c r="G77" s="86" t="s">
        <v>2268</v>
      </c>
      <c r="H77" s="86" t="s">
        <v>5</v>
      </c>
      <c r="I77" s="86" t="s">
        <v>2868</v>
      </c>
      <c r="J77" s="137" t="s">
        <v>2869</v>
      </c>
      <c r="K77" s="14"/>
    </row>
    <row r="78" spans="2:11" ht="15" customHeight="1">
      <c r="B78" s="81" t="s">
        <v>478</v>
      </c>
      <c r="C78" s="86" t="s">
        <v>2870</v>
      </c>
      <c r="D78" s="86" t="s">
        <v>2585</v>
      </c>
      <c r="E78" s="14" t="s">
        <v>2871</v>
      </c>
      <c r="F78" s="14" t="s">
        <v>2872</v>
      </c>
      <c r="G78" s="86" t="s">
        <v>2279</v>
      </c>
      <c r="H78" s="86" t="s">
        <v>5</v>
      </c>
      <c r="I78" s="86" t="s">
        <v>2873</v>
      </c>
      <c r="J78" s="137" t="s">
        <v>2874</v>
      </c>
      <c r="K78" s="14"/>
    </row>
    <row r="79" spans="2:11" ht="15" customHeight="1">
      <c r="B79" s="81" t="s">
        <v>2875</v>
      </c>
      <c r="C79" s="86" t="s">
        <v>2870</v>
      </c>
      <c r="D79" s="86" t="s">
        <v>2585</v>
      </c>
      <c r="E79" s="14" t="s">
        <v>2876</v>
      </c>
      <c r="F79" s="14" t="s">
        <v>2877</v>
      </c>
      <c r="G79" s="86" t="s">
        <v>1089</v>
      </c>
      <c r="H79" s="86" t="s">
        <v>5</v>
      </c>
      <c r="I79" s="86" t="s">
        <v>2873</v>
      </c>
      <c r="J79" s="137" t="s">
        <v>2878</v>
      </c>
      <c r="K79" s="14"/>
    </row>
    <row r="80" spans="2:11" ht="15" customHeight="1">
      <c r="B80" s="81" t="s">
        <v>2879</v>
      </c>
      <c r="C80" s="86" t="s">
        <v>2870</v>
      </c>
      <c r="D80" s="86" t="s">
        <v>2585</v>
      </c>
      <c r="E80" s="14" t="s">
        <v>2880</v>
      </c>
      <c r="F80" s="14" t="s">
        <v>2881</v>
      </c>
      <c r="G80" s="86" t="s">
        <v>2268</v>
      </c>
      <c r="H80" s="86" t="s">
        <v>5</v>
      </c>
      <c r="I80" s="86"/>
      <c r="J80" s="137" t="s">
        <v>2882</v>
      </c>
      <c r="K80" s="14"/>
    </row>
    <row r="81" spans="2:11" ht="15" customHeight="1">
      <c r="B81" s="81" t="s">
        <v>2883</v>
      </c>
      <c r="C81" s="86" t="s">
        <v>2623</v>
      </c>
      <c r="D81" s="86" t="s">
        <v>2624</v>
      </c>
      <c r="E81" s="14" t="s">
        <v>2884</v>
      </c>
      <c r="F81" s="14" t="s">
        <v>2885</v>
      </c>
      <c r="G81" s="86" t="s">
        <v>2275</v>
      </c>
      <c r="H81" s="86" t="s">
        <v>5</v>
      </c>
      <c r="I81" s="86"/>
      <c r="J81" s="137" t="s">
        <v>2886</v>
      </c>
      <c r="K81" s="14"/>
    </row>
    <row r="82" spans="2:11" ht="15" customHeight="1">
      <c r="B82" s="81" t="s">
        <v>2887</v>
      </c>
      <c r="C82" s="86" t="s">
        <v>2584</v>
      </c>
      <c r="D82" s="86" t="s">
        <v>2585</v>
      </c>
      <c r="E82" s="14" t="s">
        <v>2888</v>
      </c>
      <c r="F82" s="14" t="s">
        <v>2889</v>
      </c>
      <c r="G82" s="86" t="s">
        <v>2282</v>
      </c>
      <c r="H82" s="86" t="s">
        <v>5</v>
      </c>
      <c r="I82" s="86" t="s">
        <v>2890</v>
      </c>
      <c r="J82" s="137" t="s">
        <v>2637</v>
      </c>
      <c r="K82" s="14"/>
    </row>
    <row r="83" spans="2:11" ht="15" customHeight="1">
      <c r="B83" s="81" t="s">
        <v>2891</v>
      </c>
      <c r="C83" s="86" t="s">
        <v>2604</v>
      </c>
      <c r="D83" s="86" t="s">
        <v>2585</v>
      </c>
      <c r="E83" s="14" t="s">
        <v>2888</v>
      </c>
      <c r="F83" s="14" t="s">
        <v>2892</v>
      </c>
      <c r="G83" s="86" t="s">
        <v>281</v>
      </c>
      <c r="H83" s="86" t="s">
        <v>5</v>
      </c>
      <c r="I83" s="86" t="s">
        <v>2893</v>
      </c>
      <c r="J83" s="137" t="s">
        <v>2894</v>
      </c>
      <c r="K83" s="14"/>
    </row>
    <row r="84" spans="2:11" ht="15" customHeight="1">
      <c r="B84" s="81" t="s">
        <v>2895</v>
      </c>
      <c r="C84" s="86" t="s">
        <v>2584</v>
      </c>
      <c r="D84" s="86" t="s">
        <v>2585</v>
      </c>
      <c r="E84" s="14" t="s">
        <v>2888</v>
      </c>
      <c r="F84" s="14" t="s">
        <v>2896</v>
      </c>
      <c r="G84" s="86" t="s">
        <v>1084</v>
      </c>
      <c r="H84" s="86" t="s">
        <v>5</v>
      </c>
      <c r="I84" s="86" t="s">
        <v>2897</v>
      </c>
      <c r="J84" s="137" t="s">
        <v>2603</v>
      </c>
      <c r="K84" s="14"/>
    </row>
    <row r="85" spans="2:11" ht="15" customHeight="1">
      <c r="B85" s="81" t="s">
        <v>2898</v>
      </c>
      <c r="C85" s="86" t="s">
        <v>2669</v>
      </c>
      <c r="D85" s="86" t="s">
        <v>2624</v>
      </c>
      <c r="E85" s="14" t="s">
        <v>2899</v>
      </c>
      <c r="F85" s="14" t="s">
        <v>2900</v>
      </c>
      <c r="G85" s="86" t="s">
        <v>2282</v>
      </c>
      <c r="H85" s="86" t="s">
        <v>5</v>
      </c>
      <c r="I85" s="86"/>
      <c r="J85" s="137" t="s">
        <v>2628</v>
      </c>
      <c r="K85" s="14"/>
    </row>
    <row r="86" spans="2:11" ht="15" customHeight="1">
      <c r="B86" s="81" t="s">
        <v>2901</v>
      </c>
      <c r="C86" s="86" t="s">
        <v>2584</v>
      </c>
      <c r="D86" s="86" t="s">
        <v>2585</v>
      </c>
      <c r="E86" s="14" t="s">
        <v>2902</v>
      </c>
      <c r="F86" s="14" t="s">
        <v>2903</v>
      </c>
      <c r="G86" s="86" t="s">
        <v>5</v>
      </c>
      <c r="H86" s="86" t="s">
        <v>5</v>
      </c>
      <c r="I86" s="86" t="s">
        <v>2904</v>
      </c>
      <c r="J86" s="137" t="s">
        <v>2905</v>
      </c>
      <c r="K86" s="14"/>
    </row>
    <row r="87" spans="2:11" ht="15" customHeight="1">
      <c r="B87" s="81" t="s">
        <v>481</v>
      </c>
      <c r="C87" s="86" t="s">
        <v>2584</v>
      </c>
      <c r="D87" s="86" t="s">
        <v>2585</v>
      </c>
      <c r="E87" s="14" t="s">
        <v>2906</v>
      </c>
      <c r="F87" s="14" t="s">
        <v>2907</v>
      </c>
      <c r="G87" s="86" t="s">
        <v>2222</v>
      </c>
      <c r="H87" s="86" t="s">
        <v>5</v>
      </c>
      <c r="I87" s="86" t="s">
        <v>2908</v>
      </c>
      <c r="J87" s="137" t="s">
        <v>2909</v>
      </c>
      <c r="K87" s="14"/>
    </row>
    <row r="88" spans="2:11" ht="30" customHeight="1">
      <c r="B88" s="81" t="s">
        <v>524</v>
      </c>
      <c r="C88" s="86" t="s">
        <v>2584</v>
      </c>
      <c r="D88" s="86" t="s">
        <v>2585</v>
      </c>
      <c r="E88" s="14" t="s">
        <v>2910</v>
      </c>
      <c r="F88" s="14" t="s">
        <v>2911</v>
      </c>
      <c r="G88" s="86" t="s">
        <v>2219</v>
      </c>
      <c r="H88" s="86" t="s">
        <v>5</v>
      </c>
      <c r="I88" s="86"/>
      <c r="J88" s="137" t="s">
        <v>2662</v>
      </c>
      <c r="K88" s="14" t="s">
        <v>2912</v>
      </c>
    </row>
    <row r="89" spans="2:11" ht="15" customHeight="1">
      <c r="B89" s="81" t="s">
        <v>2913</v>
      </c>
      <c r="C89" s="86" t="s">
        <v>2669</v>
      </c>
      <c r="D89" s="86" t="s">
        <v>2624</v>
      </c>
      <c r="E89" s="14" t="s">
        <v>2914</v>
      </c>
      <c r="F89" s="14" t="s">
        <v>2915</v>
      </c>
      <c r="G89" s="86" t="s">
        <v>2219</v>
      </c>
      <c r="H89" s="86" t="s">
        <v>5</v>
      </c>
      <c r="I89" s="86"/>
      <c r="J89" s="137" t="s">
        <v>2916</v>
      </c>
      <c r="K89" s="14"/>
    </row>
    <row r="90" spans="2:11" ht="15" customHeight="1">
      <c r="B90" s="81" t="s">
        <v>2917</v>
      </c>
      <c r="C90" s="86" t="s">
        <v>2669</v>
      </c>
      <c r="D90" s="86" t="s">
        <v>2624</v>
      </c>
      <c r="E90" s="14" t="s">
        <v>2918</v>
      </c>
      <c r="F90" s="14" t="s">
        <v>2919</v>
      </c>
      <c r="G90" s="86" t="s">
        <v>287</v>
      </c>
      <c r="H90" s="86" t="s">
        <v>5</v>
      </c>
      <c r="I90" s="86"/>
      <c r="J90" s="137" t="s">
        <v>2920</v>
      </c>
      <c r="K90" s="14"/>
    </row>
    <row r="91" spans="2:11" ht="15" customHeight="1">
      <c r="B91" s="81" t="s">
        <v>2921</v>
      </c>
      <c r="C91" s="86" t="s">
        <v>2699</v>
      </c>
      <c r="D91" s="86" t="s">
        <v>2624</v>
      </c>
      <c r="E91" s="14" t="s">
        <v>2922</v>
      </c>
      <c r="F91" s="14" t="s">
        <v>2923</v>
      </c>
      <c r="G91" s="86" t="s">
        <v>1185</v>
      </c>
      <c r="H91" s="86" t="s">
        <v>5</v>
      </c>
      <c r="I91" s="86"/>
      <c r="J91" s="137" t="s">
        <v>2924</v>
      </c>
      <c r="K91" s="14"/>
    </row>
    <row r="92" spans="2:11" ht="15" customHeight="1">
      <c r="B92" s="81" t="s">
        <v>2925</v>
      </c>
      <c r="C92" s="86" t="s">
        <v>2699</v>
      </c>
      <c r="D92" s="86" t="s">
        <v>2624</v>
      </c>
      <c r="E92" s="14" t="s">
        <v>2926</v>
      </c>
      <c r="F92" s="14" t="s">
        <v>2927</v>
      </c>
      <c r="G92" s="86" t="s">
        <v>2145</v>
      </c>
      <c r="H92" s="86" t="s">
        <v>5</v>
      </c>
      <c r="I92" s="86"/>
      <c r="J92" s="137" t="s">
        <v>2928</v>
      </c>
      <c r="K92" s="14"/>
    </row>
    <row r="93" spans="2:11" ht="15" customHeight="1">
      <c r="B93" s="81" t="s">
        <v>2929</v>
      </c>
      <c r="C93" s="86" t="s">
        <v>2699</v>
      </c>
      <c r="D93" s="86" t="s">
        <v>2624</v>
      </c>
      <c r="E93" s="14" t="s">
        <v>2930</v>
      </c>
      <c r="F93" s="14" t="s">
        <v>2931</v>
      </c>
      <c r="G93" s="86" t="s">
        <v>2932</v>
      </c>
      <c r="H93" s="86" t="s">
        <v>5</v>
      </c>
      <c r="I93" s="86"/>
      <c r="J93" s="137" t="s">
        <v>2933</v>
      </c>
      <c r="K93" s="14"/>
    </row>
    <row r="94" spans="2:11" ht="15" customHeight="1">
      <c r="B94" s="81" t="s">
        <v>2934</v>
      </c>
      <c r="C94" s="86" t="s">
        <v>2699</v>
      </c>
      <c r="D94" s="86" t="s">
        <v>2624</v>
      </c>
      <c r="E94" s="14" t="s">
        <v>2935</v>
      </c>
      <c r="F94" s="14" t="s">
        <v>2936</v>
      </c>
      <c r="G94" s="86" t="s">
        <v>1053</v>
      </c>
      <c r="H94" s="86" t="s">
        <v>5</v>
      </c>
      <c r="I94" s="86"/>
      <c r="J94" s="137" t="s">
        <v>2937</v>
      </c>
      <c r="K94" s="14"/>
    </row>
    <row r="95" spans="2:11" ht="15" customHeight="1">
      <c r="B95" s="81" t="s">
        <v>2938</v>
      </c>
      <c r="C95" s="86" t="s">
        <v>2699</v>
      </c>
      <c r="D95" s="86" t="s">
        <v>2624</v>
      </c>
      <c r="E95" s="14" t="s">
        <v>2922</v>
      </c>
      <c r="F95" s="14" t="s">
        <v>2939</v>
      </c>
      <c r="G95" s="86" t="s">
        <v>2940</v>
      </c>
      <c r="H95" s="86" t="s">
        <v>5</v>
      </c>
      <c r="I95" s="86"/>
      <c r="J95" s="137" t="s">
        <v>2941</v>
      </c>
      <c r="K95" s="14"/>
    </row>
    <row r="96" spans="2:11" ht="15" customHeight="1">
      <c r="B96" s="81" t="s">
        <v>2942</v>
      </c>
      <c r="C96" s="86" t="s">
        <v>2623</v>
      </c>
      <c r="D96" s="86" t="s">
        <v>2624</v>
      </c>
      <c r="E96" s="14" t="s">
        <v>2943</v>
      </c>
      <c r="F96" s="14" t="s">
        <v>2944</v>
      </c>
      <c r="G96" s="86" t="s">
        <v>2932</v>
      </c>
      <c r="H96" s="86" t="s">
        <v>5</v>
      </c>
      <c r="I96" s="86"/>
      <c r="J96" s="137" t="s">
        <v>2945</v>
      </c>
      <c r="K96" s="14"/>
    </row>
    <row r="97" spans="2:11" ht="15" customHeight="1">
      <c r="B97" s="81" t="s">
        <v>2946</v>
      </c>
      <c r="C97" s="86" t="s">
        <v>2623</v>
      </c>
      <c r="D97" s="86" t="s">
        <v>2624</v>
      </c>
      <c r="E97" s="14" t="s">
        <v>2947</v>
      </c>
      <c r="F97" s="14" t="s">
        <v>2948</v>
      </c>
      <c r="G97" s="86" t="s">
        <v>2932</v>
      </c>
      <c r="H97" s="86" t="s">
        <v>5</v>
      </c>
      <c r="I97" s="86"/>
      <c r="J97" s="137" t="s">
        <v>2949</v>
      </c>
      <c r="K97" s="14"/>
    </row>
    <row r="98" spans="2:11" ht="15" customHeight="1">
      <c r="B98" s="81" t="s">
        <v>2950</v>
      </c>
      <c r="C98" s="86" t="s">
        <v>245</v>
      </c>
      <c r="D98" s="86" t="s">
        <v>2585</v>
      </c>
      <c r="E98" s="14" t="s">
        <v>2888</v>
      </c>
      <c r="F98" s="14" t="s">
        <v>2951</v>
      </c>
      <c r="G98" s="86" t="s">
        <v>2702</v>
      </c>
      <c r="H98" s="86" t="s">
        <v>5</v>
      </c>
      <c r="I98" s="86"/>
      <c r="J98" s="137" t="s">
        <v>2952</v>
      </c>
      <c r="K98" s="14"/>
    </row>
    <row r="99" spans="2:11" ht="15" customHeight="1">
      <c r="B99" s="81" t="s">
        <v>2953</v>
      </c>
      <c r="C99" s="86" t="s">
        <v>2623</v>
      </c>
      <c r="D99" s="86" t="s">
        <v>2624</v>
      </c>
      <c r="E99" s="14" t="s">
        <v>2954</v>
      </c>
      <c r="F99" s="14" t="s">
        <v>2955</v>
      </c>
      <c r="G99" s="86" t="s">
        <v>2956</v>
      </c>
      <c r="H99" s="86" t="s">
        <v>5</v>
      </c>
      <c r="I99" s="86"/>
      <c r="J99" s="137" t="s">
        <v>2957</v>
      </c>
      <c r="K99" s="14"/>
    </row>
    <row r="100" spans="2:11" ht="15" customHeight="1">
      <c r="B100" s="81" t="s">
        <v>2958</v>
      </c>
      <c r="C100" s="86" t="s">
        <v>2623</v>
      </c>
      <c r="D100" s="86" t="s">
        <v>2624</v>
      </c>
      <c r="E100" s="14" t="s">
        <v>2959</v>
      </c>
      <c r="F100" s="14" t="s">
        <v>2960</v>
      </c>
      <c r="G100" s="86" t="s">
        <v>2279</v>
      </c>
      <c r="H100" s="86" t="s">
        <v>5</v>
      </c>
      <c r="I100" s="86"/>
      <c r="J100" s="137" t="s">
        <v>2961</v>
      </c>
      <c r="K100" s="14"/>
    </row>
    <row r="101" spans="2:11" ht="15" customHeight="1">
      <c r="B101" s="81" t="s">
        <v>323</v>
      </c>
      <c r="C101" s="86" t="s">
        <v>2584</v>
      </c>
      <c r="D101" s="86" t="s">
        <v>2585</v>
      </c>
      <c r="E101" s="14" t="s">
        <v>2600</v>
      </c>
      <c r="F101" s="14" t="s">
        <v>2962</v>
      </c>
      <c r="G101" s="86" t="s">
        <v>2282</v>
      </c>
      <c r="H101" s="86" t="s">
        <v>5</v>
      </c>
      <c r="I101" s="86" t="s">
        <v>2963</v>
      </c>
      <c r="J101" s="137" t="s">
        <v>2964</v>
      </c>
      <c r="K101" s="14"/>
    </row>
    <row r="102" spans="2:11" ht="15" customHeight="1">
      <c r="B102" s="81" t="s">
        <v>321</v>
      </c>
      <c r="C102" s="86" t="s">
        <v>2604</v>
      </c>
      <c r="D102" s="86" t="s">
        <v>2585</v>
      </c>
      <c r="E102" s="14" t="s">
        <v>2600</v>
      </c>
      <c r="F102" s="14" t="s">
        <v>2892</v>
      </c>
      <c r="G102" s="86" t="s">
        <v>2105</v>
      </c>
      <c r="H102" s="86" t="s">
        <v>5</v>
      </c>
      <c r="I102" s="86" t="s">
        <v>2965</v>
      </c>
      <c r="J102" s="137" t="s">
        <v>2488</v>
      </c>
      <c r="K102" s="14"/>
    </row>
    <row r="103" spans="2:11" ht="15" customHeight="1">
      <c r="B103" s="81" t="s">
        <v>510</v>
      </c>
      <c r="C103" s="86" t="s">
        <v>2584</v>
      </c>
      <c r="D103" s="86" t="s">
        <v>2585</v>
      </c>
      <c r="E103" s="14" t="s">
        <v>2600</v>
      </c>
      <c r="F103" s="14" t="s">
        <v>2611</v>
      </c>
      <c r="G103" s="86" t="s">
        <v>2220</v>
      </c>
      <c r="H103" s="86" t="s">
        <v>5</v>
      </c>
      <c r="I103" s="86" t="s">
        <v>2966</v>
      </c>
      <c r="J103" s="137" t="s">
        <v>2593</v>
      </c>
      <c r="K103" s="14"/>
    </row>
    <row r="104" spans="2:11" ht="15" customHeight="1">
      <c r="B104" s="81" t="s">
        <v>2967</v>
      </c>
      <c r="C104" s="86" t="s">
        <v>2669</v>
      </c>
      <c r="D104" s="86" t="s">
        <v>2624</v>
      </c>
      <c r="E104" s="14" t="s">
        <v>2968</v>
      </c>
      <c r="F104" s="14" t="s">
        <v>2969</v>
      </c>
      <c r="G104" s="86" t="s">
        <v>2282</v>
      </c>
      <c r="H104" s="86" t="s">
        <v>5</v>
      </c>
      <c r="I104" s="86"/>
      <c r="J104" s="137" t="s">
        <v>2628</v>
      </c>
      <c r="K104" s="14"/>
    </row>
    <row r="105" spans="2:11" ht="15" customHeight="1">
      <c r="B105" s="81" t="s">
        <v>545</v>
      </c>
      <c r="C105" s="86" t="s">
        <v>2604</v>
      </c>
      <c r="D105" s="86" t="s">
        <v>2585</v>
      </c>
      <c r="E105" s="14" t="s">
        <v>2970</v>
      </c>
      <c r="F105" s="14" t="s">
        <v>2971</v>
      </c>
      <c r="G105" s="86" t="s">
        <v>5</v>
      </c>
      <c r="H105" s="86" t="s">
        <v>5</v>
      </c>
      <c r="I105" s="86"/>
      <c r="J105" s="137" t="s">
        <v>2764</v>
      </c>
      <c r="K105" s="14"/>
    </row>
    <row r="106" spans="2:11" ht="15" customHeight="1">
      <c r="B106" s="81" t="s">
        <v>565</v>
      </c>
      <c r="C106" s="86" t="s">
        <v>2870</v>
      </c>
      <c r="D106" s="86" t="s">
        <v>2585</v>
      </c>
      <c r="E106" s="14" t="s">
        <v>2972</v>
      </c>
      <c r="F106" s="14" t="s">
        <v>2973</v>
      </c>
      <c r="G106" s="86" t="s">
        <v>2828</v>
      </c>
      <c r="H106" s="86" t="s">
        <v>5</v>
      </c>
      <c r="I106" s="86"/>
      <c r="J106" s="137" t="s">
        <v>2974</v>
      </c>
      <c r="K106" s="14"/>
    </row>
    <row r="107" spans="2:11" ht="15" customHeight="1">
      <c r="B107" s="81" t="s">
        <v>568</v>
      </c>
      <c r="C107" s="86" t="s">
        <v>2870</v>
      </c>
      <c r="D107" s="86" t="s">
        <v>2585</v>
      </c>
      <c r="E107" s="14" t="s">
        <v>2975</v>
      </c>
      <c r="F107" s="14" t="s">
        <v>2976</v>
      </c>
      <c r="G107" s="86" t="s">
        <v>5</v>
      </c>
      <c r="H107" s="86" t="s">
        <v>5</v>
      </c>
      <c r="I107" s="86"/>
      <c r="J107" s="137" t="s">
        <v>2977</v>
      </c>
      <c r="K107" s="14"/>
    </row>
    <row r="108" spans="2:11" ht="15" customHeight="1">
      <c r="B108" s="81" t="s">
        <v>2978</v>
      </c>
      <c r="C108" s="86" t="s">
        <v>2870</v>
      </c>
      <c r="D108" s="86" t="s">
        <v>2585</v>
      </c>
      <c r="E108" s="14" t="s">
        <v>2979</v>
      </c>
      <c r="F108" s="14" t="s">
        <v>2980</v>
      </c>
      <c r="G108" s="86" t="s">
        <v>5</v>
      </c>
      <c r="H108" s="86" t="s">
        <v>5</v>
      </c>
      <c r="I108" s="86"/>
      <c r="J108" s="137" t="s">
        <v>2981</v>
      </c>
      <c r="K108" s="14"/>
    </row>
    <row r="109" spans="2:11" ht="15" customHeight="1">
      <c r="B109" s="81" t="s">
        <v>2982</v>
      </c>
      <c r="C109" s="86" t="s">
        <v>2870</v>
      </c>
      <c r="D109" s="86" t="s">
        <v>2585</v>
      </c>
      <c r="E109" s="14" t="s">
        <v>2983</v>
      </c>
      <c r="F109" s="14" t="s">
        <v>2984</v>
      </c>
      <c r="G109" s="86" t="s">
        <v>2032</v>
      </c>
      <c r="H109" s="86" t="s">
        <v>5</v>
      </c>
      <c r="I109" s="86"/>
      <c r="J109" s="137" t="s">
        <v>2985</v>
      </c>
      <c r="K109" s="14"/>
    </row>
    <row r="110" spans="2:11" ht="15" customHeight="1">
      <c r="B110" s="81" t="s">
        <v>338</v>
      </c>
      <c r="C110" s="86" t="s">
        <v>2870</v>
      </c>
      <c r="D110" s="86" t="s">
        <v>2585</v>
      </c>
      <c r="E110" s="14" t="s">
        <v>2986</v>
      </c>
      <c r="F110" s="14" t="s">
        <v>2987</v>
      </c>
      <c r="G110" s="86" t="s">
        <v>2828</v>
      </c>
      <c r="H110" s="86" t="s">
        <v>5</v>
      </c>
      <c r="I110" s="86"/>
      <c r="J110" s="137" t="s">
        <v>2988</v>
      </c>
      <c r="K110" s="14"/>
    </row>
    <row r="111" spans="2:11" ht="15" customHeight="1">
      <c r="B111" s="81" t="s">
        <v>2989</v>
      </c>
      <c r="C111" s="86" t="s">
        <v>2870</v>
      </c>
      <c r="D111" s="86" t="s">
        <v>2585</v>
      </c>
      <c r="E111" s="14" t="s">
        <v>2979</v>
      </c>
      <c r="F111" s="14" t="s">
        <v>2990</v>
      </c>
      <c r="G111" s="86" t="s">
        <v>2253</v>
      </c>
      <c r="H111" s="86" t="s">
        <v>5</v>
      </c>
      <c r="I111" s="86"/>
      <c r="J111" s="137" t="s">
        <v>2991</v>
      </c>
      <c r="K111" s="14"/>
    </row>
    <row r="112" spans="2:11" ht="15" customHeight="1">
      <c r="B112" s="81" t="s">
        <v>2992</v>
      </c>
      <c r="C112" s="86" t="s">
        <v>2870</v>
      </c>
      <c r="D112" s="86" t="s">
        <v>2585</v>
      </c>
      <c r="E112" s="14" t="s">
        <v>2979</v>
      </c>
      <c r="F112" s="14" t="s">
        <v>2993</v>
      </c>
      <c r="G112" s="86" t="s">
        <v>2231</v>
      </c>
      <c r="H112" s="86" t="s">
        <v>5</v>
      </c>
      <c r="I112" s="86"/>
      <c r="J112" s="137" t="s">
        <v>2994</v>
      </c>
      <c r="K112" s="14"/>
    </row>
    <row r="113" spans="2:11" ht="15" customHeight="1">
      <c r="B113" s="81" t="s">
        <v>570</v>
      </c>
      <c r="C113" s="86" t="s">
        <v>2870</v>
      </c>
      <c r="D113" s="86" t="s">
        <v>2585</v>
      </c>
      <c r="E113" s="14" t="s">
        <v>2979</v>
      </c>
      <c r="F113" s="14" t="s">
        <v>2995</v>
      </c>
      <c r="G113" s="86" t="s">
        <v>2265</v>
      </c>
      <c r="H113" s="86" t="s">
        <v>5</v>
      </c>
      <c r="I113" s="86"/>
      <c r="J113" s="137" t="s">
        <v>2996</v>
      </c>
      <c r="K113" s="14"/>
    </row>
    <row r="114" spans="2:11" ht="15" customHeight="1">
      <c r="B114" s="81" t="s">
        <v>2997</v>
      </c>
      <c r="C114" s="86" t="s">
        <v>2870</v>
      </c>
      <c r="D114" s="86" t="s">
        <v>2585</v>
      </c>
      <c r="E114" s="14" t="s">
        <v>2998</v>
      </c>
      <c r="F114" s="14" t="s">
        <v>2999</v>
      </c>
      <c r="G114" s="86" t="s">
        <v>3000</v>
      </c>
      <c r="H114" s="86" t="s">
        <v>5</v>
      </c>
      <c r="I114" s="86"/>
      <c r="J114" s="137" t="s">
        <v>3001</v>
      </c>
      <c r="K114" s="14"/>
    </row>
    <row r="115" spans="2:11" ht="15" customHeight="1">
      <c r="B115" s="81" t="s">
        <v>3002</v>
      </c>
      <c r="C115" s="86" t="s">
        <v>2623</v>
      </c>
      <c r="D115" s="86" t="s">
        <v>2624</v>
      </c>
      <c r="E115" s="14" t="s">
        <v>3003</v>
      </c>
      <c r="F115" s="14" t="s">
        <v>3004</v>
      </c>
      <c r="G115" s="86" t="s">
        <v>2239</v>
      </c>
      <c r="H115" s="86" t="s">
        <v>5</v>
      </c>
      <c r="I115" s="86"/>
      <c r="J115" s="137" t="s">
        <v>3005</v>
      </c>
      <c r="K115" s="14"/>
    </row>
    <row r="116" spans="2:11" ht="15" customHeight="1">
      <c r="B116" s="81" t="s">
        <v>3006</v>
      </c>
      <c r="C116" s="86" t="s">
        <v>2623</v>
      </c>
      <c r="D116" s="86" t="s">
        <v>2624</v>
      </c>
      <c r="E116" s="14" t="s">
        <v>3007</v>
      </c>
      <c r="F116" s="14" t="s">
        <v>3008</v>
      </c>
      <c r="G116" s="86" t="s">
        <v>2253</v>
      </c>
      <c r="H116" s="86" t="s">
        <v>5</v>
      </c>
      <c r="I116" s="86"/>
      <c r="J116" s="137" t="s">
        <v>3009</v>
      </c>
      <c r="K116" s="14"/>
    </row>
    <row r="117" spans="2:11" ht="15" customHeight="1">
      <c r="B117" s="81" t="s">
        <v>3010</v>
      </c>
      <c r="C117" s="86" t="s">
        <v>245</v>
      </c>
      <c r="D117" s="86" t="s">
        <v>2585</v>
      </c>
      <c r="E117" s="14" t="s">
        <v>3011</v>
      </c>
      <c r="F117" s="14" t="s">
        <v>3012</v>
      </c>
      <c r="G117" s="86" t="s">
        <v>2139</v>
      </c>
      <c r="H117" s="86" t="s">
        <v>5</v>
      </c>
      <c r="I117" s="86" t="s">
        <v>3013</v>
      </c>
      <c r="J117" s="137" t="s">
        <v>3014</v>
      </c>
      <c r="K117" s="14"/>
    </row>
    <row r="118" spans="2:11" ht="15" customHeight="1">
      <c r="B118" s="81" t="s">
        <v>3015</v>
      </c>
      <c r="C118" s="86" t="s">
        <v>245</v>
      </c>
      <c r="D118" s="86" t="s">
        <v>2585</v>
      </c>
      <c r="E118" s="14" t="s">
        <v>3011</v>
      </c>
      <c r="F118" s="14" t="s">
        <v>3016</v>
      </c>
      <c r="G118" s="86" t="s">
        <v>2179</v>
      </c>
      <c r="H118" s="86" t="s">
        <v>5</v>
      </c>
      <c r="I118" s="86"/>
      <c r="J118" s="137" t="s">
        <v>3017</v>
      </c>
      <c r="K118" s="14"/>
    </row>
    <row r="119" spans="2:11" ht="15" customHeight="1">
      <c r="B119" s="81" t="s">
        <v>3018</v>
      </c>
      <c r="C119" s="86" t="s">
        <v>2584</v>
      </c>
      <c r="D119" s="86" t="s">
        <v>2585</v>
      </c>
      <c r="E119" s="14" t="s">
        <v>3011</v>
      </c>
      <c r="F119" s="14" t="s">
        <v>3019</v>
      </c>
      <c r="G119" s="86" t="s">
        <v>2232</v>
      </c>
      <c r="H119" s="86" t="s">
        <v>5</v>
      </c>
      <c r="I119" s="86"/>
      <c r="J119" s="137" t="s">
        <v>3020</v>
      </c>
      <c r="K119" s="14"/>
    </row>
    <row r="120" spans="2:11" ht="15" customHeight="1">
      <c r="B120" s="81" t="s">
        <v>3021</v>
      </c>
      <c r="C120" s="86" t="s">
        <v>245</v>
      </c>
      <c r="D120" s="86" t="s">
        <v>2585</v>
      </c>
      <c r="E120" s="14" t="s">
        <v>2600</v>
      </c>
      <c r="F120" s="14" t="s">
        <v>3022</v>
      </c>
      <c r="G120" s="86" t="s">
        <v>2184</v>
      </c>
      <c r="H120" s="86" t="s">
        <v>5</v>
      </c>
      <c r="I120" s="86"/>
      <c r="J120" s="137" t="s">
        <v>2723</v>
      </c>
      <c r="K120" s="14"/>
    </row>
    <row r="121" spans="2:11" ht="15" customHeight="1">
      <c r="B121" s="81" t="s">
        <v>3023</v>
      </c>
      <c r="C121" s="86" t="s">
        <v>2623</v>
      </c>
      <c r="D121" s="86" t="s">
        <v>2624</v>
      </c>
      <c r="E121" s="14" t="s">
        <v>3024</v>
      </c>
      <c r="F121" s="14" t="s">
        <v>3025</v>
      </c>
      <c r="G121" s="86" t="s">
        <v>2005</v>
      </c>
      <c r="H121" s="86" t="s">
        <v>5</v>
      </c>
      <c r="I121" s="86"/>
      <c r="J121" s="137" t="s">
        <v>3026</v>
      </c>
      <c r="K121" s="14"/>
    </row>
    <row r="122" spans="2:11" ht="15" customHeight="1">
      <c r="B122" s="81" t="s">
        <v>3027</v>
      </c>
      <c r="C122" s="86" t="s">
        <v>245</v>
      </c>
      <c r="D122" s="86" t="s">
        <v>2624</v>
      </c>
      <c r="E122" s="14" t="s">
        <v>2782</v>
      </c>
      <c r="F122" s="14" t="s">
        <v>3028</v>
      </c>
      <c r="G122" s="86" t="s">
        <v>5</v>
      </c>
      <c r="H122" s="86" t="s">
        <v>5</v>
      </c>
      <c r="I122" s="86"/>
      <c r="J122" s="137" t="s">
        <v>2787</v>
      </c>
      <c r="K122" s="14"/>
    </row>
    <row r="123" spans="2:11" ht="15" customHeight="1">
      <c r="B123" s="81" t="s">
        <v>3029</v>
      </c>
      <c r="C123" s="86" t="s">
        <v>2623</v>
      </c>
      <c r="D123" s="86" t="s">
        <v>2624</v>
      </c>
      <c r="E123" s="14" t="s">
        <v>3030</v>
      </c>
      <c r="F123" s="14" t="s">
        <v>3031</v>
      </c>
      <c r="G123" s="86" t="s">
        <v>2702</v>
      </c>
      <c r="H123" s="86" t="s">
        <v>5</v>
      </c>
      <c r="I123" s="86"/>
      <c r="J123" s="137" t="s">
        <v>3032</v>
      </c>
      <c r="K123" s="14"/>
    </row>
    <row r="124" spans="2:11" ht="15" customHeight="1">
      <c r="B124" s="81" t="s">
        <v>3033</v>
      </c>
      <c r="C124" s="86" t="s">
        <v>245</v>
      </c>
      <c r="D124" s="86" t="s">
        <v>2585</v>
      </c>
      <c r="E124" s="14" t="s">
        <v>3011</v>
      </c>
      <c r="F124" s="14" t="s">
        <v>3034</v>
      </c>
      <c r="G124" s="86" t="s">
        <v>2162</v>
      </c>
      <c r="H124" s="86" t="s">
        <v>5</v>
      </c>
      <c r="I124" s="86"/>
      <c r="J124" s="137" t="s">
        <v>3035</v>
      </c>
      <c r="K124" s="14"/>
    </row>
    <row r="125" spans="2:11" ht="15" customHeight="1">
      <c r="B125" s="81" t="s">
        <v>3036</v>
      </c>
      <c r="C125" s="86" t="s">
        <v>2604</v>
      </c>
      <c r="D125" s="86" t="s">
        <v>2585</v>
      </c>
      <c r="E125" s="14" t="s">
        <v>2970</v>
      </c>
      <c r="F125" s="14" t="s">
        <v>3037</v>
      </c>
      <c r="G125" s="86" t="s">
        <v>5</v>
      </c>
      <c r="H125" s="86" t="s">
        <v>5</v>
      </c>
      <c r="I125" s="86"/>
      <c r="J125" s="137" t="s">
        <v>3038</v>
      </c>
      <c r="K125" s="14"/>
    </row>
    <row r="126" spans="2:11" ht="15" customHeight="1">
      <c r="B126" s="81" t="s">
        <v>3039</v>
      </c>
      <c r="C126" s="86" t="s">
        <v>2584</v>
      </c>
      <c r="D126" s="86" t="s">
        <v>2585</v>
      </c>
      <c r="E126" s="14" t="s">
        <v>2600</v>
      </c>
      <c r="F126" s="14" t="s">
        <v>3040</v>
      </c>
      <c r="G126" s="86" t="s">
        <v>2103</v>
      </c>
      <c r="H126" s="86" t="s">
        <v>5</v>
      </c>
      <c r="I126" s="86"/>
      <c r="J126" s="137" t="s">
        <v>2621</v>
      </c>
      <c r="K126" s="14"/>
    </row>
    <row r="127" spans="2:11" ht="15" customHeight="1">
      <c r="B127" s="81" t="s">
        <v>3041</v>
      </c>
      <c r="C127" s="86" t="s">
        <v>2623</v>
      </c>
      <c r="D127" s="86" t="s">
        <v>2624</v>
      </c>
      <c r="E127" s="14" t="s">
        <v>3042</v>
      </c>
      <c r="F127" s="14" t="s">
        <v>3043</v>
      </c>
      <c r="G127" s="86" t="s">
        <v>2214</v>
      </c>
      <c r="H127" s="86" t="s">
        <v>5</v>
      </c>
      <c r="I127" s="86"/>
      <c r="J127" s="137" t="s">
        <v>3044</v>
      </c>
      <c r="K127" s="14"/>
    </row>
    <row r="128" spans="2:11" ht="15" customHeight="1">
      <c r="B128" s="81" t="s">
        <v>110</v>
      </c>
      <c r="C128" s="86" t="s">
        <v>3045</v>
      </c>
      <c r="D128" s="86" t="s">
        <v>2585</v>
      </c>
      <c r="E128" s="14" t="s">
        <v>2888</v>
      </c>
      <c r="F128" s="14" t="s">
        <v>3046</v>
      </c>
      <c r="G128" s="86" t="s">
        <v>2207</v>
      </c>
      <c r="H128" s="86" t="s">
        <v>5</v>
      </c>
      <c r="I128" s="86" t="s">
        <v>3047</v>
      </c>
      <c r="J128" s="137" t="s">
        <v>3048</v>
      </c>
      <c r="K128" s="14"/>
    </row>
    <row r="129" spans="2:11" ht="15" customHeight="1">
      <c r="B129" s="81" t="s">
        <v>209</v>
      </c>
      <c r="C129" s="86" t="s">
        <v>2669</v>
      </c>
      <c r="D129" s="86" t="s">
        <v>2585</v>
      </c>
      <c r="E129" s="14" t="s">
        <v>3049</v>
      </c>
      <c r="F129" s="14" t="s">
        <v>3050</v>
      </c>
      <c r="G129" s="86" t="s">
        <v>2103</v>
      </c>
      <c r="H129" s="86" t="s">
        <v>5</v>
      </c>
      <c r="I129" s="86" t="s">
        <v>3051</v>
      </c>
      <c r="J129" s="137" t="s">
        <v>3052</v>
      </c>
      <c r="K129" s="14"/>
    </row>
    <row r="130" spans="2:11" ht="15" customHeight="1">
      <c r="B130" s="81" t="s">
        <v>226</v>
      </c>
      <c r="C130" s="86" t="s">
        <v>2604</v>
      </c>
      <c r="D130" s="86" t="s">
        <v>2585</v>
      </c>
      <c r="E130" s="14" t="s">
        <v>2888</v>
      </c>
      <c r="F130" s="14" t="s">
        <v>3053</v>
      </c>
      <c r="G130" s="86" t="s">
        <v>2105</v>
      </c>
      <c r="H130" s="86" t="s">
        <v>5</v>
      </c>
      <c r="I130" s="86" t="s">
        <v>3054</v>
      </c>
      <c r="J130" s="137" t="s">
        <v>2488</v>
      </c>
      <c r="K130" s="14"/>
    </row>
    <row r="131" spans="2:11" ht="15" customHeight="1">
      <c r="B131" s="81" t="s">
        <v>3055</v>
      </c>
      <c r="C131" s="86" t="s">
        <v>2699</v>
      </c>
      <c r="D131" s="86" t="s">
        <v>2624</v>
      </c>
      <c r="E131" s="14" t="s">
        <v>3056</v>
      </c>
      <c r="F131" s="14" t="s">
        <v>3057</v>
      </c>
      <c r="G131" s="86" t="s">
        <v>3058</v>
      </c>
      <c r="H131" s="86" t="s">
        <v>5</v>
      </c>
      <c r="I131" s="86"/>
      <c r="J131" s="137" t="s">
        <v>3059</v>
      </c>
      <c r="K131" s="14"/>
    </row>
    <row r="132" spans="2:11" ht="15" customHeight="1">
      <c r="B132" s="81" t="s">
        <v>3060</v>
      </c>
      <c r="C132" s="86" t="s">
        <v>2699</v>
      </c>
      <c r="D132" s="86" t="s">
        <v>2624</v>
      </c>
      <c r="E132" s="14" t="s">
        <v>3061</v>
      </c>
      <c r="F132" s="14" t="s">
        <v>3062</v>
      </c>
      <c r="G132" s="86" t="s">
        <v>1896</v>
      </c>
      <c r="H132" s="86" t="s">
        <v>5</v>
      </c>
      <c r="I132" s="86"/>
      <c r="J132" s="137" t="s">
        <v>3063</v>
      </c>
      <c r="K132" s="14"/>
    </row>
    <row r="133" spans="2:11" ht="15" customHeight="1">
      <c r="B133" s="81" t="s">
        <v>355</v>
      </c>
      <c r="C133" s="86" t="s">
        <v>2870</v>
      </c>
      <c r="D133" s="86" t="s">
        <v>2585</v>
      </c>
      <c r="E133" s="14" t="s">
        <v>3064</v>
      </c>
      <c r="F133" s="14" t="s">
        <v>3065</v>
      </c>
      <c r="G133" s="86" t="s">
        <v>1087</v>
      </c>
      <c r="H133" s="86" t="s">
        <v>5</v>
      </c>
      <c r="I133" s="86" t="s">
        <v>3066</v>
      </c>
      <c r="J133" s="137" t="s">
        <v>3067</v>
      </c>
      <c r="K133" s="14"/>
    </row>
    <row r="134" spans="2:11" ht="15" customHeight="1">
      <c r="B134" s="81" t="s">
        <v>358</v>
      </c>
      <c r="C134" s="86" t="s">
        <v>2870</v>
      </c>
      <c r="D134" s="86" t="s">
        <v>2585</v>
      </c>
      <c r="E134" s="14" t="s">
        <v>3068</v>
      </c>
      <c r="F134" s="14" t="s">
        <v>3069</v>
      </c>
      <c r="G134" s="86" t="s">
        <v>1087</v>
      </c>
      <c r="H134" s="86" t="s">
        <v>5</v>
      </c>
      <c r="I134" s="86" t="s">
        <v>3070</v>
      </c>
      <c r="J134" s="137" t="s">
        <v>2874</v>
      </c>
      <c r="K134" s="14"/>
    </row>
    <row r="135" spans="2:11" ht="15" customHeight="1">
      <c r="B135" s="81" t="s">
        <v>361</v>
      </c>
      <c r="C135" s="86" t="s">
        <v>2870</v>
      </c>
      <c r="D135" s="86" t="s">
        <v>2585</v>
      </c>
      <c r="E135" s="14" t="s">
        <v>3071</v>
      </c>
      <c r="F135" s="14" t="s">
        <v>3072</v>
      </c>
      <c r="G135" s="86" t="s">
        <v>1087</v>
      </c>
      <c r="H135" s="86" t="s">
        <v>5</v>
      </c>
      <c r="I135" s="86" t="s">
        <v>3073</v>
      </c>
      <c r="J135" s="137" t="s">
        <v>3074</v>
      </c>
      <c r="K135" s="14"/>
    </row>
    <row r="136" spans="2:11" ht="15" customHeight="1">
      <c r="B136" s="81" t="s">
        <v>363</v>
      </c>
      <c r="C136" s="86" t="s">
        <v>2870</v>
      </c>
      <c r="D136" s="86" t="s">
        <v>2585</v>
      </c>
      <c r="E136" s="14" t="s">
        <v>3068</v>
      </c>
      <c r="F136" s="14" t="s">
        <v>3075</v>
      </c>
      <c r="G136" s="86" t="s">
        <v>1087</v>
      </c>
      <c r="H136" s="86" t="s">
        <v>5</v>
      </c>
      <c r="I136" s="86" t="s">
        <v>3076</v>
      </c>
      <c r="J136" s="137" t="s">
        <v>3077</v>
      </c>
      <c r="K136" s="14"/>
    </row>
    <row r="137" spans="2:11" ht="15" customHeight="1">
      <c r="B137" s="81" t="s">
        <v>366</v>
      </c>
      <c r="C137" s="86" t="s">
        <v>2870</v>
      </c>
      <c r="D137" s="86" t="s">
        <v>2585</v>
      </c>
      <c r="E137" s="14" t="s">
        <v>3078</v>
      </c>
      <c r="F137" s="14" t="s">
        <v>3079</v>
      </c>
      <c r="G137" s="86" t="s">
        <v>287</v>
      </c>
      <c r="H137" s="86" t="s">
        <v>5</v>
      </c>
      <c r="I137" s="86" t="s">
        <v>3080</v>
      </c>
      <c r="J137" s="137" t="s">
        <v>3081</v>
      </c>
      <c r="K137" s="14"/>
    </row>
    <row r="138" spans="2:11" ht="15" customHeight="1">
      <c r="B138" s="81" t="s">
        <v>496</v>
      </c>
      <c r="C138" s="86" t="s">
        <v>2870</v>
      </c>
      <c r="D138" s="86" t="s">
        <v>2585</v>
      </c>
      <c r="E138" s="14" t="s">
        <v>3082</v>
      </c>
      <c r="F138" s="14" t="s">
        <v>3083</v>
      </c>
      <c r="G138" s="86" t="s">
        <v>963</v>
      </c>
      <c r="H138" s="86" t="s">
        <v>5</v>
      </c>
      <c r="I138" s="86" t="s">
        <v>3084</v>
      </c>
      <c r="J138" s="137" t="s">
        <v>3085</v>
      </c>
      <c r="K138" s="14"/>
    </row>
    <row r="139" spans="2:11" ht="15" customHeight="1">
      <c r="B139" s="81" t="s">
        <v>3086</v>
      </c>
      <c r="C139" s="86" t="s">
        <v>245</v>
      </c>
      <c r="D139" s="86" t="s">
        <v>2624</v>
      </c>
      <c r="E139" s="14" t="s">
        <v>3087</v>
      </c>
      <c r="F139" s="14" t="s">
        <v>3088</v>
      </c>
      <c r="G139" s="86" t="s">
        <v>2268</v>
      </c>
      <c r="H139" s="86" t="s">
        <v>5</v>
      </c>
      <c r="I139" s="86" t="s">
        <v>3089</v>
      </c>
      <c r="J139" s="137" t="s">
        <v>3090</v>
      </c>
      <c r="K139" s="14"/>
    </row>
    <row r="140" spans="2:11" ht="15" customHeight="1">
      <c r="B140" s="81" t="s">
        <v>3091</v>
      </c>
      <c r="C140" s="86" t="s">
        <v>245</v>
      </c>
      <c r="D140" s="86" t="s">
        <v>2624</v>
      </c>
      <c r="E140" s="14" t="s">
        <v>3092</v>
      </c>
      <c r="F140" s="14" t="s">
        <v>3093</v>
      </c>
      <c r="G140" s="86" t="s">
        <v>5</v>
      </c>
      <c r="H140" s="86" t="s">
        <v>5</v>
      </c>
      <c r="I140" s="86" t="s">
        <v>3094</v>
      </c>
      <c r="J140" s="137" t="s">
        <v>3095</v>
      </c>
      <c r="K140" s="14"/>
    </row>
    <row r="141" spans="2:11" ht="15" customHeight="1">
      <c r="B141" s="120" t="s">
        <v>3096</v>
      </c>
      <c r="C141" s="101" t="s">
        <v>245</v>
      </c>
      <c r="D141" s="101" t="s">
        <v>2624</v>
      </c>
      <c r="E141" s="16" t="s">
        <v>3097</v>
      </c>
      <c r="F141" s="16" t="s">
        <v>3098</v>
      </c>
      <c r="G141" s="101" t="s">
        <v>5</v>
      </c>
      <c r="H141" s="101" t="s">
        <v>5</v>
      </c>
      <c r="I141" s="101" t="s">
        <v>3099</v>
      </c>
      <c r="J141" s="138" t="s">
        <v>3100</v>
      </c>
      <c r="K141" s="16"/>
    </row>
  </sheetData>
  <phoneticPr fontId="12"/>
  <hyperlinks>
    <hyperlink ref="J5" r:id="rId1" xr:uid="{00000000-0004-0000-1300-000000000000}"/>
    <hyperlink ref="J6" r:id="rId2" xr:uid="{00000000-0004-0000-1300-000001000000}"/>
    <hyperlink ref="J7" r:id="rId3" xr:uid="{00000000-0004-0000-1300-000002000000}"/>
    <hyperlink ref="J8" r:id="rId4" xr:uid="{00000000-0004-0000-1300-000003000000}"/>
    <hyperlink ref="J9" r:id="rId5" xr:uid="{00000000-0004-0000-1300-000004000000}"/>
    <hyperlink ref="J10" r:id="rId6" xr:uid="{00000000-0004-0000-1300-000005000000}"/>
    <hyperlink ref="J11" r:id="rId7" xr:uid="{00000000-0004-0000-1300-000006000000}"/>
    <hyperlink ref="J12" r:id="rId8" xr:uid="{00000000-0004-0000-1300-000007000000}"/>
    <hyperlink ref="J13" r:id="rId9" xr:uid="{00000000-0004-0000-1300-000008000000}"/>
    <hyperlink ref="J14" r:id="rId10" xr:uid="{00000000-0004-0000-1300-000009000000}"/>
    <hyperlink ref="J15" r:id="rId11" xr:uid="{00000000-0004-0000-1300-00000A000000}"/>
    <hyperlink ref="J16" r:id="rId12" xr:uid="{00000000-0004-0000-1300-00000B000000}"/>
    <hyperlink ref="J17" r:id="rId13" xr:uid="{00000000-0004-0000-1300-00000C000000}"/>
    <hyperlink ref="J18" r:id="rId14" xr:uid="{00000000-0004-0000-1300-00000D000000}"/>
    <hyperlink ref="J19" r:id="rId15" xr:uid="{00000000-0004-0000-1300-00000E000000}"/>
    <hyperlink ref="J20" r:id="rId16" xr:uid="{00000000-0004-0000-1300-00000F000000}"/>
    <hyperlink ref="J21" r:id="rId17" xr:uid="{00000000-0004-0000-1300-000010000000}"/>
    <hyperlink ref="J22" r:id="rId18" xr:uid="{00000000-0004-0000-1300-000011000000}"/>
    <hyperlink ref="J23" r:id="rId19" xr:uid="{00000000-0004-0000-1300-000012000000}"/>
    <hyperlink ref="J24" r:id="rId20" xr:uid="{00000000-0004-0000-1300-000013000000}"/>
    <hyperlink ref="J25" r:id="rId21" xr:uid="{00000000-0004-0000-1300-000014000000}"/>
    <hyperlink ref="J26" r:id="rId22" xr:uid="{00000000-0004-0000-1300-000015000000}"/>
    <hyperlink ref="J27" r:id="rId23" xr:uid="{00000000-0004-0000-1300-000016000000}"/>
    <hyperlink ref="J28" r:id="rId24" xr:uid="{00000000-0004-0000-1300-000017000000}"/>
    <hyperlink ref="J29" r:id="rId25" xr:uid="{00000000-0004-0000-1300-000018000000}"/>
    <hyperlink ref="J30" r:id="rId26" xr:uid="{00000000-0004-0000-1300-000019000000}"/>
    <hyperlink ref="J31" r:id="rId27" xr:uid="{00000000-0004-0000-1300-00001A000000}"/>
    <hyperlink ref="J32" r:id="rId28" xr:uid="{00000000-0004-0000-1300-00001B000000}"/>
    <hyperlink ref="J33" r:id="rId29" xr:uid="{00000000-0004-0000-1300-00001C000000}"/>
    <hyperlink ref="J34" r:id="rId30" xr:uid="{00000000-0004-0000-1300-00001D000000}"/>
    <hyperlink ref="J35" r:id="rId31" xr:uid="{00000000-0004-0000-1300-00001E000000}"/>
    <hyperlink ref="J36" r:id="rId32" xr:uid="{00000000-0004-0000-1300-00001F000000}"/>
    <hyperlink ref="J37" r:id="rId33" xr:uid="{00000000-0004-0000-1300-000020000000}"/>
    <hyperlink ref="J38" r:id="rId34" xr:uid="{00000000-0004-0000-1300-000021000000}"/>
    <hyperlink ref="J39" r:id="rId35" xr:uid="{00000000-0004-0000-1300-000022000000}"/>
    <hyperlink ref="J40" r:id="rId36" xr:uid="{00000000-0004-0000-1300-000023000000}"/>
    <hyperlink ref="J41" r:id="rId37" xr:uid="{00000000-0004-0000-1300-000024000000}"/>
    <hyperlink ref="J42" r:id="rId38" xr:uid="{00000000-0004-0000-1300-000025000000}"/>
    <hyperlink ref="J43" r:id="rId39" xr:uid="{00000000-0004-0000-1300-000026000000}"/>
    <hyperlink ref="J44" r:id="rId40" xr:uid="{00000000-0004-0000-1300-000027000000}"/>
    <hyperlink ref="J45" r:id="rId41" xr:uid="{00000000-0004-0000-1300-000028000000}"/>
    <hyperlink ref="J46" r:id="rId42" xr:uid="{00000000-0004-0000-1300-000029000000}"/>
    <hyperlink ref="J47" r:id="rId43" xr:uid="{00000000-0004-0000-1300-00002A000000}"/>
    <hyperlink ref="J48" r:id="rId44" xr:uid="{00000000-0004-0000-1300-00002B000000}"/>
    <hyperlink ref="J49" r:id="rId45" xr:uid="{00000000-0004-0000-1300-00002C000000}"/>
    <hyperlink ref="J50" r:id="rId46" xr:uid="{00000000-0004-0000-1300-00002D000000}"/>
    <hyperlink ref="J51" r:id="rId47" xr:uid="{00000000-0004-0000-1300-00002E000000}"/>
    <hyperlink ref="J52" r:id="rId48" xr:uid="{00000000-0004-0000-1300-00002F000000}"/>
    <hyperlink ref="J53" r:id="rId49" xr:uid="{00000000-0004-0000-1300-000030000000}"/>
    <hyperlink ref="J54" r:id="rId50" xr:uid="{00000000-0004-0000-1300-000031000000}"/>
    <hyperlink ref="J55" r:id="rId51" xr:uid="{00000000-0004-0000-1300-000032000000}"/>
    <hyperlink ref="J56" r:id="rId52" xr:uid="{00000000-0004-0000-1300-000033000000}"/>
    <hyperlink ref="J57" r:id="rId53" xr:uid="{00000000-0004-0000-1300-000034000000}"/>
    <hyperlink ref="J58" r:id="rId54" xr:uid="{00000000-0004-0000-1300-000035000000}"/>
    <hyperlink ref="J59" r:id="rId55" xr:uid="{00000000-0004-0000-1300-000036000000}"/>
    <hyperlink ref="J60" r:id="rId56" xr:uid="{00000000-0004-0000-1300-000037000000}"/>
    <hyperlink ref="J61" r:id="rId57" xr:uid="{00000000-0004-0000-1300-000038000000}"/>
    <hyperlink ref="J62" r:id="rId58" xr:uid="{00000000-0004-0000-1300-000039000000}"/>
    <hyperlink ref="J63" r:id="rId59" xr:uid="{00000000-0004-0000-1300-00003A000000}"/>
    <hyperlink ref="J64" r:id="rId60" xr:uid="{00000000-0004-0000-1300-00003B000000}"/>
    <hyperlink ref="J65" r:id="rId61" xr:uid="{00000000-0004-0000-1300-00003C000000}"/>
    <hyperlink ref="J66" r:id="rId62" xr:uid="{00000000-0004-0000-1300-00003D000000}"/>
    <hyperlink ref="J67" r:id="rId63" xr:uid="{00000000-0004-0000-1300-00003E000000}"/>
    <hyperlink ref="J68" r:id="rId64" xr:uid="{00000000-0004-0000-1300-00003F000000}"/>
    <hyperlink ref="J69" r:id="rId65" xr:uid="{00000000-0004-0000-1300-000040000000}"/>
    <hyperlink ref="J70" r:id="rId66" xr:uid="{00000000-0004-0000-1300-000041000000}"/>
    <hyperlink ref="J71" r:id="rId67" xr:uid="{00000000-0004-0000-1300-000042000000}"/>
    <hyperlink ref="J72" r:id="rId68" xr:uid="{00000000-0004-0000-1300-000043000000}"/>
    <hyperlink ref="J73" r:id="rId69" xr:uid="{00000000-0004-0000-1300-000044000000}"/>
    <hyperlink ref="J74" r:id="rId70" xr:uid="{00000000-0004-0000-1300-000045000000}"/>
    <hyperlink ref="J75" r:id="rId71" xr:uid="{00000000-0004-0000-1300-000046000000}"/>
    <hyperlink ref="J76" r:id="rId72" xr:uid="{00000000-0004-0000-1300-000047000000}"/>
    <hyperlink ref="J77" r:id="rId73" xr:uid="{00000000-0004-0000-1300-000048000000}"/>
    <hyperlink ref="J78" r:id="rId74" xr:uid="{00000000-0004-0000-1300-000049000000}"/>
    <hyperlink ref="J79" r:id="rId75" xr:uid="{00000000-0004-0000-1300-00004A000000}"/>
    <hyperlink ref="J80" r:id="rId76" xr:uid="{00000000-0004-0000-1300-00004B000000}"/>
    <hyperlink ref="J81" r:id="rId77" xr:uid="{00000000-0004-0000-1300-00004C000000}"/>
    <hyperlink ref="J82" r:id="rId78" xr:uid="{00000000-0004-0000-1300-00004D000000}"/>
    <hyperlink ref="J83" r:id="rId79" xr:uid="{00000000-0004-0000-1300-00004E000000}"/>
    <hyperlink ref="J84" r:id="rId80" xr:uid="{00000000-0004-0000-1300-00004F000000}"/>
    <hyperlink ref="J85" r:id="rId81" xr:uid="{00000000-0004-0000-1300-000050000000}"/>
    <hyperlink ref="J86" r:id="rId82" xr:uid="{00000000-0004-0000-1300-000051000000}"/>
    <hyperlink ref="J87" r:id="rId83" xr:uid="{00000000-0004-0000-1300-000052000000}"/>
    <hyperlink ref="J88" r:id="rId84" xr:uid="{00000000-0004-0000-1300-000053000000}"/>
    <hyperlink ref="J89" r:id="rId85" xr:uid="{00000000-0004-0000-1300-000054000000}"/>
    <hyperlink ref="J90" r:id="rId86" xr:uid="{00000000-0004-0000-1300-000055000000}"/>
    <hyperlink ref="J91" r:id="rId87" xr:uid="{00000000-0004-0000-1300-000056000000}"/>
    <hyperlink ref="J92" r:id="rId88" xr:uid="{00000000-0004-0000-1300-000057000000}"/>
    <hyperlink ref="J93" r:id="rId89" xr:uid="{00000000-0004-0000-1300-000058000000}"/>
    <hyperlink ref="J94" r:id="rId90" xr:uid="{00000000-0004-0000-1300-000059000000}"/>
    <hyperlink ref="J95" r:id="rId91" xr:uid="{00000000-0004-0000-1300-00005A000000}"/>
    <hyperlink ref="J96" r:id="rId92" xr:uid="{00000000-0004-0000-1300-00005B000000}"/>
    <hyperlink ref="J97" r:id="rId93" xr:uid="{00000000-0004-0000-1300-00005C000000}"/>
    <hyperlink ref="J98" r:id="rId94" xr:uid="{00000000-0004-0000-1300-00005D000000}"/>
    <hyperlink ref="J99" r:id="rId95" xr:uid="{00000000-0004-0000-1300-00005E000000}"/>
    <hyperlink ref="J100" r:id="rId96" xr:uid="{00000000-0004-0000-1300-00005F000000}"/>
    <hyperlink ref="J101" r:id="rId97" xr:uid="{00000000-0004-0000-1300-000060000000}"/>
    <hyperlink ref="J102" r:id="rId98" xr:uid="{00000000-0004-0000-1300-000061000000}"/>
    <hyperlink ref="J103" r:id="rId99" xr:uid="{00000000-0004-0000-1300-000062000000}"/>
    <hyperlink ref="J104" r:id="rId100" xr:uid="{00000000-0004-0000-1300-000063000000}"/>
    <hyperlink ref="J105" r:id="rId101" xr:uid="{00000000-0004-0000-1300-000064000000}"/>
    <hyperlink ref="J106" r:id="rId102" xr:uid="{00000000-0004-0000-1300-000065000000}"/>
    <hyperlink ref="J107" r:id="rId103" xr:uid="{00000000-0004-0000-1300-000066000000}"/>
    <hyperlink ref="J108" r:id="rId104" xr:uid="{00000000-0004-0000-1300-000067000000}"/>
    <hyperlink ref="J109" r:id="rId105" xr:uid="{00000000-0004-0000-1300-000068000000}"/>
    <hyperlink ref="J110" r:id="rId106" xr:uid="{00000000-0004-0000-1300-000069000000}"/>
    <hyperlink ref="J111" r:id="rId107" xr:uid="{00000000-0004-0000-1300-00006A000000}"/>
    <hyperlink ref="J112" r:id="rId108" xr:uid="{00000000-0004-0000-1300-00006B000000}"/>
    <hyperlink ref="J113" r:id="rId109" xr:uid="{00000000-0004-0000-1300-00006C000000}"/>
    <hyperlink ref="J114" r:id="rId110" xr:uid="{00000000-0004-0000-1300-00006D000000}"/>
    <hyperlink ref="J115" r:id="rId111" xr:uid="{00000000-0004-0000-1300-00006E000000}"/>
    <hyperlink ref="J116" r:id="rId112" xr:uid="{00000000-0004-0000-1300-00006F000000}"/>
    <hyperlink ref="J117" r:id="rId113" xr:uid="{00000000-0004-0000-1300-000070000000}"/>
    <hyperlink ref="J118" r:id="rId114" xr:uid="{00000000-0004-0000-1300-000071000000}"/>
    <hyperlink ref="J119" r:id="rId115" xr:uid="{00000000-0004-0000-1300-000072000000}"/>
    <hyperlink ref="J120" r:id="rId116" xr:uid="{00000000-0004-0000-1300-000073000000}"/>
    <hyperlink ref="J121" r:id="rId117" xr:uid="{00000000-0004-0000-1300-000074000000}"/>
    <hyperlink ref="J122" r:id="rId118" xr:uid="{00000000-0004-0000-1300-000075000000}"/>
    <hyperlink ref="J123" r:id="rId119" xr:uid="{00000000-0004-0000-1300-000076000000}"/>
    <hyperlink ref="J124" r:id="rId120" xr:uid="{00000000-0004-0000-1300-000077000000}"/>
    <hyperlink ref="J125" r:id="rId121" xr:uid="{00000000-0004-0000-1300-000078000000}"/>
    <hyperlink ref="J126" r:id="rId122" xr:uid="{00000000-0004-0000-1300-000079000000}"/>
    <hyperlink ref="J127" r:id="rId123" xr:uid="{00000000-0004-0000-1300-00007A000000}"/>
    <hyperlink ref="J128" r:id="rId124" xr:uid="{00000000-0004-0000-1300-00007B000000}"/>
    <hyperlink ref="J129" r:id="rId125" xr:uid="{00000000-0004-0000-1300-00007C000000}"/>
    <hyperlink ref="J130" r:id="rId126" xr:uid="{00000000-0004-0000-1300-00007D000000}"/>
    <hyperlink ref="J131" r:id="rId127" xr:uid="{00000000-0004-0000-1300-00007E000000}"/>
    <hyperlink ref="J132" r:id="rId128" xr:uid="{00000000-0004-0000-1300-00007F000000}"/>
    <hyperlink ref="J133" r:id="rId129" xr:uid="{00000000-0004-0000-1300-000080000000}"/>
    <hyperlink ref="J134" r:id="rId130" xr:uid="{00000000-0004-0000-1300-000081000000}"/>
    <hyperlink ref="J135" r:id="rId131" xr:uid="{00000000-0004-0000-1300-000082000000}"/>
    <hyperlink ref="J136" r:id="rId132" xr:uid="{00000000-0004-0000-1300-000083000000}"/>
    <hyperlink ref="J137" r:id="rId133" xr:uid="{00000000-0004-0000-1300-000084000000}"/>
    <hyperlink ref="J138" r:id="rId134" xr:uid="{00000000-0004-0000-1300-000085000000}"/>
    <hyperlink ref="J139" r:id="rId135" xr:uid="{00000000-0004-0000-1300-000086000000}"/>
    <hyperlink ref="J140" r:id="rId136" xr:uid="{00000000-0004-0000-1300-000087000000}"/>
    <hyperlink ref="J141" r:id="rId137" xr:uid="{00000000-0004-0000-1300-000088000000}"/>
  </hyperlinks>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G87"/>
  <sheetViews>
    <sheetView workbookViewId="0">
      <pane ySplit="3" topLeftCell="A4" activePane="bottomLeft" state="frozen"/>
      <selection pane="bottomLeft"/>
    </sheetView>
  </sheetViews>
  <sheetFormatPr defaultRowHeight="14.25"/>
  <cols>
    <col min="1" max="1" width="2" customWidth="1"/>
    <col min="2" max="2" width="46" customWidth="1"/>
    <col min="3" max="5" width="16" customWidth="1"/>
    <col min="6" max="6" width="14" customWidth="1"/>
    <col min="7" max="7" width="70" customWidth="1"/>
  </cols>
  <sheetData>
    <row r="1" spans="2:7" ht="21.95" customHeight="1">
      <c r="B1" s="94" t="s">
        <v>3101</v>
      </c>
    </row>
    <row r="2" spans="2:7" ht="16.5">
      <c r="B2" s="86" t="s">
        <v>3102</v>
      </c>
      <c r="E2" s="81" t="s">
        <v>3103</v>
      </c>
      <c r="F2" s="81" t="str">
        <f>IF(COUNTIF(F5:F400,"FAIL*")&gt;0,"FAIL",IF(COUNTIF(F5:F400,"要説明")+COUNTIF(F5:F400,"警告")&gt;0,"PASS（警告あり）","PASS"))</f>
        <v>PASS（警告あり）</v>
      </c>
    </row>
    <row r="4" spans="2:7" ht="20.100000000000001" customHeight="1">
      <c r="B4" s="95" t="s">
        <v>3104</v>
      </c>
      <c r="C4" s="11"/>
      <c r="D4" s="11"/>
      <c r="E4" s="11"/>
      <c r="F4" s="11"/>
      <c r="G4" s="11"/>
    </row>
    <row r="5" spans="2:7" ht="16.5">
      <c r="B5" s="86" t="s">
        <v>3105</v>
      </c>
      <c r="C5" s="86" t="s">
        <v>3215</v>
      </c>
      <c r="D5" s="86"/>
      <c r="E5" s="86"/>
      <c r="F5" s="86" t="s">
        <v>3149</v>
      </c>
      <c r="G5" s="86"/>
    </row>
    <row r="6" spans="2:7" ht="16.5">
      <c r="B6" s="86" t="s">
        <v>3106</v>
      </c>
      <c r="C6" s="86">
        <v>0</v>
      </c>
      <c r="D6" s="86"/>
      <c r="E6" s="86"/>
      <c r="F6" s="86" t="s">
        <v>3149</v>
      </c>
      <c r="G6" s="86"/>
    </row>
    <row r="7" spans="2:7" ht="16.5">
      <c r="B7" s="86" t="s">
        <v>3107</v>
      </c>
      <c r="C7" s="86"/>
      <c r="D7" s="86"/>
      <c r="E7" s="86"/>
      <c r="F7" s="86" t="s">
        <v>3149</v>
      </c>
      <c r="G7" s="86"/>
    </row>
    <row r="8" spans="2:7" ht="16.5">
      <c r="B8" s="86" t="s">
        <v>3108</v>
      </c>
      <c r="C8" s="86">
        <v>128.72753564034389</v>
      </c>
      <c r="D8" s="86">
        <v>173.24516141407418</v>
      </c>
      <c r="E8" s="86">
        <v>84.838547509987507</v>
      </c>
      <c r="F8" s="86" t="s">
        <v>3149</v>
      </c>
      <c r="G8" s="86"/>
    </row>
    <row r="9" spans="2:7" ht="16.5">
      <c r="B9" s="86" t="s">
        <v>3109</v>
      </c>
      <c r="C9" s="86" t="s">
        <v>3216</v>
      </c>
      <c r="D9" s="86" t="s">
        <v>3217</v>
      </c>
      <c r="E9" s="86"/>
      <c r="F9" s="86" t="s">
        <v>3149</v>
      </c>
      <c r="G9" s="86" t="s">
        <v>3218</v>
      </c>
    </row>
    <row r="10" spans="2:7" ht="16.5">
      <c r="B10" s="86" t="s">
        <v>3110</v>
      </c>
      <c r="C10" s="86">
        <v>128.72753564034394</v>
      </c>
      <c r="D10" s="86">
        <v>128.72753564034389</v>
      </c>
      <c r="E10" s="86"/>
      <c r="F10" s="86" t="s">
        <v>3149</v>
      </c>
      <c r="G10" s="86"/>
    </row>
    <row r="11" spans="2:7" ht="16.5">
      <c r="B11" s="86" t="s">
        <v>3111</v>
      </c>
      <c r="C11" s="86">
        <v>128.72753564034389</v>
      </c>
      <c r="D11" s="86">
        <v>128.72753564034389</v>
      </c>
      <c r="E11" s="86"/>
      <c r="F11" s="86" t="s">
        <v>3149</v>
      </c>
      <c r="G11" s="86"/>
    </row>
    <row r="12" spans="2:7" ht="16.5">
      <c r="B12" s="86" t="s">
        <v>3112</v>
      </c>
      <c r="C12" s="86">
        <v>128.72753564034389</v>
      </c>
      <c r="D12" s="86">
        <v>128.72753564034389</v>
      </c>
      <c r="E12" s="86"/>
      <c r="F12" s="86" t="s">
        <v>3149</v>
      </c>
      <c r="G12" s="86"/>
    </row>
    <row r="13" spans="2:7" ht="16.5">
      <c r="B13" s="86" t="s">
        <v>3113</v>
      </c>
      <c r="C13" s="86">
        <v>0</v>
      </c>
      <c r="D13" s="86">
        <v>40</v>
      </c>
      <c r="E13" s="86"/>
      <c r="F13" s="86" t="s">
        <v>3149</v>
      </c>
      <c r="G13" s="86" t="s">
        <v>3219</v>
      </c>
    </row>
    <row r="14" spans="2:7" ht="16.5">
      <c r="B14" s="86" t="s">
        <v>3114</v>
      </c>
      <c r="C14" s="150">
        <v>46319.011087962965</v>
      </c>
      <c r="D14" s="86"/>
      <c r="E14" s="86"/>
      <c r="F14" s="86"/>
      <c r="G14" s="86" t="s">
        <v>3220</v>
      </c>
    </row>
    <row r="16" spans="2:7" ht="20.100000000000001" customHeight="1">
      <c r="B16" s="95" t="s">
        <v>3115</v>
      </c>
      <c r="C16" s="11"/>
      <c r="D16" s="11"/>
      <c r="E16" s="11"/>
      <c r="F16" s="11"/>
      <c r="G16" s="11"/>
    </row>
    <row r="17" spans="2:7" ht="16.5">
      <c r="B17" s="12" t="s">
        <v>61</v>
      </c>
      <c r="C17" s="12" t="s">
        <v>128</v>
      </c>
      <c r="D17" s="12" t="s">
        <v>3116</v>
      </c>
      <c r="E17" s="12" t="s">
        <v>644</v>
      </c>
      <c r="F17" s="12" t="s">
        <v>3117</v>
      </c>
      <c r="G17" s="12" t="s">
        <v>3118</v>
      </c>
    </row>
    <row r="18" spans="2:7" ht="16.5">
      <c r="B18" s="86" t="s">
        <v>3119</v>
      </c>
      <c r="C18" s="128">
        <f>計算_DCF!$E$66-計算_DCF!$C$53</f>
        <v>0</v>
      </c>
      <c r="D18" s="86" t="s">
        <v>3120</v>
      </c>
      <c r="E18" s="86">
        <f>'2_投資判断'!$C$4</f>
        <v>1</v>
      </c>
      <c r="F18" s="81" t="str">
        <f>IF(ABS(C18)&lt;0.01,"PASS","FAIL")</f>
        <v>PASS</v>
      </c>
      <c r="G18" s="14" t="s">
        <v>3121</v>
      </c>
    </row>
    <row r="19" spans="2:7" ht="16.5">
      <c r="B19" s="86" t="s">
        <v>3122</v>
      </c>
      <c r="C19" s="128">
        <f>計算_DCF!$E$76-計算_DCF!$C$53</f>
        <v>0</v>
      </c>
      <c r="D19" s="86" t="s">
        <v>3120</v>
      </c>
      <c r="E19" s="86">
        <f>'2_投資判断'!$C$4</f>
        <v>1</v>
      </c>
      <c r="F19" s="81" t="str">
        <f>IF(ABS(C19)&lt;0.01,"PASS","FAIL")</f>
        <v>PASS</v>
      </c>
      <c r="G19" s="14"/>
    </row>
    <row r="20" spans="2:7" ht="16.5">
      <c r="B20" s="86" t="s">
        <v>3123</v>
      </c>
      <c r="C20" s="128">
        <f>IF('2_投資判断'!$C$4=1,'2_投資判断'!$C$150-計算_DCF!$C$53,0)</f>
        <v>5.6843418860808015E-14</v>
      </c>
      <c r="D20" s="86" t="s">
        <v>3120</v>
      </c>
      <c r="E20" s="86">
        <f>'2_投資判断'!$C$4</f>
        <v>1</v>
      </c>
      <c r="F20" s="81" t="str">
        <f>IF('2_投資判断'!$C$4&lt;&gt;1,"SKIP（base以外）",IF(ABS(C20)&lt;0.01,"PASS","FAIL"))</f>
        <v>PASS</v>
      </c>
      <c r="G20" s="14" t="s">
        <v>3124</v>
      </c>
    </row>
    <row r="21" spans="2:7" ht="16.5">
      <c r="B21" s="86" t="s">
        <v>3125</v>
      </c>
      <c r="C21" s="128">
        <f>MAX(ABS(CHOOSE('2_投資判断'!$C$4,計算_シナリオ!$C$55,計算_シナリオ!$C$116,計算_シナリオ!$C$177)-計算_DCF!$C$41),ABS(CHOOSE('2_投資判断'!$C$4,計算_シナリオ!$D$55,計算_シナリオ!$D$116,計算_シナリオ!$D$177)-計算_DCF!$D$41),ABS(CHOOSE('2_投資判断'!$C$4,計算_シナリオ!$E$55,計算_シナリオ!$E$116,計算_シナリオ!$E$177)-計算_DCF!$E$41))</f>
        <v>1.8189894035458565E-12</v>
      </c>
      <c r="D21" s="86" t="s">
        <v>3126</v>
      </c>
      <c r="E21" s="86">
        <f>'2_投資判断'!$C$4</f>
        <v>1</v>
      </c>
      <c r="F21" s="81" t="str">
        <f>IF(C21&lt;1,"PASS","FAIL")</f>
        <v>PASS</v>
      </c>
      <c r="G21" s="14" t="s">
        <v>3127</v>
      </c>
    </row>
    <row r="22" spans="2:7" ht="16.5">
      <c r="B22" s="86" t="s">
        <v>3128</v>
      </c>
      <c r="C22" s="128">
        <f>計算_DCF!$C$14-計算_DCF!$C$15</f>
        <v>6.2911250000000002E-2</v>
      </c>
      <c r="D22" s="86" t="s">
        <v>3129</v>
      </c>
      <c r="E22" s="86">
        <f>'2_投資判断'!$C$4</f>
        <v>1</v>
      </c>
      <c r="F22" s="81" t="str">
        <f>IF(C22&gt;0,"PASS","FAIL")</f>
        <v>PASS</v>
      </c>
      <c r="G22" s="14"/>
    </row>
    <row r="23" spans="2:7" ht="16.5">
      <c r="B23" s="86" t="s">
        <v>3130</v>
      </c>
      <c r="C23" s="128">
        <f>計算_シナリオ!$C$5+計算_シナリオ!$C$6+計算_シナリオ!$C$7</f>
        <v>1</v>
      </c>
      <c r="D23" s="86">
        <f>1</f>
        <v>1</v>
      </c>
      <c r="E23" s="86">
        <f>'2_投資判断'!$C$4</f>
        <v>1</v>
      </c>
      <c r="F23" s="81" t="str">
        <f>IF(ABS(C23-1)&lt;0.001,"PASS","FAIL")</f>
        <v>PASS</v>
      </c>
      <c r="G23" s="14"/>
    </row>
    <row r="24" spans="2:7" ht="16.5">
      <c r="B24" s="86" t="s">
        <v>672</v>
      </c>
      <c r="C24" s="128">
        <f>計算_DCF!$C$54</f>
        <v>0.51943378544587659</v>
      </c>
      <c r="D24" s="86" t="s">
        <v>3131</v>
      </c>
      <c r="E24" s="86">
        <f>'2_投資判断'!$C$4</f>
        <v>1</v>
      </c>
      <c r="F24" s="81" t="str">
        <f>IF(C24&gt;0.85,"警告","PASS")</f>
        <v>PASS</v>
      </c>
      <c r="G24" s="14" t="s">
        <v>3132</v>
      </c>
    </row>
    <row r="25" spans="2:7" ht="33">
      <c r="B25" s="86" t="s">
        <v>3133</v>
      </c>
      <c r="C25" s="128">
        <f>COUNTIF(計算_シナリオ!$D$5:$D$7,"&lt;0")</f>
        <v>0</v>
      </c>
      <c r="D25" s="86" t="s">
        <v>3134</v>
      </c>
      <c r="E25" s="86">
        <f>'2_投資判断'!$C$4</f>
        <v>1</v>
      </c>
      <c r="F25" s="81" t="str">
        <f>IF(C25&gt;0,"警告","PASS")</f>
        <v>PASS</v>
      </c>
      <c r="G25" s="14" t="s">
        <v>3135</v>
      </c>
    </row>
    <row r="26" spans="2:7" ht="33">
      <c r="B26" s="86" t="s">
        <v>3136</v>
      </c>
      <c r="C26" s="128">
        <f>'2_投資判断'!$C$150</f>
        <v>128.72753564034394</v>
      </c>
      <c r="D26" s="86" t="s">
        <v>3137</v>
      </c>
      <c r="E26" s="86">
        <f>'2_投資判断'!$C$4</f>
        <v>1</v>
      </c>
      <c r="F26" s="81" t="str">
        <f>IF(C26&lt;0,"FAIL","PASS")</f>
        <v>PASS</v>
      </c>
      <c r="G26" s="14" t="s">
        <v>3138</v>
      </c>
    </row>
    <row r="27" spans="2:7" ht="16.5">
      <c r="B27" s="86" t="s">
        <v>3139</v>
      </c>
      <c r="C27" s="128">
        <f>IF(OR('2_投資判断'!$G$165="下限を下回る",'2_投資判断'!$G$165="上限を上回る"),1,0)</f>
        <v>1</v>
      </c>
      <c r="D27" s="86" t="s">
        <v>3140</v>
      </c>
      <c r="E27" s="86">
        <f>'2_投資判断'!$C$4</f>
        <v>1</v>
      </c>
      <c r="F27" s="81" t="str">
        <f>IF(OR('2_投資判断'!$G$165="下限を下回る",'2_投資判断'!$G$165="上限を上回る"),"要説明",IF('2_投資判断'!$G$165="レンジ内","PASS","n.a."))</f>
        <v>要説明</v>
      </c>
      <c r="G27" s="14" t="s">
        <v>3141</v>
      </c>
    </row>
    <row r="28" spans="2:7" ht="16.5">
      <c r="B28" s="86" t="s">
        <v>3142</v>
      </c>
      <c r="C28" s="128">
        <f>IF(OR('2_投資判断'!$G$166="下限を下回る",'2_投資判断'!$G$166="上限を上回る"),1,0)</f>
        <v>1</v>
      </c>
      <c r="D28" s="86" t="s">
        <v>3140</v>
      </c>
      <c r="E28" s="86">
        <f>'2_投資判断'!$C$4</f>
        <v>1</v>
      </c>
      <c r="F28" s="81" t="str">
        <f>IF(OR('2_投資判断'!$G$166="下限を下回る",'2_投資判断'!$G$166="上限を上回る"),"要説明",IF('2_投資判断'!$G$166="レンジ内","PASS","n.a."))</f>
        <v>要説明</v>
      </c>
      <c r="G28" s="14" t="s">
        <v>3141</v>
      </c>
    </row>
    <row r="29" spans="2:7" ht="16.5">
      <c r="B29" s="101" t="s">
        <v>3143</v>
      </c>
      <c r="C29" s="129">
        <f>COUNTIF(データ_整合検査!$D$6:$K$6,"&gt;5")+COUNTIF(データ_整合検査!$D$6:$K$6,"&lt;-5")+COUNTIF(データ_整合検査!$D$7:$K$7,"&gt;5")+COUNTIF(データ_整合検査!$D$7:$K$7,"&lt;-5")+COUNTIF(データ_整合検査!$D$8:$K$8,"&gt;5")+COUNTIF(データ_整合検査!$D$8:$K$8,"&lt;-5")+COUNTIF(データ_整合検査!$D$10:$K$10,"&gt;5")+COUNTIF(データ_整合検査!$D$10:$K$10,"&lt;-5")+COUNTIF(データ_整合検査!$D$11:$K$11,"&gt;5")+COUNTIF(データ_整合検査!$D$11:$K$11,"&lt;-5")</f>
        <v>0</v>
      </c>
      <c r="D29" s="101" t="s">
        <v>3144</v>
      </c>
      <c r="E29" s="101">
        <f>'2_投資判断'!$C$4</f>
        <v>1</v>
      </c>
      <c r="F29" s="120" t="str">
        <f>IF(C29=0,"PASS","FAIL")</f>
        <v>PASS</v>
      </c>
      <c r="G29" s="16" t="s">
        <v>3145</v>
      </c>
    </row>
    <row r="31" spans="2:7" ht="20.100000000000001" customHeight="1">
      <c r="B31" s="95" t="s">
        <v>3146</v>
      </c>
      <c r="C31" s="11"/>
      <c r="D31" s="11"/>
      <c r="E31" s="11"/>
      <c r="F31" s="11"/>
      <c r="G31" s="11"/>
    </row>
    <row r="32" spans="2:7" ht="16.5">
      <c r="B32" s="12" t="s">
        <v>61</v>
      </c>
      <c r="C32" s="12" t="s">
        <v>3147</v>
      </c>
      <c r="D32" s="18"/>
      <c r="E32" s="18"/>
      <c r="F32" s="12" t="s">
        <v>3117</v>
      </c>
      <c r="G32" s="12" t="s">
        <v>15</v>
      </c>
    </row>
    <row r="33" spans="2:7" ht="17.100000000000001" customHeight="1">
      <c r="B33" s="86" t="s">
        <v>3148</v>
      </c>
      <c r="C33" s="86">
        <v>0</v>
      </c>
      <c r="F33" s="81" t="s">
        <v>3149</v>
      </c>
      <c r="G33" s="14"/>
    </row>
    <row r="34" spans="2:7" ht="17.100000000000001" customHeight="1">
      <c r="B34" s="86" t="s">
        <v>3150</v>
      </c>
      <c r="C34" s="86">
        <v>0</v>
      </c>
      <c r="F34" s="81" t="s">
        <v>3149</v>
      </c>
      <c r="G34" s="14"/>
    </row>
    <row r="35" spans="2:7" ht="17.100000000000001" customHeight="1">
      <c r="B35" s="86" t="s">
        <v>3151</v>
      </c>
      <c r="C35" s="86">
        <v>0</v>
      </c>
      <c r="F35" s="81" t="s">
        <v>3149</v>
      </c>
      <c r="G35" s="14"/>
    </row>
    <row r="36" spans="2:7" ht="17.100000000000001" customHeight="1">
      <c r="B36" s="86" t="s">
        <v>3152</v>
      </c>
      <c r="C36" s="86">
        <v>0</v>
      </c>
      <c r="F36" s="81" t="s">
        <v>3149</v>
      </c>
      <c r="G36" s="14"/>
    </row>
    <row r="37" spans="2:7" ht="17.100000000000001" customHeight="1">
      <c r="B37" s="86" t="s">
        <v>3153</v>
      </c>
      <c r="C37" s="86">
        <v>0</v>
      </c>
      <c r="F37" s="81" t="s">
        <v>3149</v>
      </c>
      <c r="G37" s="14"/>
    </row>
    <row r="38" spans="2:7" ht="17.100000000000001" customHeight="1">
      <c r="B38" s="86" t="s">
        <v>3154</v>
      </c>
      <c r="C38" s="86">
        <v>0</v>
      </c>
      <c r="F38" s="81" t="s">
        <v>3149</v>
      </c>
      <c r="G38" s="14"/>
    </row>
    <row r="39" spans="2:7" ht="17.100000000000001" customHeight="1">
      <c r="B39" s="86" t="s">
        <v>3155</v>
      </c>
      <c r="C39" s="86" t="s">
        <v>3156</v>
      </c>
      <c r="F39" s="81" t="s">
        <v>3157</v>
      </c>
      <c r="G39" s="14" t="s">
        <v>3158</v>
      </c>
    </row>
    <row r="40" spans="2:7" ht="105" customHeight="1">
      <c r="B40" s="86" t="s">
        <v>3159</v>
      </c>
      <c r="C40" s="86">
        <v>12</v>
      </c>
      <c r="F40" s="81" t="s">
        <v>3149</v>
      </c>
      <c r="G40" s="14" t="s">
        <v>3160</v>
      </c>
    </row>
    <row r="41" spans="2:7" ht="17.100000000000001" customHeight="1">
      <c r="B41" s="86" t="s">
        <v>3161</v>
      </c>
      <c r="C41" s="86" t="s">
        <v>3162</v>
      </c>
      <c r="F41" s="81" t="s">
        <v>3149</v>
      </c>
      <c r="G41" s="14"/>
    </row>
    <row r="42" spans="2:7" ht="36.950000000000003" customHeight="1">
      <c r="B42" s="86" t="s">
        <v>3163</v>
      </c>
      <c r="C42" s="86" t="s">
        <v>3164</v>
      </c>
      <c r="F42" s="81" t="s">
        <v>3149</v>
      </c>
      <c r="G42" s="14" t="s">
        <v>3165</v>
      </c>
    </row>
    <row r="43" spans="2:7" ht="17.100000000000001" customHeight="1">
      <c r="B43" s="86" t="s">
        <v>3166</v>
      </c>
      <c r="C43" s="86" t="s">
        <v>3164</v>
      </c>
      <c r="F43" s="81" t="s">
        <v>3149</v>
      </c>
      <c r="G43" s="14" t="s">
        <v>3167</v>
      </c>
    </row>
    <row r="44" spans="2:7" ht="54" customHeight="1">
      <c r="B44" s="86" t="s">
        <v>973</v>
      </c>
      <c r="C44" s="86" t="s">
        <v>3168</v>
      </c>
      <c r="F44" s="81" t="s">
        <v>3149</v>
      </c>
      <c r="G44" s="14" t="s">
        <v>3169</v>
      </c>
    </row>
    <row r="45" spans="2:7" ht="17.100000000000001" customHeight="1">
      <c r="B45" s="86" t="s">
        <v>3170</v>
      </c>
      <c r="C45" s="86" t="s">
        <v>888</v>
      </c>
      <c r="F45" s="81" t="s">
        <v>3149</v>
      </c>
      <c r="G45" s="14" t="s">
        <v>3171</v>
      </c>
    </row>
    <row r="46" spans="2:7" ht="17.100000000000001" customHeight="1">
      <c r="B46" s="86" t="s">
        <v>3172</v>
      </c>
      <c r="C46" s="86">
        <v>0</v>
      </c>
      <c r="F46" s="81" t="s">
        <v>3149</v>
      </c>
      <c r="G46" s="14" t="s">
        <v>3173</v>
      </c>
    </row>
    <row r="47" spans="2:7" ht="17.100000000000001" customHeight="1">
      <c r="B47" s="101" t="s">
        <v>3174</v>
      </c>
      <c r="C47" s="101">
        <v>1</v>
      </c>
      <c r="D47" s="21"/>
      <c r="E47" s="21"/>
      <c r="F47" s="120" t="s">
        <v>3157</v>
      </c>
      <c r="G47" s="16" t="s">
        <v>615</v>
      </c>
    </row>
    <row r="49" spans="2:7" ht="16.5">
      <c r="B49" s="139" t="s">
        <v>3175</v>
      </c>
    </row>
    <row r="50" spans="2:7" ht="16.5">
      <c r="B50" s="12" t="s">
        <v>3176</v>
      </c>
      <c r="C50" s="12" t="s">
        <v>791</v>
      </c>
      <c r="D50" s="12" t="s">
        <v>794</v>
      </c>
      <c r="E50" s="12" t="s">
        <v>797</v>
      </c>
      <c r="F50" s="12" t="s">
        <v>3177</v>
      </c>
      <c r="G50" s="12" t="s">
        <v>3178</v>
      </c>
    </row>
    <row r="51" spans="2:7" ht="16.5">
      <c r="B51" s="86" t="s">
        <v>804</v>
      </c>
      <c r="C51" s="111">
        <v>0.26600000000000001</v>
      </c>
      <c r="D51" s="111">
        <v>0.26600000000000001</v>
      </c>
      <c r="E51" s="111">
        <v>0.26600000000000001</v>
      </c>
      <c r="F51" s="111">
        <v>0.1304903778530784</v>
      </c>
      <c r="G51" s="86" t="s">
        <v>3179</v>
      </c>
    </row>
    <row r="52" spans="2:7" ht="16.5">
      <c r="B52" s="86" t="s">
        <v>807</v>
      </c>
      <c r="C52" s="111">
        <v>0.04</v>
      </c>
      <c r="D52" s="111">
        <v>0.04</v>
      </c>
      <c r="E52" s="111">
        <v>0.04</v>
      </c>
      <c r="F52" s="111">
        <v>0</v>
      </c>
      <c r="G52" s="86" t="s">
        <v>3180</v>
      </c>
    </row>
    <row r="53" spans="2:7" ht="16.5">
      <c r="B53" s="86" t="s">
        <v>810</v>
      </c>
      <c r="C53" s="111">
        <v>-9.6000000000000002E-2</v>
      </c>
      <c r="D53" s="111">
        <v>-9.6000000000000002E-2</v>
      </c>
      <c r="E53" s="111">
        <v>-9.6000000000000002E-2</v>
      </c>
      <c r="F53" s="111">
        <v>0</v>
      </c>
      <c r="G53" s="86" t="s">
        <v>3181</v>
      </c>
    </row>
    <row r="54" spans="2:7" ht="16.5">
      <c r="B54" s="86" t="s">
        <v>813</v>
      </c>
      <c r="C54" s="111">
        <v>-0.30599999999999999</v>
      </c>
      <c r="D54" s="111">
        <v>-0.30599999999999999</v>
      </c>
      <c r="E54" s="111">
        <v>-0.30599999999999999</v>
      </c>
      <c r="F54" s="111">
        <v>0</v>
      </c>
      <c r="G54" s="86" t="s">
        <v>3182</v>
      </c>
    </row>
    <row r="55" spans="2:7" ht="16.5">
      <c r="B55" s="86" t="s">
        <v>816</v>
      </c>
      <c r="C55" s="111">
        <v>0.62</v>
      </c>
      <c r="D55" s="111">
        <v>0.62</v>
      </c>
      <c r="E55" s="111">
        <v>0.62</v>
      </c>
      <c r="F55" s="111">
        <v>0.57024092297251439</v>
      </c>
      <c r="G55" s="86" t="s">
        <v>3183</v>
      </c>
    </row>
    <row r="56" spans="2:7" ht="16.5">
      <c r="B56" s="86" t="s">
        <v>818</v>
      </c>
      <c r="C56" s="111">
        <v>8.4000000000000005E-2</v>
      </c>
      <c r="D56" s="111">
        <v>8.4000000000000005E-2</v>
      </c>
      <c r="E56" s="111">
        <v>8.4000000000000005E-2</v>
      </c>
      <c r="F56" s="111">
        <v>0.1051917203936206</v>
      </c>
      <c r="G56" s="86" t="s">
        <v>3184</v>
      </c>
    </row>
    <row r="57" spans="2:7" ht="16.5">
      <c r="B57" s="86" t="s">
        <v>821</v>
      </c>
      <c r="C57" s="111">
        <v>9.6000000000000002E-2</v>
      </c>
      <c r="D57" s="111">
        <v>9.6000000000000002E-2</v>
      </c>
      <c r="E57" s="111">
        <v>9.6000000000000002E-2</v>
      </c>
      <c r="F57" s="111">
        <v>0.1178034159031784</v>
      </c>
      <c r="G57" s="86" t="s">
        <v>3185</v>
      </c>
    </row>
    <row r="58" spans="2:7" ht="16.5">
      <c r="B58" s="86" t="s">
        <v>824</v>
      </c>
      <c r="C58" s="111">
        <v>0.12</v>
      </c>
      <c r="D58" s="111">
        <v>0.12</v>
      </c>
      <c r="E58" s="111">
        <v>0.12</v>
      </c>
      <c r="F58" s="111">
        <v>0.12240496090590459</v>
      </c>
      <c r="G58" s="86" t="s">
        <v>3186</v>
      </c>
    </row>
    <row r="59" spans="2:7" ht="16.5">
      <c r="B59" s="86" t="s">
        <v>827</v>
      </c>
      <c r="C59" s="111">
        <v>200</v>
      </c>
      <c r="D59" s="111">
        <v>200</v>
      </c>
      <c r="E59" s="111">
        <v>200</v>
      </c>
      <c r="F59" s="111">
        <v>230.74878273457031</v>
      </c>
      <c r="G59" s="86" t="s">
        <v>3187</v>
      </c>
    </row>
    <row r="60" spans="2:7" ht="16.5">
      <c r="B60" s="101" t="s">
        <v>830</v>
      </c>
      <c r="C60" s="140">
        <v>0.125</v>
      </c>
      <c r="D60" s="140">
        <v>0.125</v>
      </c>
      <c r="E60" s="140">
        <v>0.125</v>
      </c>
      <c r="F60" s="140">
        <v>0.25732383214568488</v>
      </c>
      <c r="G60" s="101" t="s">
        <v>3188</v>
      </c>
    </row>
    <row r="62" spans="2:7" ht="16.5">
      <c r="B62" s="139" t="s">
        <v>3189</v>
      </c>
    </row>
    <row r="63" spans="2:7" ht="16.5">
      <c r="B63" s="86" t="s">
        <v>3190</v>
      </c>
    </row>
    <row r="64" spans="2:7" ht="16.5">
      <c r="B64" s="86" t="s">
        <v>3191</v>
      </c>
    </row>
    <row r="65" spans="2:2" ht="16.5">
      <c r="B65" s="86" t="s">
        <v>3192</v>
      </c>
    </row>
    <row r="66" spans="2:2" ht="16.5">
      <c r="B66" s="86" t="s">
        <v>3193</v>
      </c>
    </row>
    <row r="67" spans="2:2" ht="16.5">
      <c r="B67" s="86" t="s">
        <v>3194</v>
      </c>
    </row>
    <row r="68" spans="2:2" ht="16.5">
      <c r="B68" s="86" t="s">
        <v>3195</v>
      </c>
    </row>
    <row r="69" spans="2:2" ht="16.5">
      <c r="B69" s="86" t="s">
        <v>3196</v>
      </c>
    </row>
    <row r="70" spans="2:2" ht="16.5">
      <c r="B70" s="86" t="s">
        <v>3197</v>
      </c>
    </row>
    <row r="71" spans="2:2" ht="16.5">
      <c r="B71" s="86" t="s">
        <v>3198</v>
      </c>
    </row>
    <row r="72" spans="2:2" ht="16.5">
      <c r="B72" s="86" t="s">
        <v>3199</v>
      </c>
    </row>
    <row r="73" spans="2:2" ht="16.5">
      <c r="B73" s="86" t="s">
        <v>3200</v>
      </c>
    </row>
    <row r="74" spans="2:2" ht="16.5">
      <c r="B74" s="86" t="s">
        <v>3201</v>
      </c>
    </row>
    <row r="75" spans="2:2" ht="16.5">
      <c r="B75" s="86" t="s">
        <v>3202</v>
      </c>
    </row>
    <row r="76" spans="2:2" ht="16.5">
      <c r="B76" s="86" t="s">
        <v>3203</v>
      </c>
    </row>
    <row r="77" spans="2:2" ht="16.5">
      <c r="B77" s="86" t="s">
        <v>3204</v>
      </c>
    </row>
    <row r="78" spans="2:2" ht="16.5">
      <c r="B78" s="86" t="s">
        <v>3205</v>
      </c>
    </row>
    <row r="79" spans="2:2" ht="16.5">
      <c r="B79" s="86" t="s">
        <v>3206</v>
      </c>
    </row>
    <row r="80" spans="2:2" ht="16.5">
      <c r="B80" s="86" t="s">
        <v>3207</v>
      </c>
    </row>
    <row r="81" spans="2:7" ht="16.5">
      <c r="B81" s="86" t="s">
        <v>3208</v>
      </c>
    </row>
    <row r="82" spans="2:7" ht="16.5">
      <c r="B82" s="86" t="s">
        <v>3209</v>
      </c>
    </row>
    <row r="84" spans="2:7" ht="20.100000000000001" customHeight="1">
      <c r="B84" s="95" t="s">
        <v>3210</v>
      </c>
      <c r="C84" s="11"/>
      <c r="D84" s="11"/>
      <c r="E84" s="11"/>
      <c r="F84" s="11"/>
      <c r="G84" s="11"/>
    </row>
    <row r="85" spans="2:7" ht="16.5">
      <c r="B85" s="12" t="s">
        <v>61</v>
      </c>
      <c r="C85" s="148" t="s">
        <v>15</v>
      </c>
      <c r="D85" s="149"/>
      <c r="E85" s="149"/>
      <c r="F85" s="149"/>
      <c r="G85" s="149"/>
    </row>
    <row r="86" spans="2:7" ht="36.950000000000003" customHeight="1">
      <c r="B86" s="14" t="s">
        <v>3211</v>
      </c>
      <c r="C86" s="141" t="s">
        <v>3212</v>
      </c>
      <c r="D86" s="142"/>
      <c r="E86" s="142"/>
      <c r="F86" s="142"/>
      <c r="G86" s="142"/>
    </row>
    <row r="87" spans="2:7" ht="36.950000000000003" customHeight="1">
      <c r="B87" s="16" t="s">
        <v>3213</v>
      </c>
      <c r="C87" s="143" t="s">
        <v>3214</v>
      </c>
      <c r="D87" s="144"/>
      <c r="E87" s="144"/>
      <c r="F87" s="144"/>
      <c r="G87" s="144"/>
    </row>
  </sheetData>
  <mergeCells count="3">
    <mergeCell ref="C86:G86"/>
    <mergeCell ref="C85:G85"/>
    <mergeCell ref="C87:G87"/>
  </mergeCells>
  <phoneticPr fontId="12"/>
  <conditionalFormatting sqref="F2">
    <cfRule type="expression" dxfId="7" priority="1">
      <formula>LEFT(F2,4)="FAIL"</formula>
    </cfRule>
    <cfRule type="expression" dxfId="6" priority="2">
      <formula>LEFT(F2,4)="PASS"</formula>
    </cfRule>
  </conditionalFormatting>
  <conditionalFormatting sqref="F5:F14">
    <cfRule type="expression" dxfId="5" priority="3">
      <formula>LEFT(F5,4)="FAIL"</formula>
    </cfRule>
    <cfRule type="expression" dxfId="4" priority="4">
      <formula>LEFT(F5,4)="PASS"</formula>
    </cfRule>
  </conditionalFormatting>
  <conditionalFormatting sqref="F18:F29">
    <cfRule type="expression" dxfId="3" priority="5">
      <formula>LEFT(F18,4)="FAIL"</formula>
    </cfRule>
    <cfRule type="expression" dxfId="2" priority="6">
      <formula>LEFT(F18,4)="PASS"</formula>
    </cfRule>
  </conditionalFormatting>
  <conditionalFormatting sqref="F33:F47">
    <cfRule type="expression" dxfId="1" priority="7">
      <formula>LEFT(F33,4)="FAIL"</formula>
    </cfRule>
    <cfRule type="expression" dxfId="0" priority="8">
      <formula>LEFT(F33,4)="PASS"</formula>
    </cfRule>
  </conditionalFormatting>
  <printOptions horizontalCentered="1"/>
  <pageMargins left="0.4" right="0.4" top="0.6" bottom="0.6" header="0.25" footer="0.25"/>
  <pageSetup paperSize="9" fitToHeight="0" orientation="landscape"/>
  <headerFooter>
    <oddHeader>&amp;L&amp;9 TXN Texas Instruments&amp;R&amp;9 &amp;A</oddHeader>
    <oddFooter>&amp;C&amp;9 &amp;P / &amp;N</oddFooter>
    <evenHeader>&amp;L&amp;9 TXN Texas Instruments&amp;R&amp;9 &amp;A</evenHeader>
    <evenFooter>&amp;C&amp;9 &amp;P / &amp;N</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24</vt:i4>
      </vt:variant>
    </vt:vector>
  </HeadingPairs>
  <TitlesOfParts>
    <vt:vector size="45" baseType="lpstr">
      <vt:lpstr>表紙</vt:lpstr>
      <vt:lpstr>1_企業分析</vt:lpstr>
      <vt:lpstr>2_投資判断</vt:lpstr>
      <vt:lpstr>3_Summary</vt:lpstr>
      <vt:lpstr>3_PL</vt:lpstr>
      <vt:lpstr>3_BS</vt:lpstr>
      <vt:lpstr>3_CF</vt:lpstr>
      <vt:lpstr>3_セグメント売上</vt:lpstr>
      <vt:lpstr>3_地域別売上</vt:lpstr>
      <vt:lpstr>3_Forecast</vt:lpstr>
      <vt:lpstr>3_Assumptions</vt:lpstr>
      <vt:lpstr>計算_DCF</vt:lpstr>
      <vt:lpstr>計算_シナリオ</vt:lpstr>
      <vt:lpstr>データ_株価</vt:lpstr>
      <vt:lpstr>データ_類似企業</vt:lpstr>
      <vt:lpstr>データ_セグメント</vt:lpstr>
      <vt:lpstr>データ_市況</vt:lpstr>
      <vt:lpstr>データ_財務</vt:lpstr>
      <vt:lpstr>データ_整合検査</vt:lpstr>
      <vt:lpstr>出典</vt:lpstr>
      <vt:lpstr>検証</vt:lpstr>
      <vt:lpstr>ERW_DCF_PRICE</vt:lpstr>
      <vt:lpstr>ERW_EXPECTED</vt:lpstr>
      <vt:lpstr>ERW_FCF1</vt:lpstr>
      <vt:lpstr>ERW_FM_CHECKS</vt:lpstr>
      <vt:lpstr>ERW_FM_OP1</vt:lpstr>
      <vt:lpstr>ERW_LIVE</vt:lpstr>
      <vt:lpstr>ERW_LIVE_LABELS</vt:lpstr>
      <vt:lpstr>ERW_PRICE_BASE</vt:lpstr>
      <vt:lpstr>ERW_PRICE_BEAR</vt:lpstr>
      <vt:lpstr>ERW_PRICE_BULL</vt:lpstr>
      <vt:lpstr>ERW_REV1</vt:lpstr>
      <vt:lpstr>ERW_SCEN</vt:lpstr>
      <vt:lpstr>ERW_SENS1</vt:lpstr>
      <vt:lpstr>ERW_SENS2</vt:lpstr>
      <vt:lpstr>ERW_TARGET</vt:lpstr>
      <vt:lpstr>'1_企業分析'!Print_Area</vt:lpstr>
      <vt:lpstr>'2_投資判断'!Print_Area</vt:lpstr>
      <vt:lpstr>'3_Assumptions'!Print_Area</vt:lpstr>
      <vt:lpstr>データ_セグメント!Print_Area</vt:lpstr>
      <vt:lpstr>データ_株価!Print_Area</vt:lpstr>
      <vt:lpstr>データ_市況!Print_Area</vt:lpstr>
      <vt:lpstr>計算_DCF!Print_Area</vt:lpstr>
      <vt:lpstr>計算_シナリオ!Print_Area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hiroyuki kurosu</cp:lastModifiedBy>
  <dcterms:created xsi:type="dcterms:W3CDTF">2026-10-23T15:15:53Z</dcterms:created>
  <dcterms:modified xsi:type="dcterms:W3CDTF">2026-10-23T15:15:58Z</dcterms:modified>
</cp:coreProperties>
</file>