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20" yWindow="0" windowWidth="24780" windowHeight="15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2" i="1" l="1"/>
  <c r="D173" i="1"/>
  <c r="D174" i="1"/>
  <c r="D175" i="1"/>
  <c r="D176" i="1"/>
  <c r="D171" i="1"/>
  <c r="D181" i="1"/>
  <c r="D182" i="1"/>
  <c r="D183" i="1"/>
  <c r="D184" i="1"/>
  <c r="D185" i="1"/>
  <c r="D180" i="1"/>
  <c r="D144" i="1"/>
  <c r="C144" i="1"/>
  <c r="D143" i="1"/>
  <c r="C143" i="1"/>
  <c r="D142" i="1"/>
  <c r="C142" i="1"/>
  <c r="D141" i="1"/>
  <c r="C141" i="1"/>
  <c r="D140" i="1"/>
  <c r="C140" i="1"/>
  <c r="D138" i="1"/>
  <c r="D139" i="1"/>
  <c r="C139" i="1"/>
  <c r="C138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B144" i="1"/>
  <c r="B143" i="1"/>
  <c r="B142" i="1"/>
  <c r="B141" i="1"/>
  <c r="B140" i="1"/>
  <c r="B139" i="1"/>
  <c r="B138" i="1"/>
  <c r="B132" i="1"/>
  <c r="B131" i="1"/>
  <c r="B130" i="1"/>
  <c r="B129" i="1"/>
  <c r="B128" i="1"/>
  <c r="B127" i="1"/>
  <c r="B126" i="1"/>
  <c r="B115" i="1"/>
  <c r="B116" i="1"/>
  <c r="B117" i="1"/>
  <c r="B118" i="1"/>
  <c r="B119" i="1"/>
  <c r="B120" i="1"/>
  <c r="B114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C99" i="1"/>
  <c r="D99" i="1"/>
  <c r="D98" i="1"/>
  <c r="C98" i="1"/>
  <c r="D97" i="1"/>
  <c r="C97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75" i="1"/>
  <c r="C75" i="1"/>
  <c r="D74" i="1"/>
  <c r="C74" i="1"/>
  <c r="C71" i="1"/>
  <c r="D73" i="1"/>
  <c r="C73" i="1"/>
  <c r="D72" i="1"/>
  <c r="C72" i="1"/>
  <c r="D71" i="1"/>
  <c r="D70" i="1"/>
  <c r="C70" i="1"/>
  <c r="D69" i="1"/>
  <c r="C69" i="1"/>
  <c r="D68" i="1"/>
  <c r="C68" i="1"/>
  <c r="D67" i="1"/>
  <c r="C67" i="1"/>
  <c r="D66" i="1"/>
  <c r="C66" i="1"/>
  <c r="D65" i="1"/>
  <c r="C65" i="1"/>
  <c r="B107" i="1"/>
  <c r="B106" i="1"/>
  <c r="B105" i="1"/>
  <c r="B104" i="1"/>
  <c r="B103" i="1"/>
  <c r="B102" i="1"/>
  <c r="B101" i="1"/>
  <c r="B100" i="1"/>
  <c r="B99" i="1"/>
  <c r="B98" i="1"/>
  <c r="B97" i="1"/>
  <c r="B91" i="1"/>
  <c r="B90" i="1"/>
  <c r="B89" i="1"/>
  <c r="B88" i="1"/>
  <c r="B87" i="1"/>
  <c r="B86" i="1"/>
  <c r="B85" i="1"/>
  <c r="B84" i="1"/>
  <c r="B83" i="1"/>
  <c r="B82" i="1"/>
  <c r="B81" i="1"/>
  <c r="B66" i="1"/>
  <c r="B67" i="1"/>
  <c r="B68" i="1"/>
  <c r="B69" i="1"/>
  <c r="B70" i="1"/>
  <c r="B71" i="1"/>
  <c r="B72" i="1"/>
  <c r="B73" i="1"/>
  <c r="B74" i="1"/>
  <c r="B75" i="1"/>
  <c r="B65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0" i="1"/>
  <c r="D51" i="1"/>
  <c r="C51" i="1"/>
  <c r="C50" i="1"/>
  <c r="D49" i="1"/>
  <c r="C49" i="1"/>
  <c r="D48" i="1"/>
  <c r="C48" i="1"/>
  <c r="D47" i="1"/>
  <c r="D46" i="1"/>
  <c r="D45" i="1"/>
  <c r="B46" i="1"/>
  <c r="B47" i="1"/>
  <c r="B48" i="1"/>
  <c r="B49" i="1"/>
  <c r="B50" i="1"/>
  <c r="B51" i="1"/>
  <c r="B52" i="1"/>
  <c r="B53" i="1"/>
  <c r="B54" i="1"/>
  <c r="B55" i="1"/>
  <c r="B56" i="1"/>
  <c r="A57" i="1"/>
  <c r="B57" i="1"/>
  <c r="A58" i="1"/>
  <c r="B58" i="1"/>
  <c r="B59" i="1"/>
  <c r="B45" i="1"/>
  <c r="B26" i="1"/>
  <c r="B27" i="1"/>
  <c r="B28" i="1"/>
  <c r="B29" i="1"/>
  <c r="B30" i="1"/>
  <c r="B31" i="1"/>
  <c r="B32" i="1"/>
  <c r="B33" i="1"/>
  <c r="B34" i="1"/>
  <c r="B35" i="1"/>
  <c r="B36" i="1"/>
  <c r="A37" i="1"/>
  <c r="B37" i="1"/>
  <c r="A38" i="1"/>
  <c r="B38" i="1"/>
  <c r="B39" i="1"/>
  <c r="B25" i="1"/>
  <c r="B13" i="1"/>
  <c r="B5" i="1"/>
  <c r="B7" i="1"/>
  <c r="B8" i="1"/>
  <c r="B9" i="1"/>
  <c r="B10" i="1"/>
  <c r="B11" i="1"/>
  <c r="B12" i="1"/>
  <c r="B14" i="1"/>
  <c r="B15" i="1"/>
  <c r="B16" i="1"/>
  <c r="A17" i="1"/>
  <c r="B17" i="1"/>
  <c r="A18" i="1"/>
  <c r="B18" i="1"/>
  <c r="B19" i="1"/>
  <c r="B6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D25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</calcChain>
</file>

<file path=xl/sharedStrings.xml><?xml version="1.0" encoding="utf-8"?>
<sst xmlns="http://schemas.openxmlformats.org/spreadsheetml/2006/main" count="65" uniqueCount="27">
  <si>
    <t>Cache size (bytes)</t>
  </si>
  <si>
    <t>Hit rate instruction cache</t>
  </si>
  <si>
    <t>Hit rate data cache</t>
  </si>
  <si>
    <t>Working Set Characterization - spice.trace</t>
  </si>
  <si>
    <t>Working Set Characterization - cc.trace</t>
  </si>
  <si>
    <t>Working Set Characterization - tex.trace</t>
  </si>
  <si>
    <t>Log2(cache size) in bytes</t>
  </si>
  <si>
    <t>Impact of Block Size - spice.trace</t>
  </si>
  <si>
    <t>Block size (bytes)</t>
  </si>
  <si>
    <t>Log2(block size) in bytes</t>
  </si>
  <si>
    <t>Impact of Block Size - cc.trace</t>
  </si>
  <si>
    <t>Impact of Block Size - tex.trace</t>
  </si>
  <si>
    <t>Associativity</t>
  </si>
  <si>
    <t>Log2(associativity)</t>
  </si>
  <si>
    <t>Impact of Associativity - spice.trace</t>
  </si>
  <si>
    <t>Impact of Associativity - cc.trace</t>
  </si>
  <si>
    <t>Impact of Associativity - tex.trace</t>
  </si>
  <si>
    <t>Demand fetch (words)</t>
  </si>
  <si>
    <t>Copies back (words)</t>
  </si>
  <si>
    <t>Simulation</t>
  </si>
  <si>
    <t>Memory Bandwidth - Write back vs Write through</t>
  </si>
  <si>
    <t>Write back</t>
  </si>
  <si>
    <t>Write through</t>
  </si>
  <si>
    <t>Memory Bandwidth - Writeallocate vs Write no allocate</t>
  </si>
  <si>
    <t>Write no allocate</t>
  </si>
  <si>
    <t>Write allocate</t>
  </si>
  <si>
    <t>Total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</si>
</sst>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Set Characterization - spice.trace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Hit rate instruction cache</c:v>
                </c:pt>
              </c:strCache>
            </c:strRef>
          </c:tx>
          <c:xVal>
            <c:numRef>
              <c:f>Sheet1!$B$5:$B$19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Sheet1!$C$5:$C$19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0.003359</c:v>
                </c:pt>
                <c:pt idx="3">
                  <c:v>0.010085</c:v>
                </c:pt>
                <c:pt idx="4">
                  <c:v>0.263578</c:v>
                </c:pt>
                <c:pt idx="5">
                  <c:v>0.368661</c:v>
                </c:pt>
                <c:pt idx="6">
                  <c:v>0.454822</c:v>
                </c:pt>
                <c:pt idx="7">
                  <c:v>0.536802</c:v>
                </c:pt>
                <c:pt idx="8">
                  <c:v>0.754815</c:v>
                </c:pt>
                <c:pt idx="9">
                  <c:v>0.862044</c:v>
                </c:pt>
                <c:pt idx="10">
                  <c:v>0.905705</c:v>
                </c:pt>
                <c:pt idx="11">
                  <c:v>0.974728</c:v>
                </c:pt>
                <c:pt idx="12">
                  <c:v>0.986433</c:v>
                </c:pt>
                <c:pt idx="13">
                  <c:v>0.988548</c:v>
                </c:pt>
                <c:pt idx="14">
                  <c:v>0.988548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Hit rate data cache</c:v>
                </c:pt>
              </c:strCache>
            </c:strRef>
          </c:tx>
          <c:xVal>
            <c:numRef>
              <c:f>Sheet1!$B$5:$B$19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Sheet1!$D$5:$D$19</c:f>
              <c:numCache>
                <c:formatCode>General</c:formatCode>
                <c:ptCount val="15"/>
                <c:pt idx="0">
                  <c:v>0.06039</c:v>
                </c:pt>
                <c:pt idx="1">
                  <c:v>0.145449</c:v>
                </c:pt>
                <c:pt idx="2">
                  <c:v>0.262202</c:v>
                </c:pt>
                <c:pt idx="3">
                  <c:v>0.365914</c:v>
                </c:pt>
                <c:pt idx="4">
                  <c:v>0.452064</c:v>
                </c:pt>
                <c:pt idx="5">
                  <c:v>0.539535</c:v>
                </c:pt>
                <c:pt idx="6">
                  <c:v>0.724274</c:v>
                </c:pt>
                <c:pt idx="7">
                  <c:v>0.844819</c:v>
                </c:pt>
                <c:pt idx="8">
                  <c:v>0.907967</c:v>
                </c:pt>
                <c:pt idx="9">
                  <c:v>0.953185</c:v>
                </c:pt>
                <c:pt idx="10">
                  <c:v>0.965591</c:v>
                </c:pt>
                <c:pt idx="11">
                  <c:v>0.972611</c:v>
                </c:pt>
                <c:pt idx="12">
                  <c:v>0.980551</c:v>
                </c:pt>
                <c:pt idx="13">
                  <c:v>0.980551</c:v>
                </c:pt>
                <c:pt idx="14">
                  <c:v>0.980551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989096"/>
        <c:axId val="2136891448"/>
      </c:scatterChart>
      <c:valAx>
        <c:axId val="213598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base 2 of Cache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91448"/>
        <c:crosses val="autoZero"/>
        <c:crossBetween val="midCat"/>
      </c:valAx>
      <c:valAx>
        <c:axId val="21368914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Hit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98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Set Characterization - cc.trace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Hit rate instruction cache</c:v>
                </c:pt>
              </c:strCache>
            </c:strRef>
          </c:tx>
          <c:xVal>
            <c:numRef>
              <c:f>Sheet1!$B$25:$B$39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Sheet1!$C$25:$C$39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0.00466999999999995</c:v>
                </c:pt>
                <c:pt idx="3">
                  <c:v>0.035336</c:v>
                </c:pt>
                <c:pt idx="4">
                  <c:v>0.11944</c:v>
                </c:pt>
                <c:pt idx="5">
                  <c:v>0.202284</c:v>
                </c:pt>
                <c:pt idx="6">
                  <c:v>0.301026</c:v>
                </c:pt>
                <c:pt idx="7">
                  <c:v>0.399276</c:v>
                </c:pt>
                <c:pt idx="8">
                  <c:v>0.473633</c:v>
                </c:pt>
                <c:pt idx="9">
                  <c:v>0.593008</c:v>
                </c:pt>
                <c:pt idx="10">
                  <c:v>0.736023</c:v>
                </c:pt>
                <c:pt idx="11">
                  <c:v>0.868367</c:v>
                </c:pt>
                <c:pt idx="12">
                  <c:v>0.93596</c:v>
                </c:pt>
                <c:pt idx="13">
                  <c:v>0.949197</c:v>
                </c:pt>
                <c:pt idx="14">
                  <c:v>0.951138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Hit rate data cache</c:v>
                </c:pt>
              </c:strCache>
            </c:strRef>
          </c:tx>
          <c:xVal>
            <c:numRef>
              <c:f>Sheet1!$B$25:$B$39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Sheet1!$D$25:$D$39</c:f>
              <c:numCache>
                <c:formatCode>General</c:formatCode>
                <c:ptCount val="15"/>
                <c:pt idx="0">
                  <c:v>0.067551</c:v>
                </c:pt>
                <c:pt idx="1">
                  <c:v>0.137331</c:v>
                </c:pt>
                <c:pt idx="2">
                  <c:v>0.222862</c:v>
                </c:pt>
                <c:pt idx="3">
                  <c:v>0.332954</c:v>
                </c:pt>
                <c:pt idx="4">
                  <c:v>0.43658</c:v>
                </c:pt>
                <c:pt idx="5">
                  <c:v>0.550233</c:v>
                </c:pt>
                <c:pt idx="6">
                  <c:v>0.658268</c:v>
                </c:pt>
                <c:pt idx="7">
                  <c:v>0.752284</c:v>
                </c:pt>
                <c:pt idx="8">
                  <c:v>0.834382</c:v>
                </c:pt>
                <c:pt idx="9">
                  <c:v>0.876614</c:v>
                </c:pt>
                <c:pt idx="10">
                  <c:v>0.910513</c:v>
                </c:pt>
                <c:pt idx="11">
                  <c:v>0.943666</c:v>
                </c:pt>
                <c:pt idx="12">
                  <c:v>0.955506</c:v>
                </c:pt>
                <c:pt idx="13">
                  <c:v>0.960628</c:v>
                </c:pt>
                <c:pt idx="14">
                  <c:v>0.961786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36760"/>
        <c:axId val="2136605528"/>
      </c:scatterChart>
      <c:valAx>
        <c:axId val="213693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base 2 of Cache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605528"/>
        <c:crosses val="autoZero"/>
        <c:crossBetween val="midCat"/>
      </c:valAx>
      <c:valAx>
        <c:axId val="21366055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Hit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936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Working Set Characterization</a:t>
            </a:r>
            <a:r>
              <a:rPr lang="en-US" baseline="0"/>
              <a:t> - tex.trace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Sheet1!$C$44</c:f>
              <c:strCache>
                <c:ptCount val="1"/>
                <c:pt idx="0">
                  <c:v>Hit rate instruction cache</c:v>
                </c:pt>
              </c:strCache>
            </c:strRef>
          </c:tx>
          <c:xVal>
            <c:numRef>
              <c:f>Sheet1!$B$45:$B$59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Sheet1!$C$45:$C$59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0.187366</c:v>
                </c:pt>
                <c:pt idx="4">
                  <c:v>0.187366</c:v>
                </c:pt>
                <c:pt idx="5">
                  <c:v>0.187366</c:v>
                </c:pt>
                <c:pt idx="6">
                  <c:v>0.999114</c:v>
                </c:pt>
                <c:pt idx="7">
                  <c:v>0.999114</c:v>
                </c:pt>
                <c:pt idx="8">
                  <c:v>0.999734</c:v>
                </c:pt>
                <c:pt idx="9">
                  <c:v>0.999734</c:v>
                </c:pt>
                <c:pt idx="10">
                  <c:v>0.999734</c:v>
                </c:pt>
                <c:pt idx="11">
                  <c:v>0.999734</c:v>
                </c:pt>
                <c:pt idx="12">
                  <c:v>0.999734</c:v>
                </c:pt>
                <c:pt idx="13">
                  <c:v>0.999734</c:v>
                </c:pt>
                <c:pt idx="14">
                  <c:v>0.999734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Sheet1!$D$44</c:f>
              <c:strCache>
                <c:ptCount val="1"/>
                <c:pt idx="0">
                  <c:v>Hit rate data cache</c:v>
                </c:pt>
              </c:strCache>
            </c:strRef>
          </c:tx>
          <c:xVal>
            <c:numRef>
              <c:f>Sheet1!$B$45:$B$59</c:f>
              <c:numCache>
                <c:formatCode>General</c:formatCode>
                <c:ptCount val="1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Sheet1!$D$45:$D$59</c:f>
              <c:numCache>
                <c:formatCode>General</c:formatCode>
                <c:ptCount val="15"/>
                <c:pt idx="0">
                  <c:v>5.10000000000232E-5</c:v>
                </c:pt>
                <c:pt idx="1">
                  <c:v>0.222199</c:v>
                </c:pt>
                <c:pt idx="2">
                  <c:v>0.333302</c:v>
                </c:pt>
                <c:pt idx="3">
                  <c:v>0.571306</c:v>
                </c:pt>
                <c:pt idx="4">
                  <c:v>0.920423</c:v>
                </c:pt>
                <c:pt idx="5">
                  <c:v>0.936454</c:v>
                </c:pt>
                <c:pt idx="6">
                  <c:v>0.936454</c:v>
                </c:pt>
                <c:pt idx="7">
                  <c:v>0.936454</c:v>
                </c:pt>
                <c:pt idx="8">
                  <c:v>0.936454</c:v>
                </c:pt>
                <c:pt idx="9">
                  <c:v>0.936454</c:v>
                </c:pt>
                <c:pt idx="10">
                  <c:v>0.936454</c:v>
                </c:pt>
                <c:pt idx="11">
                  <c:v>0.936454</c:v>
                </c:pt>
                <c:pt idx="12">
                  <c:v>0.936454</c:v>
                </c:pt>
                <c:pt idx="13">
                  <c:v>0.95951</c:v>
                </c:pt>
                <c:pt idx="14">
                  <c:v>0.95951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96776"/>
        <c:axId val="2138647784"/>
      </c:scatterChart>
      <c:valAx>
        <c:axId val="213689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base 2 of Cache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8647784"/>
        <c:crosses val="autoZero"/>
        <c:crossBetween val="midCat"/>
      </c:valAx>
      <c:valAx>
        <c:axId val="21386477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Hit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9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Block Size - spice.trace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Sheet1!$C$64</c:f>
              <c:strCache>
                <c:ptCount val="1"/>
                <c:pt idx="0">
                  <c:v>Hit rate instruction cache</c:v>
                </c:pt>
              </c:strCache>
            </c:strRef>
          </c:tx>
          <c:xVal>
            <c:numRef>
              <c:f>Sheet1!$B$65:$B$75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Sheet1!$C$65:$C$75</c:f>
              <c:numCache>
                <c:formatCode>General</c:formatCode>
                <c:ptCount val="11"/>
                <c:pt idx="0">
                  <c:v>0.951942</c:v>
                </c:pt>
                <c:pt idx="1">
                  <c:v>0.972223</c:v>
                </c:pt>
                <c:pt idx="2">
                  <c:v>0.982645</c:v>
                </c:pt>
                <c:pt idx="3">
                  <c:v>0.988533</c:v>
                </c:pt>
                <c:pt idx="4">
                  <c:v>0.991581</c:v>
                </c:pt>
                <c:pt idx="5">
                  <c:v>0.993519</c:v>
                </c:pt>
                <c:pt idx="6">
                  <c:v>0.994596</c:v>
                </c:pt>
                <c:pt idx="7">
                  <c:v>0.995474</c:v>
                </c:pt>
                <c:pt idx="8">
                  <c:v>0.995508</c:v>
                </c:pt>
                <c:pt idx="9">
                  <c:v>0.98891</c:v>
                </c:pt>
                <c:pt idx="10">
                  <c:v>0.98641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Sheet1!$D$64</c:f>
              <c:strCache>
                <c:ptCount val="1"/>
                <c:pt idx="0">
                  <c:v>Hit rate data cache</c:v>
                </c:pt>
              </c:strCache>
            </c:strRef>
          </c:tx>
          <c:xVal>
            <c:numRef>
              <c:f>Sheet1!$B$65:$B$75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Sheet1!$D$65:$D$75</c:f>
              <c:numCache>
                <c:formatCode>General</c:formatCode>
                <c:ptCount val="11"/>
                <c:pt idx="0">
                  <c:v>0.97012</c:v>
                </c:pt>
                <c:pt idx="1">
                  <c:v>0.983046</c:v>
                </c:pt>
                <c:pt idx="2">
                  <c:v>0.988644</c:v>
                </c:pt>
                <c:pt idx="3">
                  <c:v>0.991194</c:v>
                </c:pt>
                <c:pt idx="4">
                  <c:v>0.985454</c:v>
                </c:pt>
                <c:pt idx="5">
                  <c:v>0.981407</c:v>
                </c:pt>
                <c:pt idx="6">
                  <c:v>0.976261</c:v>
                </c:pt>
                <c:pt idx="7">
                  <c:v>0.956366</c:v>
                </c:pt>
                <c:pt idx="8">
                  <c:v>0.941534</c:v>
                </c:pt>
                <c:pt idx="9">
                  <c:v>0.896818</c:v>
                </c:pt>
                <c:pt idx="10">
                  <c:v>0.794662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83064"/>
        <c:axId val="2140822456"/>
      </c:scatterChart>
      <c:valAx>
        <c:axId val="214088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baseline="0"/>
                  <a:t> base 2 of Block size (bytes)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822456"/>
        <c:crosses val="autoZero"/>
        <c:crossBetween val="midCat"/>
      </c:valAx>
      <c:valAx>
        <c:axId val="2140822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Hit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88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Block Size - cc.trace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Sheet1!$C$80</c:f>
              <c:strCache>
                <c:ptCount val="1"/>
                <c:pt idx="0">
                  <c:v>Hit rate instruction cache</c:v>
                </c:pt>
              </c:strCache>
            </c:strRef>
          </c:tx>
          <c:xVal>
            <c:numRef>
              <c:f>Sheet1!$B$81:$B$91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Sheet1!$C$81:$C$91</c:f>
              <c:numCache>
                <c:formatCode>General</c:formatCode>
                <c:ptCount val="11"/>
                <c:pt idx="0">
                  <c:v>0.82251</c:v>
                </c:pt>
                <c:pt idx="1">
                  <c:v>0.898237</c:v>
                </c:pt>
                <c:pt idx="2">
                  <c:v>0.93676</c:v>
                </c:pt>
                <c:pt idx="3">
                  <c:v>0.957769</c:v>
                </c:pt>
                <c:pt idx="4">
                  <c:v>0.969578</c:v>
                </c:pt>
                <c:pt idx="5">
                  <c:v>0.977156</c:v>
                </c:pt>
                <c:pt idx="6">
                  <c:v>0.982011</c:v>
                </c:pt>
                <c:pt idx="7">
                  <c:v>0.985899</c:v>
                </c:pt>
                <c:pt idx="8">
                  <c:v>0.987175</c:v>
                </c:pt>
                <c:pt idx="9">
                  <c:v>0.988501</c:v>
                </c:pt>
                <c:pt idx="10">
                  <c:v>0.987658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Sheet1!$D$80</c:f>
              <c:strCache>
                <c:ptCount val="1"/>
                <c:pt idx="0">
                  <c:v>Hit rate data cache</c:v>
                </c:pt>
              </c:strCache>
            </c:strRef>
          </c:tx>
          <c:xVal>
            <c:numRef>
              <c:f>Sheet1!$B$81:$B$91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Sheet1!$D$81:$D$91</c:f>
              <c:numCache>
                <c:formatCode>General</c:formatCode>
                <c:ptCount val="11"/>
                <c:pt idx="0">
                  <c:v>0.933879</c:v>
                </c:pt>
                <c:pt idx="1">
                  <c:v>0.954426</c:v>
                </c:pt>
                <c:pt idx="2">
                  <c:v>0.964634</c:v>
                </c:pt>
                <c:pt idx="3">
                  <c:v>0.969517</c:v>
                </c:pt>
                <c:pt idx="4">
                  <c:v>0.969006</c:v>
                </c:pt>
                <c:pt idx="5">
                  <c:v>0.961984</c:v>
                </c:pt>
                <c:pt idx="6">
                  <c:v>0.950808</c:v>
                </c:pt>
                <c:pt idx="7">
                  <c:v>0.926675</c:v>
                </c:pt>
                <c:pt idx="8">
                  <c:v>0.884164</c:v>
                </c:pt>
                <c:pt idx="9">
                  <c:v>0.817461</c:v>
                </c:pt>
                <c:pt idx="10">
                  <c:v>0.706207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63000"/>
        <c:axId val="2140601992"/>
      </c:scatterChart>
      <c:valAx>
        <c:axId val="2140763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base 2 of Block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601992"/>
        <c:crosses val="autoZero"/>
        <c:crossBetween val="midCat"/>
      </c:valAx>
      <c:valAx>
        <c:axId val="21406019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Hit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763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Block Size -</a:t>
            </a:r>
            <a:r>
              <a:rPr lang="en-US" baseline="0"/>
              <a:t> tex.trace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Sheet1!$C$96</c:f>
              <c:strCache>
                <c:ptCount val="1"/>
                <c:pt idx="0">
                  <c:v>Hit rate instruction cache</c:v>
                </c:pt>
              </c:strCache>
            </c:strRef>
          </c:tx>
          <c:xVal>
            <c:numRef>
              <c:f>Sheet1!$B$97:$B$107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Sheet1!$C$97:$C$107</c:f>
              <c:numCache>
                <c:formatCode>General</c:formatCode>
                <c:ptCount val="11"/>
                <c:pt idx="0">
                  <c:v>0.999734</c:v>
                </c:pt>
                <c:pt idx="1">
                  <c:v>0.999856</c:v>
                </c:pt>
                <c:pt idx="2">
                  <c:v>0.999916</c:v>
                </c:pt>
                <c:pt idx="3">
                  <c:v>0.999953</c:v>
                </c:pt>
                <c:pt idx="4">
                  <c:v>0.999968</c:v>
                </c:pt>
                <c:pt idx="5">
                  <c:v>0.99998</c:v>
                </c:pt>
                <c:pt idx="6">
                  <c:v>0.999985</c:v>
                </c:pt>
                <c:pt idx="7">
                  <c:v>0.999977</c:v>
                </c:pt>
                <c:pt idx="8">
                  <c:v>0.999982</c:v>
                </c:pt>
                <c:pt idx="9">
                  <c:v>0.999983</c:v>
                </c:pt>
                <c:pt idx="10">
                  <c:v>0.974996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Sheet1!$D$96</c:f>
              <c:strCache>
                <c:ptCount val="1"/>
                <c:pt idx="0">
                  <c:v>Hit rate data cache</c:v>
                </c:pt>
              </c:strCache>
            </c:strRef>
          </c:tx>
          <c:xVal>
            <c:numRef>
              <c:f>Sheet1!$B$97:$B$107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Sheet1!$D$97:$D$107</c:f>
              <c:numCache>
                <c:formatCode>General</c:formatCode>
                <c:ptCount val="11"/>
                <c:pt idx="0">
                  <c:v>0.936454</c:v>
                </c:pt>
                <c:pt idx="1">
                  <c:v>0.968201</c:v>
                </c:pt>
                <c:pt idx="2">
                  <c:v>0.984075</c:v>
                </c:pt>
                <c:pt idx="3">
                  <c:v>0.991997</c:v>
                </c:pt>
                <c:pt idx="4">
                  <c:v>0.995914</c:v>
                </c:pt>
                <c:pt idx="5">
                  <c:v>0.997593</c:v>
                </c:pt>
                <c:pt idx="6">
                  <c:v>0.996879</c:v>
                </c:pt>
                <c:pt idx="7">
                  <c:v>0.991921</c:v>
                </c:pt>
                <c:pt idx="8">
                  <c:v>0.963345</c:v>
                </c:pt>
                <c:pt idx="9">
                  <c:v>0.909958</c:v>
                </c:pt>
                <c:pt idx="10">
                  <c:v>0.809506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65352"/>
        <c:axId val="2139163928"/>
      </c:scatterChart>
      <c:valAx>
        <c:axId val="213916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base 2 of Block size (bytes)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163928"/>
        <c:crosses val="autoZero"/>
        <c:crossBetween val="midCat"/>
      </c:valAx>
      <c:valAx>
        <c:axId val="21391639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Hit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165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Associativity</a:t>
            </a:r>
            <a:r>
              <a:rPr lang="en-US" baseline="0"/>
              <a:t> - spice.trace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Sheet1!$C$113</c:f>
              <c:strCache>
                <c:ptCount val="1"/>
                <c:pt idx="0">
                  <c:v>Hit rate instruction cache</c:v>
                </c:pt>
              </c:strCache>
            </c:strRef>
          </c:tx>
          <c:xVal>
            <c:numRef>
              <c:f>Sheet1!$B$114:$B$120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Sheet1!$C$114:$C$120</c:f>
              <c:numCache>
                <c:formatCode>General</c:formatCode>
                <c:ptCount val="7"/>
                <c:pt idx="0">
                  <c:v>0.988479</c:v>
                </c:pt>
                <c:pt idx="1">
                  <c:v>0.993519</c:v>
                </c:pt>
                <c:pt idx="2">
                  <c:v>0.994541</c:v>
                </c:pt>
                <c:pt idx="3">
                  <c:v>0.994306</c:v>
                </c:pt>
                <c:pt idx="4">
                  <c:v>0.994237</c:v>
                </c:pt>
                <c:pt idx="5">
                  <c:v>0.994183</c:v>
                </c:pt>
                <c:pt idx="6">
                  <c:v>0.994135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Sheet1!$D$113</c:f>
              <c:strCache>
                <c:ptCount val="1"/>
                <c:pt idx="0">
                  <c:v>Hit rate data cache</c:v>
                </c:pt>
              </c:strCache>
            </c:strRef>
          </c:tx>
          <c:xVal>
            <c:numRef>
              <c:f>Sheet1!$B$114:$B$120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Sheet1!$D$114:$D$120</c:f>
              <c:numCache>
                <c:formatCode>General</c:formatCode>
                <c:ptCount val="7"/>
                <c:pt idx="0">
                  <c:v>0.960785</c:v>
                </c:pt>
                <c:pt idx="1">
                  <c:v>0.981407</c:v>
                </c:pt>
                <c:pt idx="2">
                  <c:v>0.995051</c:v>
                </c:pt>
                <c:pt idx="3">
                  <c:v>0.996041</c:v>
                </c:pt>
                <c:pt idx="4">
                  <c:v>0.996368</c:v>
                </c:pt>
                <c:pt idx="5">
                  <c:v>0.99664</c:v>
                </c:pt>
                <c:pt idx="6">
                  <c:v>0.996649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53736"/>
        <c:axId val="2141064584"/>
      </c:scatterChart>
      <c:valAx>
        <c:axId val="214075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base 2 of associativity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064584"/>
        <c:crosses val="autoZero"/>
        <c:crossBetween val="midCat"/>
      </c:valAx>
      <c:valAx>
        <c:axId val="214106458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Hit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75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Associativity - cc.trace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Sheet1!$C$125</c:f>
              <c:strCache>
                <c:ptCount val="1"/>
                <c:pt idx="0">
                  <c:v>Hit rate instruction cache</c:v>
                </c:pt>
              </c:strCache>
            </c:strRef>
          </c:tx>
          <c:xVal>
            <c:numRef>
              <c:f>Sheet1!$B$126:$B$132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Sheet1!$C$126:$C$132</c:f>
              <c:numCache>
                <c:formatCode>General</c:formatCode>
                <c:ptCount val="7"/>
                <c:pt idx="0">
                  <c:v>0.973732</c:v>
                </c:pt>
                <c:pt idx="1">
                  <c:v>0.977156</c:v>
                </c:pt>
                <c:pt idx="2">
                  <c:v>0.979112</c:v>
                </c:pt>
                <c:pt idx="3">
                  <c:v>0.979107</c:v>
                </c:pt>
                <c:pt idx="4">
                  <c:v>0.979831</c:v>
                </c:pt>
                <c:pt idx="5">
                  <c:v>0.98015</c:v>
                </c:pt>
                <c:pt idx="6">
                  <c:v>0.975497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Sheet1!$D$125</c:f>
              <c:strCache>
                <c:ptCount val="1"/>
                <c:pt idx="0">
                  <c:v>Hit rate data cache</c:v>
                </c:pt>
              </c:strCache>
            </c:strRef>
          </c:tx>
          <c:xVal>
            <c:numRef>
              <c:f>Sheet1!$B$126:$B$132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Sheet1!$D$126:$D$132</c:f>
              <c:numCache>
                <c:formatCode>General</c:formatCode>
                <c:ptCount val="7"/>
                <c:pt idx="0">
                  <c:v>0.938457</c:v>
                </c:pt>
                <c:pt idx="1">
                  <c:v>0.961984</c:v>
                </c:pt>
                <c:pt idx="2">
                  <c:v>0.970197</c:v>
                </c:pt>
                <c:pt idx="3">
                  <c:v>0.973683</c:v>
                </c:pt>
                <c:pt idx="4">
                  <c:v>0.974998</c:v>
                </c:pt>
                <c:pt idx="5">
                  <c:v>0.975608</c:v>
                </c:pt>
                <c:pt idx="6">
                  <c:v>0.975497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96984"/>
        <c:axId val="2140009112"/>
      </c:scatterChart>
      <c:valAx>
        <c:axId val="214169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base 2 of associativity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009112"/>
        <c:crosses val="autoZero"/>
        <c:crossBetween val="midCat"/>
      </c:valAx>
      <c:valAx>
        <c:axId val="21400091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Hit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696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Impact of Associativity -</a:t>
            </a:r>
            <a:r>
              <a:rPr lang="en-US" baseline="0"/>
              <a:t> tex.trace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Sheet1!$C$137</c:f>
              <c:strCache>
                <c:ptCount val="1"/>
                <c:pt idx="0">
                  <c:v>Hit rate instruction cache</c:v>
                </c:pt>
              </c:strCache>
            </c:strRef>
          </c:tx>
          <c:xVal>
            <c:numRef>
              <c:f>Sheet1!$B$138:$B$144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Sheet1!$C$138:$C$144</c:f>
              <c:numCache>
                <c:formatCode>General</c:formatCode>
                <c:ptCount val="7"/>
                <c:pt idx="0">
                  <c:v>0.999972</c:v>
                </c:pt>
                <c:pt idx="1">
                  <c:v>0.99998</c:v>
                </c:pt>
                <c:pt idx="2">
                  <c:v>0.99998</c:v>
                </c:pt>
                <c:pt idx="3">
                  <c:v>0.99998</c:v>
                </c:pt>
                <c:pt idx="4">
                  <c:v>0.99998</c:v>
                </c:pt>
                <c:pt idx="5">
                  <c:v>0.99998</c:v>
                </c:pt>
                <c:pt idx="6">
                  <c:v>0.99998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Sheet1!$D$137</c:f>
              <c:strCache>
                <c:ptCount val="1"/>
                <c:pt idx="0">
                  <c:v>Hit rate data cache</c:v>
                </c:pt>
              </c:strCache>
            </c:strRef>
          </c:tx>
          <c:xVal>
            <c:numRef>
              <c:f>Sheet1!$B$138:$B$144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xVal>
          <c:yVal>
            <c:numRef>
              <c:f>Sheet1!$D$138:$D$144</c:f>
              <c:numCache>
                <c:formatCode>General</c:formatCode>
                <c:ptCount val="7"/>
                <c:pt idx="0">
                  <c:v>0.986788</c:v>
                </c:pt>
                <c:pt idx="1">
                  <c:v>0.997593</c:v>
                </c:pt>
                <c:pt idx="2">
                  <c:v>0.997976</c:v>
                </c:pt>
                <c:pt idx="3">
                  <c:v>0.997976</c:v>
                </c:pt>
                <c:pt idx="4">
                  <c:v>0.997976</c:v>
                </c:pt>
                <c:pt idx="5">
                  <c:v>0.997976</c:v>
                </c:pt>
                <c:pt idx="6">
                  <c:v>0.997976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28888"/>
        <c:axId val="2142950568"/>
      </c:scatterChart>
      <c:valAx>
        <c:axId val="214032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base 2 of associativity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950568"/>
        <c:crosses val="autoZero"/>
        <c:crossBetween val="midCat"/>
      </c:valAx>
      <c:valAx>
        <c:axId val="21429505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Hit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328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2</xdr:row>
      <xdr:rowOff>184150</xdr:rowOff>
    </xdr:from>
    <xdr:to>
      <xdr:col>15</xdr:col>
      <xdr:colOff>127000</xdr:colOff>
      <xdr:row>29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330200</xdr:colOff>
      <xdr:row>3</xdr:row>
      <xdr:rowOff>0</xdr:rowOff>
    </xdr:from>
    <xdr:to>
      <xdr:col>26</xdr:col>
      <xdr:colOff>101600</xdr:colOff>
      <xdr:row>29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29</xdr:row>
      <xdr:rowOff>139700</xdr:rowOff>
    </xdr:from>
    <xdr:to>
      <xdr:col>15</xdr:col>
      <xdr:colOff>114300</xdr:colOff>
      <xdr:row>55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273050</xdr:colOff>
      <xdr:row>58</xdr:row>
      <xdr:rowOff>57150</xdr:rowOff>
    </xdr:from>
    <xdr:to>
      <xdr:col>15</xdr:col>
      <xdr:colOff>88900</xdr:colOff>
      <xdr:row>82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641350</xdr:colOff>
      <xdr:row>58</xdr:row>
      <xdr:rowOff>31750</xdr:rowOff>
    </xdr:from>
    <xdr:to>
      <xdr:col>25</xdr:col>
      <xdr:colOff>495300</xdr:colOff>
      <xdr:row>81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273050</xdr:colOff>
      <xdr:row>84</xdr:row>
      <xdr:rowOff>171450</xdr:rowOff>
    </xdr:from>
    <xdr:to>
      <xdr:col>15</xdr:col>
      <xdr:colOff>165100</xdr:colOff>
      <xdr:row>108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254000</xdr:colOff>
      <xdr:row>110</xdr:row>
      <xdr:rowOff>25400</xdr:rowOff>
    </xdr:from>
    <xdr:to>
      <xdr:col>15</xdr:col>
      <xdr:colOff>203200</xdr:colOff>
      <xdr:row>135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520700</xdr:colOff>
      <xdr:row>110</xdr:row>
      <xdr:rowOff>12700</xdr:rowOff>
    </xdr:from>
    <xdr:to>
      <xdr:col>25</xdr:col>
      <xdr:colOff>647700</xdr:colOff>
      <xdr:row>135</xdr:row>
      <xdr:rowOff>88900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241300</xdr:colOff>
      <xdr:row>137</xdr:row>
      <xdr:rowOff>38100</xdr:rowOff>
    </xdr:from>
    <xdr:to>
      <xdr:col>15</xdr:col>
      <xdr:colOff>241300</xdr:colOff>
      <xdr:row>163</xdr:row>
      <xdr:rowOff>165100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workbookViewId="0">
      <selection activeCell="D171" sqref="D171:D176"/>
    </sheetView>
  </sheetViews>
  <sheetFormatPr baseColWidth="10" defaultRowHeight="15" x14ac:dyDescent="0"/>
  <cols>
    <col min="1" max="1" width="15" customWidth="1"/>
    <col min="2" max="2" width="21.33203125" customWidth="1"/>
    <col min="3" max="3" width="21.5" customWidth="1"/>
    <col min="4" max="4" width="16.33203125" customWidth="1"/>
  </cols>
  <sheetData>
    <row r="1" spans="1:4">
      <c r="A1" t="s">
        <v>3</v>
      </c>
    </row>
    <row r="4" spans="1:4">
      <c r="A4" t="s">
        <v>0</v>
      </c>
      <c r="B4" t="s">
        <v>6</v>
      </c>
      <c r="C4" t="s">
        <v>1</v>
      </c>
      <c r="D4" t="s">
        <v>2</v>
      </c>
    </row>
    <row r="5" spans="1:4">
      <c r="A5">
        <v>4</v>
      </c>
      <c r="B5">
        <f>LOG(A5)/LOG(2)</f>
        <v>2</v>
      </c>
      <c r="C5">
        <v>0</v>
      </c>
      <c r="D5">
        <f>1-0.93961</f>
        <v>6.0390000000000055E-2</v>
      </c>
    </row>
    <row r="6" spans="1:4">
      <c r="A6">
        <v>8</v>
      </c>
      <c r="B6">
        <f>LOG(A6)/LOG(2)</f>
        <v>3</v>
      </c>
      <c r="C6">
        <f>1-1</f>
        <v>0</v>
      </c>
      <c r="D6">
        <f>1-0.854551</f>
        <v>0.14544900000000005</v>
      </c>
    </row>
    <row r="7" spans="1:4">
      <c r="A7">
        <v>16</v>
      </c>
      <c r="B7">
        <f t="shared" ref="B7:B19" si="0">LOG(A7)/LOG(2)</f>
        <v>4</v>
      </c>
      <c r="C7">
        <f>1-0.996641</f>
        <v>3.3590000000000009E-3</v>
      </c>
      <c r="D7">
        <f>1-0.737798</f>
        <v>0.26220200000000005</v>
      </c>
    </row>
    <row r="8" spans="1:4">
      <c r="A8">
        <v>32</v>
      </c>
      <c r="B8">
        <f t="shared" si="0"/>
        <v>5</v>
      </c>
      <c r="C8">
        <f>1-0.989915</f>
        <v>1.0085000000000011E-2</v>
      </c>
      <c r="D8">
        <f>1-0.634086</f>
        <v>0.36591399999999996</v>
      </c>
    </row>
    <row r="9" spans="1:4">
      <c r="A9">
        <v>64</v>
      </c>
      <c r="B9">
        <f t="shared" si="0"/>
        <v>6</v>
      </c>
      <c r="C9">
        <f>1-0.736422</f>
        <v>0.26357799999999998</v>
      </c>
      <c r="D9">
        <f>1-0.547936</f>
        <v>0.45206400000000002</v>
      </c>
    </row>
    <row r="10" spans="1:4">
      <c r="A10">
        <v>128</v>
      </c>
      <c r="B10">
        <f t="shared" si="0"/>
        <v>7</v>
      </c>
      <c r="C10">
        <f>1-0.631339</f>
        <v>0.36866100000000002</v>
      </c>
      <c r="D10">
        <f>1-0.460465</f>
        <v>0.53953499999999999</v>
      </c>
    </row>
    <row r="11" spans="1:4">
      <c r="A11">
        <v>256</v>
      </c>
      <c r="B11">
        <f t="shared" si="0"/>
        <v>8</v>
      </c>
      <c r="C11">
        <f>1-0.545178</f>
        <v>0.45482199999999995</v>
      </c>
      <c r="D11">
        <f>1-0.275726</f>
        <v>0.72427399999999997</v>
      </c>
    </row>
    <row r="12" spans="1:4">
      <c r="A12">
        <v>512</v>
      </c>
      <c r="B12">
        <f t="shared" si="0"/>
        <v>9</v>
      </c>
      <c r="C12">
        <f>1-0.463198</f>
        <v>0.536802</v>
      </c>
      <c r="D12">
        <f>1-0.155181</f>
        <v>0.84481899999999999</v>
      </c>
    </row>
    <row r="13" spans="1:4">
      <c r="A13">
        <v>1024</v>
      </c>
      <c r="B13">
        <f>LOG(A13)/LOG(2)</f>
        <v>10</v>
      </c>
      <c r="C13">
        <f>1-0.245185</f>
        <v>0.75481500000000001</v>
      </c>
      <c r="D13">
        <f>1-0.092033</f>
        <v>0.90796699999999997</v>
      </c>
    </row>
    <row r="14" spans="1:4">
      <c r="A14">
        <v>2048</v>
      </c>
      <c r="B14">
        <f t="shared" si="0"/>
        <v>11</v>
      </c>
      <c r="C14">
        <f>1-0.137956</f>
        <v>0.86204400000000003</v>
      </c>
      <c r="D14">
        <f>1-0.046815</f>
        <v>0.95318499999999995</v>
      </c>
    </row>
    <row r="15" spans="1:4">
      <c r="A15">
        <v>4096</v>
      </c>
      <c r="B15">
        <f t="shared" si="0"/>
        <v>12</v>
      </c>
      <c r="C15">
        <f>1-0.094295</f>
        <v>0.90570499999999998</v>
      </c>
      <c r="D15">
        <f>1-0.034409</f>
        <v>0.96559099999999998</v>
      </c>
    </row>
    <row r="16" spans="1:4">
      <c r="A16">
        <v>8192</v>
      </c>
      <c r="B16">
        <f t="shared" si="0"/>
        <v>13</v>
      </c>
      <c r="C16">
        <f>1-0.025272</f>
        <v>0.97472800000000004</v>
      </c>
      <c r="D16">
        <f>1-0.027389</f>
        <v>0.972611</v>
      </c>
    </row>
    <row r="17" spans="1:4">
      <c r="A17">
        <f>A16*2</f>
        <v>16384</v>
      </c>
      <c r="B17">
        <f t="shared" si="0"/>
        <v>14</v>
      </c>
      <c r="C17">
        <f>1-0.013567</f>
        <v>0.986433</v>
      </c>
      <c r="D17">
        <f>1-0.019449</f>
        <v>0.98055099999999995</v>
      </c>
    </row>
    <row r="18" spans="1:4">
      <c r="A18">
        <f>A17*2</f>
        <v>32768</v>
      </c>
      <c r="B18">
        <f t="shared" si="0"/>
        <v>15</v>
      </c>
      <c r="C18">
        <f>1-0.011452</f>
        <v>0.98854799999999998</v>
      </c>
      <c r="D18">
        <f>1-0.019449</f>
        <v>0.98055099999999995</v>
      </c>
    </row>
    <row r="19" spans="1:4">
      <c r="A19">
        <v>65536</v>
      </c>
      <c r="B19">
        <f t="shared" si="0"/>
        <v>16</v>
      </c>
      <c r="C19">
        <f>1-0.011452</f>
        <v>0.98854799999999998</v>
      </c>
      <c r="D19">
        <f>1-0.019449</f>
        <v>0.98055099999999995</v>
      </c>
    </row>
    <row r="21" spans="1:4">
      <c r="A21" t="s">
        <v>4</v>
      </c>
    </row>
    <row r="24" spans="1:4">
      <c r="A24" t="s">
        <v>0</v>
      </c>
      <c r="B24" t="s">
        <v>6</v>
      </c>
      <c r="C24" t="s">
        <v>1</v>
      </c>
      <c r="D24" t="s">
        <v>2</v>
      </c>
    </row>
    <row r="25" spans="1:4">
      <c r="A25">
        <v>4</v>
      </c>
      <c r="B25">
        <f>LOG(A25)/LOG(2)</f>
        <v>2</v>
      </c>
      <c r="C25">
        <v>0</v>
      </c>
      <c r="D25">
        <f>1-0.932449</f>
        <v>6.7551000000000028E-2</v>
      </c>
    </row>
    <row r="26" spans="1:4">
      <c r="A26">
        <v>8</v>
      </c>
      <c r="B26">
        <f t="shared" ref="B26:B39" si="1">LOG(A26)/LOG(2)</f>
        <v>3</v>
      </c>
      <c r="C26">
        <v>0</v>
      </c>
      <c r="D26">
        <f>1-0.862669</f>
        <v>0.13733099999999998</v>
      </c>
    </row>
    <row r="27" spans="1:4">
      <c r="A27">
        <v>16</v>
      </c>
      <c r="B27">
        <f t="shared" si="1"/>
        <v>4</v>
      </c>
      <c r="C27">
        <f>1-0.99533</f>
        <v>4.669999999999952E-3</v>
      </c>
      <c r="D27">
        <f>1-0.777138</f>
        <v>0.222862</v>
      </c>
    </row>
    <row r="28" spans="1:4">
      <c r="A28">
        <v>32</v>
      </c>
      <c r="B28">
        <f t="shared" si="1"/>
        <v>5</v>
      </c>
      <c r="C28">
        <f>1-0.964664</f>
        <v>3.5336000000000034E-2</v>
      </c>
      <c r="D28">
        <f>1-0.667046</f>
        <v>0.33295399999999997</v>
      </c>
    </row>
    <row r="29" spans="1:4">
      <c r="A29">
        <v>64</v>
      </c>
      <c r="B29">
        <f t="shared" si="1"/>
        <v>6</v>
      </c>
      <c r="C29">
        <f>1-0.88056</f>
        <v>0.11943999999999999</v>
      </c>
      <c r="D29">
        <f>1-0.56342</f>
        <v>0.43657999999999997</v>
      </c>
    </row>
    <row r="30" spans="1:4">
      <c r="A30">
        <v>128</v>
      </c>
      <c r="B30">
        <f t="shared" si="1"/>
        <v>7</v>
      </c>
      <c r="C30">
        <f>1-0.797716</f>
        <v>0.20228400000000002</v>
      </c>
      <c r="D30">
        <f>1-0.449767</f>
        <v>0.55023299999999997</v>
      </c>
    </row>
    <row r="31" spans="1:4">
      <c r="A31">
        <v>256</v>
      </c>
      <c r="B31">
        <f t="shared" si="1"/>
        <v>8</v>
      </c>
      <c r="C31">
        <f>1-0.698974</f>
        <v>0.30102600000000002</v>
      </c>
      <c r="D31">
        <f>1-0.341732</f>
        <v>0.65826800000000008</v>
      </c>
    </row>
    <row r="32" spans="1:4">
      <c r="A32">
        <v>512</v>
      </c>
      <c r="B32">
        <f t="shared" si="1"/>
        <v>9</v>
      </c>
      <c r="C32">
        <f>1-0.600724</f>
        <v>0.39927599999999996</v>
      </c>
      <c r="D32">
        <f>1-0.247716</f>
        <v>0.75228399999999995</v>
      </c>
    </row>
    <row r="33" spans="1:4">
      <c r="A33">
        <v>1024</v>
      </c>
      <c r="B33">
        <f t="shared" si="1"/>
        <v>10</v>
      </c>
      <c r="C33">
        <f>1-0.526367</f>
        <v>0.47363299999999997</v>
      </c>
      <c r="D33">
        <f>1-0.165618</f>
        <v>0.83438199999999996</v>
      </c>
    </row>
    <row r="34" spans="1:4">
      <c r="A34">
        <v>2048</v>
      </c>
      <c r="B34">
        <f t="shared" si="1"/>
        <v>11</v>
      </c>
      <c r="C34">
        <f>1-0.406992</f>
        <v>0.59300799999999998</v>
      </c>
      <c r="D34">
        <f>1-0.123386</f>
        <v>0.876614</v>
      </c>
    </row>
    <row r="35" spans="1:4">
      <c r="A35">
        <v>4096</v>
      </c>
      <c r="B35">
        <f t="shared" si="1"/>
        <v>12</v>
      </c>
      <c r="C35">
        <f>1-0.263977</f>
        <v>0.73602299999999998</v>
      </c>
      <c r="D35">
        <f>1-0.089487</f>
        <v>0.91051300000000002</v>
      </c>
    </row>
    <row r="36" spans="1:4">
      <c r="A36">
        <v>8192</v>
      </c>
      <c r="B36">
        <f t="shared" si="1"/>
        <v>13</v>
      </c>
      <c r="C36">
        <f>1-0.131633</f>
        <v>0.868367</v>
      </c>
      <c r="D36">
        <f>1-0.056334</f>
        <v>0.943666</v>
      </c>
    </row>
    <row r="37" spans="1:4">
      <c r="A37">
        <f>A36*2</f>
        <v>16384</v>
      </c>
      <c r="B37">
        <f t="shared" si="1"/>
        <v>14</v>
      </c>
      <c r="C37">
        <f>1-0.06404</f>
        <v>0.93596000000000001</v>
      </c>
      <c r="D37">
        <f>1-0.044494</f>
        <v>0.95550599999999997</v>
      </c>
    </row>
    <row r="38" spans="1:4">
      <c r="A38">
        <f>A37*2</f>
        <v>32768</v>
      </c>
      <c r="B38">
        <f t="shared" si="1"/>
        <v>15</v>
      </c>
      <c r="C38">
        <f>1-0.050803</f>
        <v>0.94919699999999996</v>
      </c>
      <c r="D38">
        <f>1-0.039372</f>
        <v>0.96062800000000004</v>
      </c>
    </row>
    <row r="39" spans="1:4">
      <c r="A39">
        <v>65536</v>
      </c>
      <c r="B39">
        <f t="shared" si="1"/>
        <v>16</v>
      </c>
      <c r="C39">
        <f>1-0.048862</f>
        <v>0.95113800000000004</v>
      </c>
      <c r="D39">
        <f>1-0.038214</f>
        <v>0.96178600000000003</v>
      </c>
    </row>
    <row r="41" spans="1:4">
      <c r="A41" t="s">
        <v>5</v>
      </c>
    </row>
    <row r="44" spans="1:4">
      <c r="A44" t="s">
        <v>0</v>
      </c>
      <c r="B44" t="s">
        <v>6</v>
      </c>
      <c r="C44" t="s">
        <v>1</v>
      </c>
      <c r="D44" t="s">
        <v>2</v>
      </c>
    </row>
    <row r="45" spans="1:4">
      <c r="A45">
        <v>4</v>
      </c>
      <c r="B45">
        <f>LOG(A45)/LOG(2)</f>
        <v>2</v>
      </c>
      <c r="C45">
        <v>0</v>
      </c>
      <c r="D45">
        <f>1-0.999949</f>
        <v>5.1000000000023249E-5</v>
      </c>
    </row>
    <row r="46" spans="1:4">
      <c r="A46">
        <v>8</v>
      </c>
      <c r="B46">
        <f t="shared" ref="B46:B59" si="2">LOG(A46)/LOG(2)</f>
        <v>3</v>
      </c>
      <c r="C46">
        <v>0</v>
      </c>
      <c r="D46">
        <f>1-0.777801</f>
        <v>0.22219900000000004</v>
      </c>
    </row>
    <row r="47" spans="1:4">
      <c r="A47">
        <v>16</v>
      </c>
      <c r="B47">
        <f t="shared" si="2"/>
        <v>4</v>
      </c>
      <c r="C47">
        <v>0</v>
      </c>
      <c r="D47">
        <f>1-0.666698</f>
        <v>0.33330199999999999</v>
      </c>
    </row>
    <row r="48" spans="1:4">
      <c r="A48">
        <v>32</v>
      </c>
      <c r="B48">
        <f t="shared" si="2"/>
        <v>5</v>
      </c>
      <c r="C48">
        <f>1-0.812634</f>
        <v>0.18736600000000003</v>
      </c>
      <c r="D48">
        <f>1-0.428694</f>
        <v>0.57130599999999998</v>
      </c>
    </row>
    <row r="49" spans="1:4">
      <c r="A49">
        <v>64</v>
      </c>
      <c r="B49">
        <f t="shared" si="2"/>
        <v>6</v>
      </c>
      <c r="C49">
        <f>1-0.812634</f>
        <v>0.18736600000000003</v>
      </c>
      <c r="D49">
        <f>1-0.079577</f>
        <v>0.92042299999999999</v>
      </c>
    </row>
    <row r="50" spans="1:4">
      <c r="A50">
        <v>128</v>
      </c>
      <c r="B50">
        <f t="shared" si="2"/>
        <v>7</v>
      </c>
      <c r="C50">
        <f>1-0.812634</f>
        <v>0.18736600000000003</v>
      </c>
      <c r="D50">
        <f>1-0.063546</f>
        <v>0.93645400000000001</v>
      </c>
    </row>
    <row r="51" spans="1:4">
      <c r="A51">
        <v>256</v>
      </c>
      <c r="B51">
        <f t="shared" si="2"/>
        <v>8</v>
      </c>
      <c r="C51">
        <f>1-0.000886</f>
        <v>0.99911399999999995</v>
      </c>
      <c r="D51">
        <f>1-0.063546</f>
        <v>0.93645400000000001</v>
      </c>
    </row>
    <row r="52" spans="1:4">
      <c r="A52">
        <v>512</v>
      </c>
      <c r="B52">
        <f t="shared" si="2"/>
        <v>9</v>
      </c>
      <c r="C52">
        <f>1-0.000886</f>
        <v>0.99911399999999995</v>
      </c>
      <c r="D52">
        <f>1-0.063546</f>
        <v>0.93645400000000001</v>
      </c>
    </row>
    <row r="53" spans="1:4">
      <c r="A53">
        <v>1024</v>
      </c>
      <c r="B53">
        <f t="shared" si="2"/>
        <v>10</v>
      </c>
      <c r="C53">
        <f>1-0.000266</f>
        <v>0.99973400000000001</v>
      </c>
      <c r="D53">
        <f>1-0.063546</f>
        <v>0.93645400000000001</v>
      </c>
    </row>
    <row r="54" spans="1:4">
      <c r="A54">
        <v>2048</v>
      </c>
      <c r="B54">
        <f t="shared" si="2"/>
        <v>11</v>
      </c>
      <c r="C54">
        <f>1-0.000266</f>
        <v>0.99973400000000001</v>
      </c>
      <c r="D54">
        <f>1-0.063546</f>
        <v>0.93645400000000001</v>
      </c>
    </row>
    <row r="55" spans="1:4">
      <c r="A55">
        <v>4096</v>
      </c>
      <c r="B55">
        <f t="shared" si="2"/>
        <v>12</v>
      </c>
      <c r="C55">
        <f>1-0.000266</f>
        <v>0.99973400000000001</v>
      </c>
      <c r="D55">
        <f>1-0.063546</f>
        <v>0.93645400000000001</v>
      </c>
    </row>
    <row r="56" spans="1:4">
      <c r="A56">
        <v>8192</v>
      </c>
      <c r="B56">
        <f t="shared" si="2"/>
        <v>13</v>
      </c>
      <c r="C56">
        <f>1-0.000266</f>
        <v>0.99973400000000001</v>
      </c>
      <c r="D56">
        <f>1-0.063546</f>
        <v>0.93645400000000001</v>
      </c>
    </row>
    <row r="57" spans="1:4">
      <c r="A57">
        <f>A56*2</f>
        <v>16384</v>
      </c>
      <c r="B57">
        <f t="shared" si="2"/>
        <v>14</v>
      </c>
      <c r="C57">
        <f>1-0.000266</f>
        <v>0.99973400000000001</v>
      </c>
      <c r="D57">
        <f>1-0.063546</f>
        <v>0.93645400000000001</v>
      </c>
    </row>
    <row r="58" spans="1:4">
      <c r="A58">
        <f>A57*2</f>
        <v>32768</v>
      </c>
      <c r="B58">
        <f t="shared" si="2"/>
        <v>15</v>
      </c>
      <c r="C58">
        <f>1-0.000266</f>
        <v>0.99973400000000001</v>
      </c>
      <c r="D58">
        <f>1-0.04049</f>
        <v>0.95950999999999997</v>
      </c>
    </row>
    <row r="59" spans="1:4">
      <c r="A59">
        <v>65536</v>
      </c>
      <c r="B59">
        <f t="shared" si="2"/>
        <v>16</v>
      </c>
      <c r="C59">
        <f>1-0.000266</f>
        <v>0.99973400000000001</v>
      </c>
      <c r="D59">
        <f>1-0.04049</f>
        <v>0.95950999999999997</v>
      </c>
    </row>
    <row r="61" spans="1:4">
      <c r="A61" t="s">
        <v>7</v>
      </c>
    </row>
    <row r="64" spans="1:4">
      <c r="A64" t="s">
        <v>8</v>
      </c>
      <c r="B64" t="s">
        <v>9</v>
      </c>
      <c r="C64" t="s">
        <v>1</v>
      </c>
      <c r="D64" t="s">
        <v>2</v>
      </c>
    </row>
    <row r="65" spans="1:4">
      <c r="A65">
        <v>4</v>
      </c>
      <c r="B65">
        <f>LOG(A65)/LOG(2)</f>
        <v>2</v>
      </c>
      <c r="C65">
        <f>1-0.048058</f>
        <v>0.95194199999999995</v>
      </c>
      <c r="D65">
        <f>1-0.02988</f>
        <v>0.97011999999999998</v>
      </c>
    </row>
    <row r="66" spans="1:4">
      <c r="A66">
        <v>8</v>
      </c>
      <c r="B66">
        <f t="shared" ref="B66:B75" si="3">LOG(A66)/LOG(2)</f>
        <v>3</v>
      </c>
      <c r="C66">
        <f>1-0.027777</f>
        <v>0.97222299999999995</v>
      </c>
      <c r="D66">
        <f>1-0.016954</f>
        <v>0.98304599999999998</v>
      </c>
    </row>
    <row r="67" spans="1:4">
      <c r="A67">
        <v>16</v>
      </c>
      <c r="B67">
        <f t="shared" si="3"/>
        <v>4</v>
      </c>
      <c r="C67">
        <f>1-0.017355</f>
        <v>0.98264499999999999</v>
      </c>
      <c r="D67">
        <f>1-0.011356</f>
        <v>0.98864399999999997</v>
      </c>
    </row>
    <row r="68" spans="1:4">
      <c r="A68">
        <v>32</v>
      </c>
      <c r="B68">
        <f t="shared" si="3"/>
        <v>5</v>
      </c>
      <c r="C68">
        <f>1-0.011467</f>
        <v>0.988533</v>
      </c>
      <c r="D68">
        <f>1-0.008806</f>
        <v>0.99119400000000002</v>
      </c>
    </row>
    <row r="69" spans="1:4">
      <c r="A69">
        <v>64</v>
      </c>
      <c r="B69">
        <f t="shared" si="3"/>
        <v>6</v>
      </c>
      <c r="C69">
        <f>1-0.008419</f>
        <v>0.99158100000000005</v>
      </c>
      <c r="D69">
        <f>1-0.014546</f>
        <v>0.98545400000000005</v>
      </c>
    </row>
    <row r="70" spans="1:4">
      <c r="A70">
        <v>128</v>
      </c>
      <c r="B70">
        <f t="shared" si="3"/>
        <v>7</v>
      </c>
      <c r="C70">
        <f>1-0.006481</f>
        <v>0.99351900000000004</v>
      </c>
      <c r="D70">
        <f>1-0.018593</f>
        <v>0.98140700000000003</v>
      </c>
    </row>
    <row r="71" spans="1:4">
      <c r="A71">
        <v>256</v>
      </c>
      <c r="B71">
        <f t="shared" si="3"/>
        <v>8</v>
      </c>
      <c r="C71">
        <f>1-0.005404</f>
        <v>0.99459600000000004</v>
      </c>
      <c r="D71">
        <f>1-0.023739</f>
        <v>0.97626100000000005</v>
      </c>
    </row>
    <row r="72" spans="1:4">
      <c r="A72">
        <v>512</v>
      </c>
      <c r="B72">
        <f t="shared" si="3"/>
        <v>9</v>
      </c>
      <c r="C72">
        <f>1-0.004526</f>
        <v>0.99547399999999997</v>
      </c>
      <c r="D72">
        <f>1-0.043634</f>
        <v>0.95636600000000005</v>
      </c>
    </row>
    <row r="73" spans="1:4">
      <c r="A73">
        <v>1024</v>
      </c>
      <c r="B73">
        <f t="shared" si="3"/>
        <v>10</v>
      </c>
      <c r="C73">
        <f>1-0.004492</f>
        <v>0.99550799999999995</v>
      </c>
      <c r="D73">
        <f>1-0.058466</f>
        <v>0.94153399999999998</v>
      </c>
    </row>
    <row r="74" spans="1:4">
      <c r="A74">
        <v>2048</v>
      </c>
      <c r="B74">
        <f t="shared" si="3"/>
        <v>11</v>
      </c>
      <c r="C74">
        <f>1-0.01109</f>
        <v>0.98890999999999996</v>
      </c>
      <c r="D74">
        <f>1-0.103182</f>
        <v>0.896818</v>
      </c>
    </row>
    <row r="75" spans="1:4">
      <c r="A75">
        <v>4096</v>
      </c>
      <c r="B75">
        <f t="shared" si="3"/>
        <v>12</v>
      </c>
      <c r="C75">
        <f>1-0.01359</f>
        <v>0.98641000000000001</v>
      </c>
      <c r="D75">
        <f>1-0.205338</f>
        <v>0.79466199999999998</v>
      </c>
    </row>
    <row r="77" spans="1:4">
      <c r="A77" t="s">
        <v>10</v>
      </c>
    </row>
    <row r="80" spans="1:4">
      <c r="A80" t="s">
        <v>8</v>
      </c>
      <c r="B80" t="s">
        <v>9</v>
      </c>
      <c r="C80" t="s">
        <v>1</v>
      </c>
      <c r="D80" t="s">
        <v>2</v>
      </c>
    </row>
    <row r="81" spans="1:4">
      <c r="A81">
        <v>4</v>
      </c>
      <c r="B81">
        <f>LOG(A81)/LOG(2)</f>
        <v>2</v>
      </c>
      <c r="C81">
        <f>1-0.17749</f>
        <v>0.82250999999999996</v>
      </c>
      <c r="D81">
        <f>1-0.066121</f>
        <v>0.93387900000000001</v>
      </c>
    </row>
    <row r="82" spans="1:4">
      <c r="A82">
        <v>8</v>
      </c>
      <c r="B82">
        <f t="shared" ref="B82:B91" si="4">LOG(A82)/LOG(2)</f>
        <v>3</v>
      </c>
      <c r="C82">
        <f>1-0.101763</f>
        <v>0.89823699999999995</v>
      </c>
      <c r="D82">
        <f>1-0.045574</f>
        <v>0.954426</v>
      </c>
    </row>
    <row r="83" spans="1:4">
      <c r="A83">
        <v>16</v>
      </c>
      <c r="B83">
        <f t="shared" si="4"/>
        <v>4</v>
      </c>
      <c r="C83">
        <f>1-0.06324</f>
        <v>0.93676000000000004</v>
      </c>
      <c r="D83">
        <f>1-0.035366</f>
        <v>0.96463399999999999</v>
      </c>
    </row>
    <row r="84" spans="1:4">
      <c r="A84">
        <v>32</v>
      </c>
      <c r="B84">
        <f t="shared" si="4"/>
        <v>5</v>
      </c>
      <c r="C84">
        <f>1-0.042231</f>
        <v>0.95776899999999998</v>
      </c>
      <c r="D84">
        <f>1-0.030483</f>
        <v>0.96951699999999996</v>
      </c>
    </row>
    <row r="85" spans="1:4">
      <c r="A85">
        <v>64</v>
      </c>
      <c r="B85">
        <f t="shared" si="4"/>
        <v>6</v>
      </c>
      <c r="C85">
        <f>1-0.030422</f>
        <v>0.96957800000000005</v>
      </c>
      <c r="D85">
        <f>1-0.030994</f>
        <v>0.96900600000000003</v>
      </c>
    </row>
    <row r="86" spans="1:4">
      <c r="A86">
        <v>128</v>
      </c>
      <c r="B86">
        <f t="shared" si="4"/>
        <v>7</v>
      </c>
      <c r="C86">
        <f>1-0.022844</f>
        <v>0.97715600000000002</v>
      </c>
      <c r="D86">
        <f>1-0.038016</f>
        <v>0.96198399999999995</v>
      </c>
    </row>
    <row r="87" spans="1:4">
      <c r="A87">
        <v>256</v>
      </c>
      <c r="B87">
        <f t="shared" si="4"/>
        <v>8</v>
      </c>
      <c r="C87">
        <f>1-0.017989</f>
        <v>0.98201099999999997</v>
      </c>
      <c r="D87">
        <f>1-0.049192</f>
        <v>0.95080799999999999</v>
      </c>
    </row>
    <row r="88" spans="1:4">
      <c r="A88">
        <v>512</v>
      </c>
      <c r="B88">
        <f t="shared" si="4"/>
        <v>9</v>
      </c>
      <c r="C88">
        <f>1-0.014101</f>
        <v>0.98589899999999997</v>
      </c>
      <c r="D88">
        <f>1-0.073325</f>
        <v>0.92667500000000003</v>
      </c>
    </row>
    <row r="89" spans="1:4">
      <c r="A89">
        <v>1024</v>
      </c>
      <c r="B89">
        <f t="shared" si="4"/>
        <v>10</v>
      </c>
      <c r="C89">
        <f>1-0.012825</f>
        <v>0.98717500000000002</v>
      </c>
      <c r="D89">
        <f>1-0.115836</f>
        <v>0.88416399999999995</v>
      </c>
    </row>
    <row r="90" spans="1:4">
      <c r="A90">
        <v>2048</v>
      </c>
      <c r="B90">
        <f t="shared" si="4"/>
        <v>11</v>
      </c>
      <c r="C90">
        <f>1-0.011499</f>
        <v>0.98850099999999996</v>
      </c>
      <c r="D90">
        <f>1-0.182539</f>
        <v>0.81746099999999999</v>
      </c>
    </row>
    <row r="91" spans="1:4">
      <c r="A91">
        <v>4096</v>
      </c>
      <c r="B91">
        <f t="shared" si="4"/>
        <v>12</v>
      </c>
      <c r="C91">
        <f>1-0.012342</f>
        <v>0.98765800000000004</v>
      </c>
      <c r="D91">
        <f>1-0.293793</f>
        <v>0.70620700000000003</v>
      </c>
    </row>
    <row r="93" spans="1:4">
      <c r="A93" t="s">
        <v>11</v>
      </c>
    </row>
    <row r="96" spans="1:4">
      <c r="A96" t="s">
        <v>8</v>
      </c>
      <c r="B96" t="s">
        <v>9</v>
      </c>
      <c r="C96" t="s">
        <v>1</v>
      </c>
      <c r="D96" t="s">
        <v>2</v>
      </c>
    </row>
    <row r="97" spans="1:4">
      <c r="A97">
        <v>4</v>
      </c>
      <c r="B97">
        <f>LOG(A97)/LOG(2)</f>
        <v>2</v>
      </c>
      <c r="C97">
        <f>1-0.000266</f>
        <v>0.99973400000000001</v>
      </c>
      <c r="D97">
        <f>1-0.063546</f>
        <v>0.93645400000000001</v>
      </c>
    </row>
    <row r="98" spans="1:4">
      <c r="A98">
        <v>8</v>
      </c>
      <c r="B98">
        <f t="shared" ref="B98:B107" si="5">LOG(A98)/LOG(2)</f>
        <v>3</v>
      </c>
      <c r="C98">
        <f>1-0.000144</f>
        <v>0.99985599999999997</v>
      </c>
      <c r="D98">
        <f>1-0.031799</f>
        <v>0.96820099999999998</v>
      </c>
    </row>
    <row r="99" spans="1:4">
      <c r="A99">
        <v>16</v>
      </c>
      <c r="B99">
        <f t="shared" si="5"/>
        <v>4</v>
      </c>
      <c r="C99">
        <f>1-0.000084</f>
        <v>0.99991600000000003</v>
      </c>
      <c r="D99">
        <f>1-0.015925</f>
        <v>0.98407500000000003</v>
      </c>
    </row>
    <row r="100" spans="1:4">
      <c r="A100">
        <v>32</v>
      </c>
      <c r="B100">
        <f t="shared" si="5"/>
        <v>5</v>
      </c>
      <c r="C100">
        <f>1-0.000047</f>
        <v>0.99995299999999998</v>
      </c>
      <c r="D100">
        <f>1-0.008003</f>
        <v>0.99199700000000002</v>
      </c>
    </row>
    <row r="101" spans="1:4">
      <c r="A101">
        <v>64</v>
      </c>
      <c r="B101">
        <f t="shared" si="5"/>
        <v>6</v>
      </c>
      <c r="C101">
        <f>1-0.000032</f>
        <v>0.99996799999999997</v>
      </c>
      <c r="D101">
        <f>1-0.004086</f>
        <v>0.99591399999999997</v>
      </c>
    </row>
    <row r="102" spans="1:4">
      <c r="A102">
        <v>128</v>
      </c>
      <c r="B102">
        <f t="shared" si="5"/>
        <v>7</v>
      </c>
      <c r="C102">
        <f>1-0.00002</f>
        <v>0.99997999999999998</v>
      </c>
      <c r="D102">
        <f>1-0.002407</f>
        <v>0.99759299999999995</v>
      </c>
    </row>
    <row r="103" spans="1:4">
      <c r="A103">
        <v>256</v>
      </c>
      <c r="B103">
        <f t="shared" si="5"/>
        <v>8</v>
      </c>
      <c r="C103">
        <f>1-0.000015</f>
        <v>0.99998500000000001</v>
      </c>
      <c r="D103">
        <f>1-0.003121</f>
        <v>0.99687899999999996</v>
      </c>
    </row>
    <row r="104" spans="1:4">
      <c r="A104">
        <v>512</v>
      </c>
      <c r="B104">
        <f t="shared" si="5"/>
        <v>9</v>
      </c>
      <c r="C104">
        <f>1-0.000023</f>
        <v>0.999977</v>
      </c>
      <c r="D104">
        <f>1-0.008079</f>
        <v>0.99192100000000005</v>
      </c>
    </row>
    <row r="105" spans="1:4">
      <c r="A105">
        <v>1024</v>
      </c>
      <c r="B105">
        <f t="shared" si="5"/>
        <v>10</v>
      </c>
      <c r="C105">
        <f>1-0.000018</f>
        <v>0.99998200000000004</v>
      </c>
      <c r="D105">
        <f>1-0.036655</f>
        <v>0.96334500000000001</v>
      </c>
    </row>
    <row r="106" spans="1:4">
      <c r="A106">
        <v>2048</v>
      </c>
      <c r="B106">
        <f t="shared" si="5"/>
        <v>11</v>
      </c>
      <c r="C106">
        <f>1-0.000017</f>
        <v>0.99998299999999996</v>
      </c>
      <c r="D106">
        <f>1-0.090042</f>
        <v>0.90995800000000004</v>
      </c>
    </row>
    <row r="107" spans="1:4">
      <c r="A107">
        <v>4096</v>
      </c>
      <c r="B107">
        <f t="shared" si="5"/>
        <v>12</v>
      </c>
      <c r="C107">
        <f>1-0.025004</f>
        <v>0.97499599999999997</v>
      </c>
      <c r="D107">
        <f>1-0.190494</f>
        <v>0.80950600000000006</v>
      </c>
    </row>
    <row r="110" spans="1:4">
      <c r="A110" t="s">
        <v>14</v>
      </c>
    </row>
    <row r="113" spans="1:4">
      <c r="A113" t="s">
        <v>12</v>
      </c>
      <c r="B113" t="s">
        <v>13</v>
      </c>
      <c r="C113" t="s">
        <v>1</v>
      </c>
      <c r="D113" t="s">
        <v>2</v>
      </c>
    </row>
    <row r="114" spans="1:4">
      <c r="A114">
        <v>1</v>
      </c>
      <c r="B114">
        <f>LOG(A114)/LOG(2)</f>
        <v>0</v>
      </c>
      <c r="C114">
        <f>1-0.011521</f>
        <v>0.988479</v>
      </c>
      <c r="D114">
        <f>1-0.039215</f>
        <v>0.960785</v>
      </c>
    </row>
    <row r="115" spans="1:4">
      <c r="A115">
        <v>2</v>
      </c>
      <c r="B115">
        <f t="shared" ref="B115:B120" si="6">LOG(A115)/LOG(2)</f>
        <v>1</v>
      </c>
      <c r="C115">
        <f>1-0.006481</f>
        <v>0.99351900000000004</v>
      </c>
      <c r="D115">
        <f>1-0.018593</f>
        <v>0.98140700000000003</v>
      </c>
    </row>
    <row r="116" spans="1:4">
      <c r="A116">
        <v>4</v>
      </c>
      <c r="B116">
        <f t="shared" si="6"/>
        <v>2</v>
      </c>
      <c r="C116">
        <f>1-0.005459</f>
        <v>0.99454100000000001</v>
      </c>
      <c r="D116">
        <f>1-0.004949</f>
        <v>0.99505100000000002</v>
      </c>
    </row>
    <row r="117" spans="1:4">
      <c r="A117">
        <v>8</v>
      </c>
      <c r="B117">
        <f t="shared" si="6"/>
        <v>3</v>
      </c>
      <c r="C117">
        <f>1-0.005694</f>
        <v>0.99430600000000002</v>
      </c>
      <c r="D117">
        <f>1-0.003959</f>
        <v>0.99604099999999995</v>
      </c>
    </row>
    <row r="118" spans="1:4">
      <c r="A118">
        <v>16</v>
      </c>
      <c r="B118">
        <f t="shared" si="6"/>
        <v>4</v>
      </c>
      <c r="C118">
        <f>1-0.005763</f>
        <v>0.99423700000000004</v>
      </c>
      <c r="D118">
        <f>1-0.003632</f>
        <v>0.99636800000000003</v>
      </c>
    </row>
    <row r="119" spans="1:4">
      <c r="A119">
        <v>32</v>
      </c>
      <c r="B119">
        <f t="shared" si="6"/>
        <v>5</v>
      </c>
      <c r="C119">
        <f>1-0.005817</f>
        <v>0.99418300000000004</v>
      </c>
      <c r="D119">
        <f>1-0.00336</f>
        <v>0.99663999999999997</v>
      </c>
    </row>
    <row r="120" spans="1:4">
      <c r="A120">
        <v>64</v>
      </c>
      <c r="B120">
        <f t="shared" si="6"/>
        <v>6</v>
      </c>
      <c r="C120">
        <f>1-0.005865</f>
        <v>0.99413499999999999</v>
      </c>
      <c r="D120">
        <f>1-0.003351</f>
        <v>0.99664900000000001</v>
      </c>
    </row>
    <row r="122" spans="1:4">
      <c r="A122" t="s">
        <v>15</v>
      </c>
    </row>
    <row r="125" spans="1:4">
      <c r="A125" t="s">
        <v>12</v>
      </c>
      <c r="B125" t="s">
        <v>13</v>
      </c>
      <c r="C125" t="s">
        <v>1</v>
      </c>
      <c r="D125" t="s">
        <v>2</v>
      </c>
    </row>
    <row r="126" spans="1:4">
      <c r="A126">
        <v>1</v>
      </c>
      <c r="B126">
        <f>LOG(A126)/LOG(2)</f>
        <v>0</v>
      </c>
      <c r="C126">
        <f>1-0.026268</f>
        <v>0.97373200000000004</v>
      </c>
      <c r="D126">
        <f>1-0.061543</f>
        <v>0.93845699999999999</v>
      </c>
    </row>
    <row r="127" spans="1:4">
      <c r="A127">
        <v>2</v>
      </c>
      <c r="B127">
        <f t="shared" ref="B127:B132" si="7">LOG(A127)/LOG(2)</f>
        <v>1</v>
      </c>
      <c r="C127">
        <f>1-0.022844</f>
        <v>0.97715600000000002</v>
      </c>
      <c r="D127">
        <f>1-0.038016</f>
        <v>0.96198399999999995</v>
      </c>
    </row>
    <row r="128" spans="1:4">
      <c r="A128">
        <v>4</v>
      </c>
      <c r="B128">
        <f t="shared" si="7"/>
        <v>2</v>
      </c>
      <c r="C128">
        <f>1-0.020888</f>
        <v>0.97911199999999998</v>
      </c>
      <c r="D128">
        <f>1-0.029803</f>
        <v>0.97019699999999998</v>
      </c>
    </row>
    <row r="129" spans="1:4">
      <c r="A129">
        <v>8</v>
      </c>
      <c r="B129">
        <f t="shared" si="7"/>
        <v>3</v>
      </c>
      <c r="C129">
        <f>1-0.020893</f>
        <v>0.97910699999999995</v>
      </c>
      <c r="D129">
        <f>1-0.026317</f>
        <v>0.97368299999999997</v>
      </c>
    </row>
    <row r="130" spans="1:4">
      <c r="A130">
        <v>16</v>
      </c>
      <c r="B130">
        <f t="shared" si="7"/>
        <v>4</v>
      </c>
      <c r="C130">
        <f>1-0.020169</f>
        <v>0.97983100000000001</v>
      </c>
      <c r="D130">
        <f>1-0.025002</f>
        <v>0.97499800000000003</v>
      </c>
    </row>
    <row r="131" spans="1:4">
      <c r="A131">
        <v>32</v>
      </c>
      <c r="B131">
        <f t="shared" si="7"/>
        <v>5</v>
      </c>
      <c r="C131">
        <f>1-0.01985</f>
        <v>0.98014999999999997</v>
      </c>
      <c r="D131">
        <f>1-0.024392</f>
        <v>0.97560800000000003</v>
      </c>
    </row>
    <row r="132" spans="1:4">
      <c r="A132">
        <v>64</v>
      </c>
      <c r="B132">
        <f t="shared" si="7"/>
        <v>6</v>
      </c>
      <c r="C132">
        <f>1-0.024503</f>
        <v>0.97549699999999995</v>
      </c>
      <c r="D132">
        <f>1-0.024503</f>
        <v>0.97549699999999995</v>
      </c>
    </row>
    <row r="134" spans="1:4">
      <c r="A134" t="s">
        <v>16</v>
      </c>
    </row>
    <row r="137" spans="1:4">
      <c r="A137" t="s">
        <v>12</v>
      </c>
      <c r="B137" t="s">
        <v>13</v>
      </c>
      <c r="C137" t="s">
        <v>1</v>
      </c>
      <c r="D137" t="s">
        <v>2</v>
      </c>
    </row>
    <row r="138" spans="1:4">
      <c r="A138">
        <v>1</v>
      </c>
      <c r="B138">
        <f>LOG(A138)/LOG(2)</f>
        <v>0</v>
      </c>
      <c r="C138">
        <f>1-0.000028</f>
        <v>0.99997199999999997</v>
      </c>
      <c r="D138">
        <f>1-0.013212</f>
        <v>0.986788</v>
      </c>
    </row>
    <row r="139" spans="1:4">
      <c r="A139">
        <v>2</v>
      </c>
      <c r="B139">
        <f t="shared" ref="B139:B144" si="8">LOG(A139)/LOG(2)</f>
        <v>1</v>
      </c>
      <c r="C139">
        <f>1-0.00002</f>
        <v>0.99997999999999998</v>
      </c>
      <c r="D139">
        <f>1-0.002407</f>
        <v>0.99759299999999995</v>
      </c>
    </row>
    <row r="140" spans="1:4">
      <c r="A140">
        <v>4</v>
      </c>
      <c r="B140">
        <f t="shared" si="8"/>
        <v>2</v>
      </c>
      <c r="C140">
        <f>1-0.00002</f>
        <v>0.99997999999999998</v>
      </c>
      <c r="D140">
        <f>1-0.002024</f>
        <v>0.99797599999999997</v>
      </c>
    </row>
    <row r="141" spans="1:4">
      <c r="A141">
        <v>8</v>
      </c>
      <c r="B141">
        <f t="shared" si="8"/>
        <v>3</v>
      </c>
      <c r="C141">
        <f>1-0.00002</f>
        <v>0.99997999999999998</v>
      </c>
      <c r="D141">
        <f>1-0.002024</f>
        <v>0.99797599999999997</v>
      </c>
    </row>
    <row r="142" spans="1:4">
      <c r="A142">
        <v>16</v>
      </c>
      <c r="B142">
        <f t="shared" si="8"/>
        <v>4</v>
      </c>
      <c r="C142">
        <f>1-0.00002</f>
        <v>0.99997999999999998</v>
      </c>
      <c r="D142">
        <f>1-0.002024</f>
        <v>0.99797599999999997</v>
      </c>
    </row>
    <row r="143" spans="1:4">
      <c r="A143">
        <v>32</v>
      </c>
      <c r="B143">
        <f t="shared" si="8"/>
        <v>5</v>
      </c>
      <c r="C143">
        <f>1-0.00002</f>
        <v>0.99997999999999998</v>
      </c>
      <c r="D143">
        <f>1-0.002024</f>
        <v>0.99797599999999997</v>
      </c>
    </row>
    <row r="144" spans="1:4">
      <c r="A144">
        <v>64</v>
      </c>
      <c r="B144">
        <f t="shared" si="8"/>
        <v>6</v>
      </c>
      <c r="C144">
        <f>1-0.00002</f>
        <v>0.99997999999999998</v>
      </c>
      <c r="D144">
        <f>1-0.002024</f>
        <v>0.99797599999999997</v>
      </c>
    </row>
    <row r="147" spans="1:3">
      <c r="A147" t="s">
        <v>20</v>
      </c>
    </row>
    <row r="149" spans="1:3">
      <c r="A149" t="s">
        <v>21</v>
      </c>
    </row>
    <row r="150" spans="1:3">
      <c r="A150" t="s">
        <v>19</v>
      </c>
      <c r="B150" t="s">
        <v>17</v>
      </c>
      <c r="C150" t="s">
        <v>18</v>
      </c>
    </row>
    <row r="151" spans="1:3">
      <c r="A151">
        <v>1</v>
      </c>
      <c r="B151">
        <v>280768</v>
      </c>
      <c r="C151">
        <v>32287</v>
      </c>
    </row>
    <row r="152" spans="1:3">
      <c r="A152">
        <v>2</v>
      </c>
      <c r="B152">
        <v>824192</v>
      </c>
      <c r="C152">
        <v>78872</v>
      </c>
    </row>
    <row r="153" spans="1:3">
      <c r="A153">
        <v>3</v>
      </c>
      <c r="B153">
        <v>3456</v>
      </c>
      <c r="C153">
        <v>29935</v>
      </c>
    </row>
    <row r="154" spans="1:3">
      <c r="A154">
        <v>4</v>
      </c>
      <c r="B154">
        <v>38064</v>
      </c>
      <c r="C154">
        <v>7681</v>
      </c>
    </row>
    <row r="155" spans="1:3">
      <c r="A155">
        <v>5</v>
      </c>
      <c r="B155">
        <v>205120</v>
      </c>
      <c r="C155">
        <v>19588</v>
      </c>
    </row>
    <row r="156" spans="1:3">
      <c r="A156">
        <v>6</v>
      </c>
      <c r="B156">
        <v>2448</v>
      </c>
      <c r="C156">
        <v>29909</v>
      </c>
    </row>
    <row r="158" spans="1:3">
      <c r="A158" t="s">
        <v>22</v>
      </c>
    </row>
    <row r="159" spans="1:3">
      <c r="A159" t="s">
        <v>19</v>
      </c>
      <c r="B159" t="s">
        <v>17</v>
      </c>
      <c r="C159" t="s">
        <v>18</v>
      </c>
    </row>
    <row r="160" spans="1:3">
      <c r="A160">
        <v>1</v>
      </c>
      <c r="B160">
        <v>280768</v>
      </c>
      <c r="C160">
        <v>66538</v>
      </c>
    </row>
    <row r="161" spans="1:4">
      <c r="A161">
        <v>2</v>
      </c>
      <c r="B161">
        <v>824192</v>
      </c>
      <c r="C161">
        <v>83030</v>
      </c>
    </row>
    <row r="162" spans="1:4">
      <c r="A162">
        <v>3</v>
      </c>
      <c r="B162">
        <v>3456</v>
      </c>
      <c r="C162">
        <v>104513</v>
      </c>
    </row>
    <row r="163" spans="1:4">
      <c r="A163">
        <v>4</v>
      </c>
      <c r="B163">
        <v>38064</v>
      </c>
      <c r="C163">
        <v>66538</v>
      </c>
    </row>
    <row r="164" spans="1:4">
      <c r="A164">
        <v>5</v>
      </c>
      <c r="B164">
        <v>205120</v>
      </c>
      <c r="C164">
        <v>83030</v>
      </c>
    </row>
    <row r="165" spans="1:4">
      <c r="A165">
        <v>6</v>
      </c>
      <c r="B165">
        <v>2448</v>
      </c>
      <c r="C165">
        <v>104513</v>
      </c>
    </row>
    <row r="167" spans="1:4">
      <c r="A167" t="s">
        <v>23</v>
      </c>
    </row>
    <row r="169" spans="1:4">
      <c r="A169" t="s">
        <v>24</v>
      </c>
    </row>
    <row r="170" spans="1:4">
      <c r="A170" t="s">
        <v>19</v>
      </c>
      <c r="B170" t="s">
        <v>17</v>
      </c>
      <c r="C170" t="s">
        <v>18</v>
      </c>
      <c r="D170" t="s">
        <v>26</v>
      </c>
    </row>
    <row r="171" spans="1:4">
      <c r="A171">
        <v>1</v>
      </c>
      <c r="B171">
        <v>280768</v>
      </c>
      <c r="C171">
        <v>32287</v>
      </c>
      <c r="D171">
        <f>B171+C171</f>
        <v>313055</v>
      </c>
    </row>
    <row r="172" spans="1:4">
      <c r="A172">
        <v>2</v>
      </c>
      <c r="B172">
        <v>824192</v>
      </c>
      <c r="C172">
        <v>78872</v>
      </c>
      <c r="D172">
        <f t="shared" ref="D172:D176" si="9">B172+C172</f>
        <v>903064</v>
      </c>
    </row>
    <row r="173" spans="1:4">
      <c r="A173">
        <v>3</v>
      </c>
      <c r="B173">
        <v>3456</v>
      </c>
      <c r="C173">
        <v>29935</v>
      </c>
      <c r="D173">
        <f t="shared" si="9"/>
        <v>33391</v>
      </c>
    </row>
    <row r="174" spans="1:4">
      <c r="A174">
        <v>4</v>
      </c>
      <c r="B174">
        <v>38064</v>
      </c>
      <c r="C174">
        <v>7681</v>
      </c>
      <c r="D174">
        <f t="shared" si="9"/>
        <v>45745</v>
      </c>
    </row>
    <row r="175" spans="1:4">
      <c r="A175">
        <v>5</v>
      </c>
      <c r="B175">
        <v>205120</v>
      </c>
      <c r="C175">
        <v>19588</v>
      </c>
      <c r="D175">
        <f t="shared" si="9"/>
        <v>224708</v>
      </c>
    </row>
    <row r="176" spans="1:4">
      <c r="A176">
        <v>6</v>
      </c>
      <c r="B176">
        <v>2448</v>
      </c>
      <c r="C176">
        <v>29909</v>
      </c>
      <c r="D176">
        <f t="shared" si="9"/>
        <v>32357</v>
      </c>
    </row>
    <row r="178" spans="1:4">
      <c r="A178" t="s">
        <v>25</v>
      </c>
    </row>
    <row r="179" spans="1:4">
      <c r="A179" t="s">
        <v>19</v>
      </c>
      <c r="B179" t="s">
        <v>17</v>
      </c>
      <c r="C179" t="s">
        <v>18</v>
      </c>
      <c r="D179" t="s">
        <v>26</v>
      </c>
    </row>
    <row r="180" spans="1:4">
      <c r="A180">
        <v>1</v>
      </c>
      <c r="B180">
        <v>291584</v>
      </c>
      <c r="C180">
        <v>36256</v>
      </c>
      <c r="D180">
        <f>B180+C180</f>
        <v>327840</v>
      </c>
    </row>
    <row r="181" spans="1:4">
      <c r="A181">
        <v>2</v>
      </c>
      <c r="B181">
        <v>848832</v>
      </c>
      <c r="C181">
        <v>91744</v>
      </c>
      <c r="D181">
        <f t="shared" ref="D181:D185" si="10">B181+C181</f>
        <v>940576</v>
      </c>
    </row>
    <row r="182" spans="1:4">
      <c r="A182">
        <v>3</v>
      </c>
      <c r="B182">
        <v>18496</v>
      </c>
      <c r="C182">
        <v>8608</v>
      </c>
      <c r="D182">
        <f t="shared" si="10"/>
        <v>27104</v>
      </c>
    </row>
    <row r="183" spans="1:4">
      <c r="A183">
        <v>4</v>
      </c>
      <c r="B183">
        <v>39728</v>
      </c>
      <c r="C183">
        <v>5280</v>
      </c>
      <c r="D183">
        <f t="shared" si="10"/>
        <v>45008</v>
      </c>
    </row>
    <row r="184" spans="1:4">
      <c r="A184">
        <v>5</v>
      </c>
      <c r="B184">
        <v>212176</v>
      </c>
      <c r="C184">
        <v>18208</v>
      </c>
      <c r="D184">
        <f t="shared" si="10"/>
        <v>230384</v>
      </c>
    </row>
    <row r="185" spans="1:4">
      <c r="A185">
        <v>6</v>
      </c>
      <c r="B185">
        <v>10464</v>
      </c>
      <c r="C185">
        <v>7568</v>
      </c>
      <c r="D185">
        <f t="shared" si="10"/>
        <v>18032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Aroon  Sharma</dc:creator>
  <cp:lastModifiedBy>Aroon  Sharma</cp:lastModifiedBy>
  <dcterms:created xsi:type="dcterms:W3CDTF">2013-11-03T17:39:39Z</dcterms:created>
  <dcterms:modified xsi:type="dcterms:W3CDTF">2013-11-04T03:21:38Z</dcterms:modified>
</cp:coreProperties>
</file>