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ablo.Marin\Downloads\"/>
    </mc:Choice>
  </mc:AlternateContent>
  <xr:revisionPtr revIDLastSave="0" documentId="13_ncr:1_{7440D474-EAAF-4227-822C-7637F2B0A045}" xr6:coauthVersionLast="47" xr6:coauthVersionMax="47" xr10:uidLastSave="{00000000-0000-0000-0000-000000000000}"/>
  <bookViews>
    <workbookView xWindow="1290" yWindow="-110" windowWidth="37220" windowHeight="21820" xr2:uid="{8FDD10F0-C759-4E27-8885-9746AB5DA979}"/>
  </bookViews>
  <sheets>
    <sheet name="Usage and energy" sheetId="4" r:id="rId1"/>
    <sheet name="Comparison" sheetId="2" r:id="rId2"/>
    <sheet name="Import" sheetId="13" r:id="rId3"/>
    <sheet name="Maintenance" sheetId="9" r:id="rId4"/>
    <sheet name="MRB" sheetId="8" r:id="rId5"/>
    <sheet name="APK" sheetId="10" r:id="rId6"/>
    <sheet name="Travel allowance" sheetId="14" r:id="rId7"/>
    <sheet name="Links" sheetId="3" r:id="rId8"/>
  </sheets>
  <definedNames>
    <definedName name="At_work_price">'Usage and energy'!$C$12</definedName>
    <definedName name="Commuting_km">'Usage and energy'!$C$3</definedName>
    <definedName name="Diesel_price">'Usage and energy'!#REF!</definedName>
    <definedName name="Extra_urban_km">'Usage and energy'!$C$5</definedName>
    <definedName name="Off_peak_charge">'Usage and energy'!$G$10</definedName>
    <definedName name="Off_peak_price">'Usage and energy'!$C$10</definedName>
    <definedName name="Parking_permit">'Usage and energy'!$C$15</definedName>
    <definedName name="Peak_charge">'Usage and energy'!$G$11</definedName>
    <definedName name="Peak_price">'Usage and energy'!$C$11</definedName>
    <definedName name="Petrol_price">'Usage and energy'!$C$9</definedName>
    <definedName name="Urban_km">'Usage and energy'!$C$4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9" i="2" l="1"/>
  <c r="U39" i="2"/>
  <c r="V39" i="2"/>
  <c r="W39" i="2"/>
  <c r="X39" i="2"/>
  <c r="D39" i="2"/>
  <c r="E39" i="2"/>
  <c r="F39" i="2"/>
  <c r="G39" i="2"/>
  <c r="H39" i="2"/>
  <c r="I39" i="2"/>
  <c r="J39" i="2"/>
  <c r="K39" i="2"/>
  <c r="L39" i="2"/>
  <c r="M39" i="2"/>
  <c r="N39" i="2"/>
  <c r="C39" i="2"/>
  <c r="B4" i="14"/>
  <c r="B5" i="14" s="1"/>
  <c r="B6" i="14" s="1"/>
  <c r="B7" i="14" s="1"/>
  <c r="B8" i="14" s="1"/>
  <c r="B9" i="14" s="1"/>
  <c r="B10" i="14" s="1"/>
  <c r="B11" i="14" s="1"/>
  <c r="B12" i="14" s="1"/>
  <c r="B13" i="14" s="1"/>
  <c r="B14" i="14" s="1"/>
  <c r="B15" i="14" s="1"/>
  <c r="B16" i="14" s="1"/>
  <c r="B17" i="14" s="1"/>
  <c r="B18" i="14" s="1"/>
  <c r="B19" i="14" s="1"/>
  <c r="C5" i="4"/>
  <c r="F45" i="2" s="1"/>
  <c r="C4" i="4"/>
  <c r="C3" i="4"/>
  <c r="R46" i="2"/>
  <c r="S46" i="2"/>
  <c r="Q38" i="2"/>
  <c r="Q40" i="2" s="1"/>
  <c r="S38" i="2"/>
  <c r="S40" i="2" s="1"/>
  <c r="Q41" i="2"/>
  <c r="Q47" i="2" s="1"/>
  <c r="S41" i="2"/>
  <c r="S48" i="2" s="1" a="1"/>
  <c r="S48" i="2" s="1"/>
  <c r="Q46" i="2"/>
  <c r="Q50" i="2"/>
  <c r="S50" i="2"/>
  <c r="Q51" i="2"/>
  <c r="S51" i="2"/>
  <c r="E45" i="2"/>
  <c r="M45" i="2"/>
  <c r="U45" i="2"/>
  <c r="X45" i="2"/>
  <c r="P45" i="2"/>
  <c r="R38" i="2"/>
  <c r="R40" i="2" s="1"/>
  <c r="R41" i="2"/>
  <c r="R47" i="2" s="1"/>
  <c r="R50" i="2"/>
  <c r="R51" i="2"/>
  <c r="N38" i="2"/>
  <c r="N41" i="2"/>
  <c r="N47" i="2" s="1"/>
  <c r="N46" i="2"/>
  <c r="N50" i="2"/>
  <c r="N51" i="2"/>
  <c r="D50" i="2"/>
  <c r="E50" i="2"/>
  <c r="F50" i="2"/>
  <c r="G50" i="2"/>
  <c r="H50" i="2"/>
  <c r="J50" i="2"/>
  <c r="K50" i="2"/>
  <c r="L50" i="2"/>
  <c r="M50" i="2"/>
  <c r="O50" i="2"/>
  <c r="P50" i="2"/>
  <c r="T50" i="2"/>
  <c r="V50" i="2"/>
  <c r="W50" i="2"/>
  <c r="X50" i="2"/>
  <c r="C50" i="2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3" i="9"/>
  <c r="X38" i="2"/>
  <c r="T38" i="2"/>
  <c r="T40" i="2" s="1"/>
  <c r="P38" i="2"/>
  <c r="O38" i="2"/>
  <c r="M38" i="2"/>
  <c r="L38" i="2"/>
  <c r="K38" i="2"/>
  <c r="J38" i="2"/>
  <c r="H38" i="2"/>
  <c r="G38" i="2"/>
  <c r="F38" i="2"/>
  <c r="E38" i="2"/>
  <c r="D38" i="2"/>
  <c r="C38" i="2"/>
  <c r="S43" i="2" l="1"/>
  <c r="S44" i="2" s="1"/>
  <c r="R43" i="2"/>
  <c r="R44" i="2" s="1"/>
  <c r="S45" i="2"/>
  <c r="Q45" i="2"/>
  <c r="O45" i="2"/>
  <c r="D45" i="2"/>
  <c r="K45" i="2"/>
  <c r="W45" i="2"/>
  <c r="J45" i="2"/>
  <c r="L45" i="2"/>
  <c r="C45" i="2"/>
  <c r="V45" i="2"/>
  <c r="I45" i="2"/>
  <c r="T45" i="2"/>
  <c r="G45" i="2"/>
  <c r="H45" i="2"/>
  <c r="N45" i="2"/>
  <c r="R45" i="2"/>
  <c r="S49" i="2"/>
  <c r="Q48" i="2" a="1"/>
  <c r="Q48" i="2" s="1"/>
  <c r="Q43" i="2"/>
  <c r="Q44" i="2" s="1"/>
  <c r="Q49" i="2"/>
  <c r="S47" i="2"/>
  <c r="R49" i="2"/>
  <c r="R48" i="2" a="1"/>
  <c r="R48" i="2" s="1"/>
  <c r="N40" i="2"/>
  <c r="N43" i="2" s="1"/>
  <c r="N44" i="2" s="1"/>
  <c r="N48" i="2" a="1"/>
  <c r="N48" i="2" s="1"/>
  <c r="N49" i="2"/>
  <c r="A48" i="13"/>
  <c r="A47" i="13"/>
  <c r="A46" i="13"/>
  <c r="A45" i="13"/>
  <c r="A44" i="13"/>
  <c r="A43" i="13"/>
  <c r="A42" i="13"/>
  <c r="A41" i="13"/>
  <c r="A40" i="13"/>
  <c r="A39" i="13"/>
  <c r="A38" i="13"/>
  <c r="A37" i="13"/>
  <c r="A36" i="13"/>
  <c r="S52" i="2" l="1"/>
  <c r="S53" i="2" s="1"/>
  <c r="Q52" i="2"/>
  <c r="Q53" i="2" s="1"/>
  <c r="R52" i="2"/>
  <c r="R53" i="2" s="1"/>
  <c r="N52" i="2"/>
  <c r="N54" i="2" s="1"/>
  <c r="N55" i="2" s="1"/>
  <c r="B13" i="13"/>
  <c r="P51" i="2"/>
  <c r="P46" i="2"/>
  <c r="P41" i="2"/>
  <c r="P48" i="2" s="1" a="1"/>
  <c r="P48" i="2" s="1"/>
  <c r="O51" i="2"/>
  <c r="O46" i="2"/>
  <c r="O41" i="2"/>
  <c r="O49" i="2" s="1"/>
  <c r="O40" i="2"/>
  <c r="O43" i="2" s="1"/>
  <c r="F51" i="2"/>
  <c r="E51" i="2"/>
  <c r="F46" i="2"/>
  <c r="E46" i="2"/>
  <c r="F41" i="2"/>
  <c r="E41" i="2"/>
  <c r="D46" i="2"/>
  <c r="C46" i="2"/>
  <c r="J46" i="2"/>
  <c r="K46" i="2"/>
  <c r="L46" i="2"/>
  <c r="L51" i="2"/>
  <c r="L48" i="2" a="1"/>
  <c r="L48" i="2" s="1"/>
  <c r="L41" i="2"/>
  <c r="L47" i="2" s="1"/>
  <c r="L12" i="2"/>
  <c r="I46" i="2"/>
  <c r="H46" i="2"/>
  <c r="W38" i="2" l="1"/>
  <c r="W40" i="2" s="1"/>
  <c r="V38" i="2"/>
  <c r="V40" i="2" s="1"/>
  <c r="S54" i="2"/>
  <c r="S55" i="2" s="1"/>
  <c r="Q54" i="2"/>
  <c r="Q55" i="2" s="1"/>
  <c r="R54" i="2"/>
  <c r="R55" i="2" s="1"/>
  <c r="N53" i="2"/>
  <c r="P40" i="2"/>
  <c r="P43" i="2" s="1"/>
  <c r="P44" i="2" s="1"/>
  <c r="P49" i="2"/>
  <c r="E40" i="2"/>
  <c r="E43" i="2" s="1"/>
  <c r="E44" i="2" s="1"/>
  <c r="O48" i="2" a="1"/>
  <c r="O48" i="2" s="1"/>
  <c r="O44" i="2"/>
  <c r="F40" i="2"/>
  <c r="F43" i="2" s="1"/>
  <c r="F44" i="2" s="1"/>
  <c r="E48" i="2" a="1"/>
  <c r="E48" i="2" s="1"/>
  <c r="L40" i="2"/>
  <c r="L43" i="2" s="1"/>
  <c r="L44" i="2" s="1"/>
  <c r="F48" i="2" a="1"/>
  <c r="F48" i="2" s="1"/>
  <c r="E49" i="2"/>
  <c r="F49" i="2"/>
  <c r="L49" i="2"/>
  <c r="D51" i="2"/>
  <c r="D41" i="2"/>
  <c r="J51" i="2"/>
  <c r="K51" i="2"/>
  <c r="V51" i="2"/>
  <c r="W51" i="2"/>
  <c r="C51" i="2"/>
  <c r="G51" i="2"/>
  <c r="T51" i="2"/>
  <c r="H51" i="2"/>
  <c r="X51" i="2"/>
  <c r="M51" i="2"/>
  <c r="I37" i="2"/>
  <c r="I49" i="2"/>
  <c r="I48" i="2" a="1"/>
  <c r="I48" i="2" s="1"/>
  <c r="I12" i="2"/>
  <c r="I50" i="2" l="1"/>
  <c r="I38" i="2"/>
  <c r="I51" i="2"/>
  <c r="D40" i="2"/>
  <c r="D43" i="2" s="1"/>
  <c r="D44" i="2" s="1"/>
  <c r="D48" i="2" a="1"/>
  <c r="D48" i="2" s="1"/>
  <c r="D49" i="2"/>
  <c r="I41" i="2"/>
  <c r="I47" i="2" s="1"/>
  <c r="I40" i="2" l="1"/>
  <c r="I43" i="2" s="1"/>
  <c r="I44" i="2" s="1"/>
  <c r="X49" i="2" l="1"/>
  <c r="J48" i="2" a="1"/>
  <c r="J48" i="2" s="1"/>
  <c r="K48" i="2" a="1"/>
  <c r="K48" i="2" s="1"/>
  <c r="G48" i="2" a="1"/>
  <c r="G48" i="2" s="1"/>
  <c r="H48" i="2" a="1"/>
  <c r="H48" i="2" s="1"/>
  <c r="X48" i="2" a="1"/>
  <c r="X48" i="2" s="1"/>
  <c r="M48" i="2" a="1"/>
  <c r="M48" i="2" s="1"/>
  <c r="J41" i="2"/>
  <c r="J47" i="2" s="1"/>
  <c r="K41" i="2"/>
  <c r="K47" i="2" s="1"/>
  <c r="V41" i="2"/>
  <c r="W41" i="2"/>
  <c r="C41" i="2"/>
  <c r="G49" i="2"/>
  <c r="T41" i="2"/>
  <c r="H41" i="2"/>
  <c r="H47" i="2" s="1"/>
  <c r="X41" i="2"/>
  <c r="X47" i="2" s="1"/>
  <c r="M41" i="2"/>
  <c r="M47" i="2" s="1"/>
  <c r="J40" i="2"/>
  <c r="H40" i="2"/>
  <c r="X40" i="2"/>
  <c r="C3" i="8"/>
  <c r="D3" i="8" s="1"/>
  <c r="C4" i="8"/>
  <c r="V4" i="8" s="1"/>
  <c r="C5" i="8"/>
  <c r="F5" i="8" s="1"/>
  <c r="C6" i="8"/>
  <c r="AB3" i="8"/>
  <c r="AD3" i="8"/>
  <c r="AE3" i="8"/>
  <c r="O3" i="8"/>
  <c r="P3" i="8"/>
  <c r="Q3" i="8"/>
  <c r="Z4" i="8"/>
  <c r="AA4" i="8"/>
  <c r="AB4" i="8"/>
  <c r="F4" i="8"/>
  <c r="G4" i="8"/>
  <c r="H4" i="8"/>
  <c r="Q4" i="8"/>
  <c r="R5" i="8"/>
  <c r="T5" i="8"/>
  <c r="G46" i="2"/>
  <c r="G12" i="2"/>
  <c r="T47" i="2" l="1"/>
  <c r="O47" i="2"/>
  <c r="C47" i="2"/>
  <c r="F47" i="2"/>
  <c r="E47" i="2"/>
  <c r="D47" i="2"/>
  <c r="W47" i="2"/>
  <c r="P47" i="2"/>
  <c r="V47" i="2"/>
  <c r="H49" i="2"/>
  <c r="C40" i="2"/>
  <c r="K40" i="2"/>
  <c r="C49" i="2"/>
  <c r="J49" i="2"/>
  <c r="T49" i="2"/>
  <c r="W49" i="2"/>
  <c r="V49" i="2"/>
  <c r="K49" i="2"/>
  <c r="M49" i="2"/>
  <c r="T48" i="2" a="1"/>
  <c r="T48" i="2" s="1"/>
  <c r="W48" i="2" a="1"/>
  <c r="W48" i="2" s="1"/>
  <c r="V48" i="2" a="1"/>
  <c r="V48" i="2" s="1"/>
  <c r="C48" i="2" a="1"/>
  <c r="C48" i="2" s="1"/>
  <c r="G47" i="2"/>
  <c r="G40" i="2"/>
  <c r="G43" i="2" s="1"/>
  <c r="G44" i="2" s="1"/>
  <c r="M40" i="2"/>
  <c r="N5" i="8"/>
  <c r="I5" i="8"/>
  <c r="P4" i="8"/>
  <c r="E4" i="8"/>
  <c r="X4" i="8"/>
  <c r="N3" i="8"/>
  <c r="Z3" i="8"/>
  <c r="Y3" i="8"/>
  <c r="AD5" i="8"/>
  <c r="D4" i="8"/>
  <c r="L3" i="8"/>
  <c r="M4" i="8"/>
  <c r="AE4" i="8"/>
  <c r="T4" i="8"/>
  <c r="J3" i="8"/>
  <c r="V3" i="8"/>
  <c r="X5" i="8"/>
  <c r="J4" i="8"/>
  <c r="AD4" i="8"/>
  <c r="S4" i="8"/>
  <c r="I3" i="8"/>
  <c r="R3" i="8"/>
  <c r="O4" i="8"/>
  <c r="U4" i="8"/>
  <c r="AB5" i="8"/>
  <c r="U5" i="8"/>
  <c r="I4" i="8"/>
  <c r="AC4" i="8"/>
  <c r="R4" i="8"/>
  <c r="F3" i="8"/>
  <c r="S3" i="8"/>
  <c r="K3" i="8"/>
  <c r="AA3" i="8"/>
  <c r="V5" i="8"/>
  <c r="X3" i="8"/>
  <c r="W3" i="8"/>
  <c r="M3" i="8"/>
  <c r="AC3" i="8"/>
  <c r="T3" i="8"/>
  <c r="P5" i="8"/>
  <c r="N4" i="8"/>
  <c r="Y4" i="8"/>
  <c r="H3" i="8"/>
  <c r="W4" i="8"/>
  <c r="L5" i="8"/>
  <c r="L4" i="8"/>
  <c r="E3" i="8"/>
  <c r="G5" i="8"/>
  <c r="H5" i="8"/>
  <c r="S5" i="8"/>
  <c r="E5" i="8"/>
  <c r="D5" i="8"/>
  <c r="AE5" i="8"/>
  <c r="Q5" i="8"/>
  <c r="AC5" i="8"/>
  <c r="U3" i="8"/>
  <c r="O5" i="8"/>
  <c r="AA5" i="8"/>
  <c r="K4" i="8"/>
  <c r="G3" i="8"/>
  <c r="Z5" i="8"/>
  <c r="M5" i="8"/>
  <c r="Y5" i="8"/>
  <c r="K5" i="8"/>
  <c r="W5" i="8"/>
  <c r="J5" i="8"/>
  <c r="L12" i="8"/>
  <c r="C7" i="8"/>
  <c r="C8" i="8"/>
  <c r="C9" i="8"/>
  <c r="C10" i="8"/>
  <c r="W10" i="8" s="1"/>
  <c r="C11" i="8"/>
  <c r="T11" i="8" s="1"/>
  <c r="C12" i="8"/>
  <c r="Y12" i="8" s="1"/>
  <c r="C13" i="8"/>
  <c r="V13" i="8" s="1"/>
  <c r="C14" i="8"/>
  <c r="C15" i="8"/>
  <c r="X15" i="8" s="1"/>
  <c r="C16" i="8"/>
  <c r="C17" i="8"/>
  <c r="Z17" i="8" s="1"/>
  <c r="T46" i="2"/>
  <c r="W46" i="2"/>
  <c r="U46" i="2"/>
  <c r="M46" i="2"/>
  <c r="V46" i="2"/>
  <c r="Z9" i="8" l="1"/>
  <c r="G11" i="8"/>
  <c r="AA11" i="8"/>
  <c r="S6" i="8"/>
  <c r="N6" i="8"/>
  <c r="K15" i="8"/>
  <c r="AD10" i="8"/>
  <c r="V10" i="8"/>
  <c r="R10" i="8"/>
  <c r="K7" i="8"/>
  <c r="Q13" i="8"/>
  <c r="F6" i="8"/>
  <c r="Y9" i="8"/>
  <c r="R6" i="8"/>
  <c r="E17" i="8"/>
  <c r="AB16" i="8"/>
  <c r="U13" i="8"/>
  <c r="J10" i="8"/>
  <c r="AB8" i="8"/>
  <c r="M17" i="8"/>
  <c r="W17" i="8"/>
  <c r="R17" i="8"/>
  <c r="D17" i="8"/>
  <c r="T16" i="8"/>
  <c r="T8" i="8"/>
  <c r="D12" i="8"/>
  <c r="R9" i="8"/>
  <c r="Y17" i="8"/>
  <c r="AE15" i="8"/>
  <c r="X12" i="8"/>
  <c r="M9" i="8"/>
  <c r="AE7" i="8"/>
  <c r="AE17" i="8"/>
  <c r="R8" i="8"/>
  <c r="X17" i="8"/>
  <c r="W15" i="8"/>
  <c r="O11" i="8"/>
  <c r="E9" i="8"/>
  <c r="W7" i="8"/>
  <c r="L17" i="8"/>
  <c r="P16" i="8"/>
  <c r="I13" i="8"/>
  <c r="P8" i="8"/>
  <c r="K17" i="8"/>
  <c r="H16" i="8"/>
  <c r="AC13" i="8"/>
  <c r="S11" i="8"/>
  <c r="H8" i="8"/>
  <c r="Z6" i="8"/>
  <c r="O16" i="8"/>
  <c r="G16" i="8"/>
  <c r="AA16" i="8"/>
  <c r="S16" i="8"/>
  <c r="J15" i="8"/>
  <c r="AD15" i="8"/>
  <c r="V15" i="8"/>
  <c r="M14" i="8"/>
  <c r="E14" i="8"/>
  <c r="Y14" i="8"/>
  <c r="P13" i="8"/>
  <c r="H13" i="8"/>
  <c r="AB13" i="8"/>
  <c r="T13" i="8"/>
  <c r="K12" i="8"/>
  <c r="AE12" i="8"/>
  <c r="W12" i="8"/>
  <c r="N11" i="8"/>
  <c r="F11" i="8"/>
  <c r="Z11" i="8"/>
  <c r="Q10" i="8"/>
  <c r="I10" i="8"/>
  <c r="AC10" i="8"/>
  <c r="U10" i="8"/>
  <c r="L9" i="8"/>
  <c r="D9" i="8"/>
  <c r="X9" i="8"/>
  <c r="O8" i="8"/>
  <c r="G8" i="8"/>
  <c r="AA8" i="8"/>
  <c r="S8" i="8"/>
  <c r="J7" i="8"/>
  <c r="AD7" i="8"/>
  <c r="V7" i="8"/>
  <c r="M6" i="8"/>
  <c r="E6" i="8"/>
  <c r="Y6" i="8"/>
  <c r="N14" i="8"/>
  <c r="R16" i="8"/>
  <c r="N16" i="8"/>
  <c r="F16" i="8"/>
  <c r="Z16" i="8"/>
  <c r="Q15" i="8"/>
  <c r="I15" i="8"/>
  <c r="AC15" i="8"/>
  <c r="U15" i="8"/>
  <c r="L14" i="8"/>
  <c r="D14" i="8"/>
  <c r="X14" i="8"/>
  <c r="O13" i="8"/>
  <c r="G13" i="8"/>
  <c r="AA13" i="8"/>
  <c r="S13" i="8"/>
  <c r="J12" i="8"/>
  <c r="AD12" i="8"/>
  <c r="V12" i="8"/>
  <c r="M11" i="8"/>
  <c r="E11" i="8"/>
  <c r="Y11" i="8"/>
  <c r="P10" i="8"/>
  <c r="H10" i="8"/>
  <c r="AB10" i="8"/>
  <c r="T10" i="8"/>
  <c r="K9" i="8"/>
  <c r="AE9" i="8"/>
  <c r="W9" i="8"/>
  <c r="N8" i="8"/>
  <c r="F8" i="8"/>
  <c r="Z8" i="8"/>
  <c r="Q7" i="8"/>
  <c r="I7" i="8"/>
  <c r="AC7" i="8"/>
  <c r="U7" i="8"/>
  <c r="L6" i="8"/>
  <c r="D6" i="8"/>
  <c r="X6" i="8"/>
  <c r="R15" i="8"/>
  <c r="R7" i="8"/>
  <c r="J17" i="8"/>
  <c r="AD17" i="8"/>
  <c r="V17" i="8"/>
  <c r="M16" i="8"/>
  <c r="E16" i="8"/>
  <c r="Y16" i="8"/>
  <c r="P15" i="8"/>
  <c r="H15" i="8"/>
  <c r="AB15" i="8"/>
  <c r="T15" i="8"/>
  <c r="K14" i="8"/>
  <c r="AE14" i="8"/>
  <c r="W14" i="8"/>
  <c r="N13" i="8"/>
  <c r="F13" i="8"/>
  <c r="Z13" i="8"/>
  <c r="Q12" i="8"/>
  <c r="I12" i="8"/>
  <c r="AC12" i="8"/>
  <c r="U12" i="8"/>
  <c r="L11" i="8"/>
  <c r="D11" i="8"/>
  <c r="X11" i="8"/>
  <c r="O10" i="8"/>
  <c r="G10" i="8"/>
  <c r="AA10" i="8"/>
  <c r="S10" i="8"/>
  <c r="J9" i="8"/>
  <c r="AD9" i="8"/>
  <c r="V9" i="8"/>
  <c r="M8" i="8"/>
  <c r="E8" i="8"/>
  <c r="Y8" i="8"/>
  <c r="P7" i="8"/>
  <c r="H7" i="8"/>
  <c r="AB7" i="8"/>
  <c r="T7" i="8"/>
  <c r="K6" i="8"/>
  <c r="AE6" i="8"/>
  <c r="W6" i="8"/>
  <c r="Z14" i="8"/>
  <c r="R14" i="8"/>
  <c r="Q17" i="8"/>
  <c r="I17" i="8"/>
  <c r="AC17" i="8"/>
  <c r="U17" i="8"/>
  <c r="L16" i="8"/>
  <c r="D16" i="8"/>
  <c r="X16" i="8"/>
  <c r="O15" i="8"/>
  <c r="G15" i="8"/>
  <c r="AA15" i="8"/>
  <c r="S15" i="8"/>
  <c r="J14" i="8"/>
  <c r="AD14" i="8"/>
  <c r="V14" i="8"/>
  <c r="M13" i="8"/>
  <c r="E13" i="8"/>
  <c r="Y13" i="8"/>
  <c r="P12" i="8"/>
  <c r="H12" i="8"/>
  <c r="AB12" i="8"/>
  <c r="T12" i="8"/>
  <c r="K11" i="8"/>
  <c r="AE11" i="8"/>
  <c r="W11" i="8"/>
  <c r="N10" i="8"/>
  <c r="F10" i="8"/>
  <c r="Z10" i="8"/>
  <c r="Q9" i="8"/>
  <c r="I9" i="8"/>
  <c r="AC9" i="8"/>
  <c r="U9" i="8"/>
  <c r="L8" i="8"/>
  <c r="D8" i="8"/>
  <c r="X8" i="8"/>
  <c r="O7" i="8"/>
  <c r="G7" i="8"/>
  <c r="AA7" i="8"/>
  <c r="S7" i="8"/>
  <c r="J6" i="8"/>
  <c r="AD6" i="8"/>
  <c r="V6" i="8"/>
  <c r="R13" i="8"/>
  <c r="P17" i="8"/>
  <c r="H17" i="8"/>
  <c r="AB17" i="8"/>
  <c r="T17" i="8"/>
  <c r="K16" i="8"/>
  <c r="AE16" i="8"/>
  <c r="W16" i="8"/>
  <c r="N15" i="8"/>
  <c r="F15" i="8"/>
  <c r="Z15" i="8"/>
  <c r="Q14" i="8"/>
  <c r="I14" i="8"/>
  <c r="AC14" i="8"/>
  <c r="U14" i="8"/>
  <c r="L13" i="8"/>
  <c r="D13" i="8"/>
  <c r="X13" i="8"/>
  <c r="O12" i="8"/>
  <c r="G12" i="8"/>
  <c r="AA12" i="8"/>
  <c r="S12" i="8"/>
  <c r="J11" i="8"/>
  <c r="AD11" i="8"/>
  <c r="V11" i="8"/>
  <c r="M10" i="8"/>
  <c r="E10" i="8"/>
  <c r="Y10" i="8"/>
  <c r="P9" i="8"/>
  <c r="H9" i="8"/>
  <c r="AB9" i="8"/>
  <c r="T9" i="8"/>
  <c r="K8" i="8"/>
  <c r="AE8" i="8"/>
  <c r="W8" i="8"/>
  <c r="N7" i="8"/>
  <c r="F7" i="8"/>
  <c r="Z7" i="8"/>
  <c r="Q6" i="8"/>
  <c r="I6" i="8"/>
  <c r="AC6" i="8"/>
  <c r="U6" i="8"/>
  <c r="R12" i="8"/>
  <c r="O17" i="8"/>
  <c r="G17" i="8"/>
  <c r="AA17" i="8"/>
  <c r="S17" i="8"/>
  <c r="J16" i="8"/>
  <c r="AD16" i="8"/>
  <c r="V16" i="8"/>
  <c r="M15" i="8"/>
  <c r="E15" i="8"/>
  <c r="Y15" i="8"/>
  <c r="P14" i="8"/>
  <c r="H14" i="8"/>
  <c r="AB14" i="8"/>
  <c r="T14" i="8"/>
  <c r="K13" i="8"/>
  <c r="AE13" i="8"/>
  <c r="W13" i="8"/>
  <c r="N12" i="8"/>
  <c r="F12" i="8"/>
  <c r="Z12" i="8"/>
  <c r="Q11" i="8"/>
  <c r="I11" i="8"/>
  <c r="AC11" i="8"/>
  <c r="U11" i="8"/>
  <c r="L10" i="8"/>
  <c r="D10" i="8"/>
  <c r="X10" i="8"/>
  <c r="O9" i="8"/>
  <c r="G9" i="8"/>
  <c r="AA9" i="8"/>
  <c r="S9" i="8"/>
  <c r="J8" i="8"/>
  <c r="AD8" i="8"/>
  <c r="V8" i="8"/>
  <c r="M7" i="8"/>
  <c r="E7" i="8"/>
  <c r="Y7" i="8"/>
  <c r="P6" i="8"/>
  <c r="H6" i="8"/>
  <c r="AB6" i="8"/>
  <c r="T6" i="8"/>
  <c r="F14" i="8"/>
  <c r="R11" i="8"/>
  <c r="N17" i="8"/>
  <c r="F17" i="8"/>
  <c r="Q16" i="8"/>
  <c r="I16" i="8"/>
  <c r="AC16" i="8"/>
  <c r="U16" i="8"/>
  <c r="L15" i="8"/>
  <c r="D15" i="8"/>
  <c r="O14" i="8"/>
  <c r="G14" i="8"/>
  <c r="AA14" i="8"/>
  <c r="S14" i="8"/>
  <c r="J13" i="8"/>
  <c r="AD13" i="8"/>
  <c r="M12" i="8"/>
  <c r="E12" i="8"/>
  <c r="P11" i="8"/>
  <c r="H11" i="8"/>
  <c r="AB11" i="8"/>
  <c r="K10" i="8"/>
  <c r="AE10" i="8"/>
  <c r="N9" i="8"/>
  <c r="F9" i="8"/>
  <c r="Q8" i="8"/>
  <c r="I8" i="8"/>
  <c r="AC8" i="8"/>
  <c r="U8" i="8"/>
  <c r="L7" i="8"/>
  <c r="D7" i="8"/>
  <c r="X7" i="8"/>
  <c r="O6" i="8"/>
  <c r="G6" i="8"/>
  <c r="AA6" i="8"/>
  <c r="J12" i="2"/>
  <c r="K12" i="2"/>
  <c r="H12" i="2"/>
  <c r="X12" i="2"/>
  <c r="M12" i="2"/>
  <c r="X52" i="2"/>
  <c r="X53" i="2"/>
  <c r="X54" i="2"/>
  <c r="X55" i="2"/>
  <c r="H43" i="2"/>
  <c r="H44" i="2" s="1"/>
  <c r="X43" i="2"/>
  <c r="X44" i="2"/>
  <c r="G11" i="4"/>
  <c r="U50" i="2" l="1"/>
  <c r="U38" i="2"/>
  <c r="U40" i="2" s="1"/>
  <c r="P52" i="2"/>
  <c r="F52" i="2"/>
  <c r="L52" i="2"/>
  <c r="E52" i="2"/>
  <c r="I52" i="2"/>
  <c r="O52" i="2"/>
  <c r="G52" i="2"/>
  <c r="G53" i="2" s="1"/>
  <c r="K52" i="2"/>
  <c r="D52" i="2"/>
  <c r="U51" i="2"/>
  <c r="U41" i="2"/>
  <c r="K43" i="2"/>
  <c r="K44" i="2" s="1"/>
  <c r="T43" i="2"/>
  <c r="T44" i="2" s="1"/>
  <c r="M43" i="2"/>
  <c r="M44" i="2" s="1"/>
  <c r="C43" i="2"/>
  <c r="C44" i="2" s="1"/>
  <c r="J43" i="2"/>
  <c r="J44" i="2" s="1"/>
  <c r="W43" i="2"/>
  <c r="W44" i="2" s="1"/>
  <c r="V43" i="2"/>
  <c r="V44" i="2" s="1"/>
  <c r="C6" i="4"/>
  <c r="U43" i="2" l="1"/>
  <c r="U44" i="2" s="1"/>
  <c r="H52" i="2"/>
  <c r="H53" i="2" s="1"/>
  <c r="H10" i="4"/>
  <c r="O53" i="2"/>
  <c r="O54" i="2"/>
  <c r="O55" i="2" s="1"/>
  <c r="E53" i="2"/>
  <c r="E54" i="2"/>
  <c r="E55" i="2" s="1"/>
  <c r="L53" i="2"/>
  <c r="L54" i="2"/>
  <c r="L55" i="2" s="1"/>
  <c r="D53" i="2"/>
  <c r="D54" i="2"/>
  <c r="D55" i="2" s="1"/>
  <c r="I53" i="2"/>
  <c r="I54" i="2"/>
  <c r="I55" i="2" s="1"/>
  <c r="F53" i="2"/>
  <c r="F54" i="2"/>
  <c r="F55" i="2" s="1"/>
  <c r="G54" i="2"/>
  <c r="G55" i="2" s="1"/>
  <c r="P54" i="2"/>
  <c r="P55" i="2" s="1"/>
  <c r="P53" i="2"/>
  <c r="U48" i="2" a="1"/>
  <c r="U48" i="2" s="1"/>
  <c r="U49" i="2"/>
  <c r="U47" i="2"/>
  <c r="T52" i="2"/>
  <c r="T53" i="2" s="1"/>
  <c r="W52" i="2"/>
  <c r="W53" i="2" s="1"/>
  <c r="M52" i="2"/>
  <c r="M53" i="2" s="1"/>
  <c r="K53" i="2"/>
  <c r="K54" i="2"/>
  <c r="K55" i="2" s="1"/>
  <c r="C52" i="2"/>
  <c r="C53" i="2" s="1"/>
  <c r="J52" i="2"/>
  <c r="J54" i="2" s="1"/>
  <c r="J55" i="2" s="1"/>
  <c r="V52" i="2"/>
  <c r="V53" i="2" s="1"/>
  <c r="H11" i="4"/>
  <c r="H54" i="2" l="1"/>
  <c r="H55" i="2" s="1"/>
  <c r="T54" i="2"/>
  <c r="T55" i="2" s="1"/>
  <c r="W54" i="2"/>
  <c r="W55" i="2" s="1"/>
  <c r="M54" i="2"/>
  <c r="M55" i="2" s="1"/>
  <c r="U52" i="2"/>
  <c r="U53" i="2" s="1"/>
  <c r="C54" i="2"/>
  <c r="C55" i="2" s="1"/>
  <c r="J53" i="2"/>
  <c r="V54" i="2"/>
  <c r="V55" i="2" s="1"/>
  <c r="U54" i="2" l="1"/>
  <c r="U55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tc={19C77D1F-A91A-4315-948B-DB8C1542842D}</author>
    <author>tc={5B86D5CA-D76D-4B0E-9BDA-31B5CFFE97AE}</author>
    <author>tc={73E3BE9F-28A2-405D-B45C-5F79AA9C5DB3}</author>
  </authors>
  <commentList>
    <comment ref="B3" authorId="0" shapeId="0" xr:uid="{19C77D1F-A91A-4315-948B-DB8C1542842D}">
      <text>
        <t>[Threaded comment]
Your version of Excel allows you to read this threaded comment; however, any edits to it will get removed if the file is opened in a newer version of Excel. Learn more: https://go.microsoft.com/fwlink/?linkid=870924
Comment:
    Considered as extra-urban (WLTP High)</t>
      </text>
    </comment>
    <comment ref="B4" authorId="1" shapeId="0" xr:uid="{5B86D5CA-D76D-4B0E-9BDA-31B5CFFE97AE}">
      <text>
        <t>[Threaded comment]
Your version of Excel allows you to read this threaded comment; however, any edits to it will get removed if the file is opened in a newer version of Excel. Learn more: https://go.microsoft.com/fwlink/?linkid=870924
Comment:
    WLTP Low (56,5 km/h)</t>
      </text>
    </comment>
    <comment ref="B5" authorId="2" shapeId="0" xr:uid="{73E3BE9F-28A2-405D-B45C-5F79AA9C5DB3}">
      <text>
        <t>[Threaded comment]
Your version of Excel allows you to read this threaded comment; however, any edits to it will get removed if the file is opened in a newer version of Excel. Learn more: https://go.microsoft.com/fwlink/?linkid=870924
Comment:
    WLTP High (97,4 km/h)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tc={2B9A6EB7-2DE0-443F-905C-666160F8FFB5}</author>
    <author>tc={CB34F4D4-FF01-42CB-A0CA-2AB10BF8CD0C}</author>
    <author>tc={482B1242-19DA-4FA2-A310-C4EFFFDCF903}</author>
    <author>tc={163BEE1F-055F-49BB-B827-6152A634E96C}</author>
    <author>tc={F9CBB0DC-523C-4EBC-BDB4-5FC40B6DFCC9}</author>
    <author>tc={73CB7751-99E6-4537-A148-2807EC5D8AFA}</author>
    <author>tc={93B7B2EB-1B16-4868-B359-A7BE945499E7}</author>
    <author>tc={40DB1527-DD33-4AE8-8E73-8EE9919D8DE4}</author>
    <author>tc={0EA52372-AC07-4B46-AD4E-4FF0BE8A6B26}</author>
  </authors>
  <commentList>
    <comment ref="B8" authorId="0" shapeId="0" xr:uid="{2B9A6EB7-2DE0-443F-905C-666160F8FFB5}">
      <text>
        <t>[Threaded comment]
Your version of Excel allows you to read this threaded comment; however, any edits to it will get removed if the file is opened in a newer version of Excel. Learn more: https://go.microsoft.com/fwlink/?linkid=870924
Comment:
    WLTP Low (56,5 km/h)</t>
      </text>
    </comment>
    <comment ref="B9" authorId="1" shapeId="0" xr:uid="{CB34F4D4-FF01-42CB-A0CA-2AB10BF8CD0C}">
      <text>
        <t>[Threaded comment]
Your version of Excel allows you to read this threaded comment; however, any edits to it will get removed if the file is opened in a newer version of Excel. Learn more: https://go.microsoft.com/fwlink/?linkid=870924
Comment:
    WLTP High (97,4 km/h)</t>
      </text>
    </comment>
    <comment ref="B12" authorId="2" shapeId="0" xr:uid="{482B1242-19DA-4FA2-A310-C4EFFFDCF903}">
      <text>
        <t>[Threaded comment]
Your version of Excel allows you to read this threaded comment; however, any edits to it will get removed if the file is opened in a newer version of Excel. Learn more: https://go.microsoft.com/fwlink/?linkid=870924
Comment:
    For ICE vehicle use formula, for electric vehicle use https://ev-database.org/ Real Range - Combined - Mild Weather</t>
      </text>
    </comment>
    <comment ref="B38" authorId="3" shapeId="0" xr:uid="{163BEE1F-055F-49BB-B827-6152A634E96C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EU/EFTA
Sources: check Links sheet
BPM calculated with flat-rate</t>
      </text>
    </comment>
    <comment ref="B39" authorId="4" shapeId="0" xr:uid="{F9CBB0DC-523C-4EBC-BDB4-5FC40B6DFCC9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https://www.rvo.nl/subsidies-financiering/sepp</t>
      </text>
    </comment>
    <comment ref="B46" authorId="5" shapeId="0" xr:uid="{73CB7751-99E6-4537-A148-2807EC5D8AFA}">
      <text>
        <t>[Threaded comment]
Your version of Excel allows you to read this threaded comment; however, any edits to it will get removed if the file is opened in a newer version of Excel. Learn more: https://go.microsoft.com/fwlink/?linkid=870924
Comment:
    WA+</t>
      </text>
    </comment>
    <comment ref="B48" authorId="6" shapeId="0" xr:uid="{93B7B2EB-1B16-4868-B359-A7BE945499E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https://www.belastingdienst.nl/wps/wcm/connect/nl/auto-en-vervoer/content/hulpmiddel-motorrijtuigenbelasting-berekenen</t>
      </text>
    </comment>
    <comment ref="B49" authorId="7" shapeId="0" xr:uid="{40DB1527-DD33-4AE8-8E73-8EE9919D8DE4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https://business.gov.nl/regulation/periodic-motor-vehicle-test-apk/</t>
      </text>
    </comment>
    <comment ref="B50" authorId="8" shapeId="0" xr:uid="{0EA52372-AC07-4B46-AD4E-4FF0BE8A6B26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https://www.denhaag.nl/en/parking/apply-for-parking-permit/apply-for-parking-permit-for-residents.htm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<sst xmlns="http://schemas.openxmlformats.org/spreadsheetml/2006/main" count="551" uniqueCount="266">
  <si>
    <t>Link</t>
  </si>
  <si>
    <t>Type</t>
  </si>
  <si>
    <t>Model</t>
  </si>
  <si>
    <t>Version</t>
  </si>
  <si>
    <t>Vehicle</t>
  </si>
  <si>
    <t>Propulsion</t>
  </si>
  <si>
    <t>Engine</t>
  </si>
  <si>
    <t>Gears</t>
  </si>
  <si>
    <t>Nissan Leaf</t>
  </si>
  <si>
    <t>Electric</t>
  </si>
  <si>
    <t>https://www.rdw.nl/over-rdw/information-in-english/private/import/moving-to-the-netherlands-and-taking-your-vehicle-with-you</t>
  </si>
  <si>
    <t>Capacity (L or kW)</t>
  </si>
  <si>
    <t>Range (km)</t>
  </si>
  <si>
    <t>Comfort equipment</t>
  </si>
  <si>
    <t>Park assistant</t>
  </si>
  <si>
    <t>Emergency braking</t>
  </si>
  <si>
    <t>Others</t>
  </si>
  <si>
    <t>Alarm</t>
  </si>
  <si>
    <t>Rain sensor</t>
  </si>
  <si>
    <t>Light sensor</t>
  </si>
  <si>
    <t>Park sensor</t>
  </si>
  <si>
    <t>Negative aspects</t>
  </si>
  <si>
    <t>Colour</t>
  </si>
  <si>
    <t>km</t>
  </si>
  <si>
    <t>€/L</t>
  </si>
  <si>
    <t>€/kW</t>
  </si>
  <si>
    <t>Commuting</t>
  </si>
  <si>
    <t>Urban</t>
  </si>
  <si>
    <t>Extra-urban</t>
  </si>
  <si>
    <t>Annual use</t>
  </si>
  <si>
    <t>Total</t>
  </si>
  <si>
    <t>Petrol</t>
  </si>
  <si>
    <t>Yes</t>
  </si>
  <si>
    <t>CO2 Emissions (g/km)</t>
  </si>
  <si>
    <t>Infotainment</t>
  </si>
  <si>
    <t>Starting price</t>
  </si>
  <si>
    <t>Insurance</t>
  </si>
  <si>
    <t>Maintenance</t>
  </si>
  <si>
    <t>Second hand</t>
  </si>
  <si>
    <t>Registration date</t>
  </si>
  <si>
    <t>Electrochromic mirrors</t>
  </si>
  <si>
    <t>Price</t>
  </si>
  <si>
    <t>Warranty (years)</t>
  </si>
  <si>
    <t>5-speed</t>
  </si>
  <si>
    <t>Photo</t>
  </si>
  <si>
    <t>Running cost per year</t>
  </si>
  <si>
    <t>Running cost per month</t>
  </si>
  <si>
    <t>Parking permit</t>
  </si>
  <si>
    <t>Lease</t>
  </si>
  <si>
    <t>Buy</t>
  </si>
  <si>
    <t>Spain</t>
  </si>
  <si>
    <t>Total cost per year</t>
  </si>
  <si>
    <t>Total cost per month</t>
  </si>
  <si>
    <t>Motor vehicle tax (MRB)</t>
  </si>
  <si>
    <t>https://www.belastingdienst.nl/wps/wcm/connect/nl/auto-en-vervoer/content/hulpmiddel-motorrijtuigenbelasting-berekenen</t>
  </si>
  <si>
    <t>Acquisition cost</t>
  </si>
  <si>
    <t>Acquisition cost per year</t>
  </si>
  <si>
    <t>Cost</t>
  </si>
  <si>
    <t>Pack name</t>
  </si>
  <si>
    <t>MG4</t>
  </si>
  <si>
    <t>Charging speed (kW)</t>
  </si>
  <si>
    <t>Urban (L/100 km or Wh/km)</t>
  </si>
  <si>
    <t>Extra-urban (L/100 km or Wh/km)</t>
  </si>
  <si>
    <t>Netherlands</t>
  </si>
  <si>
    <t>Final price</t>
  </si>
  <si>
    <t>Electricity charge</t>
  </si>
  <si>
    <t>Mileage (km)</t>
  </si>
  <si>
    <t>Country (purchase)</t>
  </si>
  <si>
    <t>Volkswagen Polo</t>
  </si>
  <si>
    <t>https://www.volkswagen.nl/stocklocator#/voorraad/volkswagen/polo/hatchback/296666880/10-tsi-polo</t>
  </si>
  <si>
    <t>Dark blue</t>
  </si>
  <si>
    <t>Lane sensor with correction, Rear head airbags</t>
  </si>
  <si>
    <t>Weight (kg)</t>
  </si>
  <si>
    <t>70 kW 1.0 TSI</t>
  </si>
  <si>
    <t>Blue</t>
  </si>
  <si>
    <t>71 kW 1.0</t>
  </si>
  <si>
    <t>NF-410-F</t>
  </si>
  <si>
    <t>https://www.autoscout24.nl/aanbod/volkswagen-polo-1-0-bluemotion-edition-executive-parkeersensoren-benzine-blauw-68103ada-b1ce-433e-aac6-f73a6c7d465b</t>
  </si>
  <si>
    <t>-</t>
  </si>
  <si>
    <t>Electrically adjustable exterior mirrors, Hill Hold Control, Tire pressure monitoring system</t>
  </si>
  <si>
    <t>160 kW</t>
  </si>
  <si>
    <t>Reduction gear</t>
  </si>
  <si>
    <t>8" screen</t>
  </si>
  <si>
    <t>360 camera</t>
  </si>
  <si>
    <t>E+ N-CONNECTA</t>
  </si>
  <si>
    <t>Red</t>
  </si>
  <si>
    <t>150 kW</t>
  </si>
  <si>
    <t>Comfort</t>
  </si>
  <si>
    <t>7 years or 150 Mm</t>
  </si>
  <si>
    <t>Government subsidy (SEPP)</t>
  </si>
  <si>
    <t>Tesla Model 3</t>
  </si>
  <si>
    <t>Long range 4x4</t>
  </si>
  <si>
    <t>Black</t>
  </si>
  <si>
    <t>1 year or 20 Mm, Battery 2027</t>
  </si>
  <si>
    <t>Germany</t>
  </si>
  <si>
    <t>https://www.autoscout24.nl/aanbod/smart-fortwo-eigen-accu-electric-drive-elektrisch-grijs-3bd998d5-079b-47ae-b13f-2211e3e574c9?sort=price&amp;desc=0&amp;lastSeenGuidPresent=true&amp;cldtidx=56&amp;position=56&amp;search_id=ndkds14l6u&amp;source_otp=t10&amp;source=listpage_search-results</t>
  </si>
  <si>
    <t>No</t>
  </si>
  <si>
    <t>White</t>
  </si>
  <si>
    <t>Electric Drive</t>
  </si>
  <si>
    <t>Smart Fortwo</t>
  </si>
  <si>
    <t>Opel Ampera-E</t>
  </si>
  <si>
    <t>Launch executive</t>
  </si>
  <si>
    <t>https://www.autoscout24.nl/aanbod/opel-ampera-e-launch-executive-60-kwh-stoel-stuur-verw-camera-elektrisch-grijs-148fed86-3dfd-42f7-9a60-47f00ecfe030?sort=standard&amp;desc=0&amp;lastSeenGuidPresent=true&amp;cldtidx=9&amp;position=9&amp;search_id=ud92zyhwea&amp;source_otp=t30&amp;source=listpage_search-results</t>
  </si>
  <si>
    <t>Camera</t>
  </si>
  <si>
    <t>https://www.autoscout24.nl/</t>
  </si>
  <si>
    <t>https://www.auto.nl/</t>
  </si>
  <si>
    <t>https://bynco.com/</t>
  </si>
  <si>
    <t>https://www.ooyyo.com/</t>
  </si>
  <si>
    <t>https://www.gebruikteauto.nl/</t>
  </si>
  <si>
    <t>https://www.nederlandmobiel.nl/</t>
  </si>
  <si>
    <t>https://www.eurostocks.com/</t>
  </si>
  <si>
    <t>Periodic Technical Inspection (APK)</t>
  </si>
  <si>
    <t>Per 3 months</t>
  </si>
  <si>
    <t>Per year</t>
  </si>
  <si>
    <t>PHEV</t>
  </si>
  <si>
    <t>https://ovi.rdw.nl/</t>
  </si>
  <si>
    <t>Truestyle</t>
  </si>
  <si>
    <t>https://www.autoscout24.com/offers/smart-fortwo-0-7-truestyle-gasoline-black-e437eb8c-6716-4164-9296-4a53142994d3?sort=price&amp;desc=0&amp;lastSeenGuidPresent=true&amp;cldtidx=1&amp;position=1&amp;search_id=1vv6lkvlsrv&amp;source_otp=t10&amp;source=listpage_suggested-results</t>
  </si>
  <si>
    <t>45 kW</t>
  </si>
  <si>
    <t>Automatic</t>
  </si>
  <si>
    <t>Website</t>
  </si>
  <si>
    <t>Description</t>
  </si>
  <si>
    <t>https://ev-database.org/</t>
  </si>
  <si>
    <t>EV Database</t>
  </si>
  <si>
    <t>RDW Kentekencheck</t>
  </si>
  <si>
    <t>Motorrijtuigenbelasting berekenen (MRB)</t>
  </si>
  <si>
    <t>https://www.rvo.nl/subsidies-financiering/sepp</t>
  </si>
  <si>
    <t>Subsidieregeling Elektrische Personenauto’s Particulieren (SEPP)</t>
  </si>
  <si>
    <t>https://business.gov.nl/regulation/periodic-motor-vehicle-test-apk/</t>
  </si>
  <si>
    <t>Algemene Periodieke Keuring (APK)</t>
  </si>
  <si>
    <t>Autoscout 24</t>
  </si>
  <si>
    <t>Ooyyo</t>
  </si>
  <si>
    <t>Auto</t>
  </si>
  <si>
    <t>Gebruikteauto</t>
  </si>
  <si>
    <t>Nederlandmobiel</t>
  </si>
  <si>
    <t>Eurostocks</t>
  </si>
  <si>
    <t>Bynco</t>
  </si>
  <si>
    <t>Second hand cars</t>
  </si>
  <si>
    <t>324 kW</t>
  </si>
  <si>
    <t>https://www.cockvanburenautos.nl/Volkswagen/Polo/1.0-TGI-AC-NAVI-MULTI-STUUR-CRUISE-CONTROLE-ELEC-RAMEN-Comfortline-4966933/4451/1/2/details.aspx?zoek=&amp;mrkid=81&amp;mrk=Volkswagen&amp;mdlid=1293&amp;so=gallerij</t>
  </si>
  <si>
    <t>Comfortline</t>
  </si>
  <si>
    <t>7" screen</t>
  </si>
  <si>
    <t>Number plate</t>
  </si>
  <si>
    <t>RP-206-L</t>
  </si>
  <si>
    <t>Climate control</t>
  </si>
  <si>
    <t>Dual-zone</t>
  </si>
  <si>
    <t>Rear head airbags</t>
  </si>
  <si>
    <t>Tesla Germany website</t>
  </si>
  <si>
    <t>MG Spain website</t>
  </si>
  <si>
    <t>Nissan Spain Website</t>
  </si>
  <si>
    <t>Many</t>
  </si>
  <si>
    <t>Life</t>
  </si>
  <si>
    <t>Year</t>
  </si>
  <si>
    <t>All cars</t>
  </si>
  <si>
    <t>Purchase type</t>
  </si>
  <si>
    <t>If Lease, contract duration (years)</t>
  </si>
  <si>
    <t>Safety equiment</t>
  </si>
  <si>
    <t>Equipment pack</t>
  </si>
  <si>
    <t>Tech. equipment</t>
  </si>
  <si>
    <t>Den Haag parking permit</t>
  </si>
  <si>
    <t>https://www.denhaag.nl/en/parking/apply-for-parking-permit/apply-for-parking-permit-for-residents.htm</t>
  </si>
  <si>
    <t>friendje</t>
  </si>
  <si>
    <t>https://www.yourlease.nl/volkswagen/volkswagen-up/</t>
  </si>
  <si>
    <t>XH-425-R</t>
  </si>
  <si>
    <t>6-ZFG-32</t>
  </si>
  <si>
    <t>Depreciation time until 14 years old</t>
  </si>
  <si>
    <t>Residual value at 14 years old</t>
  </si>
  <si>
    <t>https://www.marktplaats.nl/v/auto-s/smart/m1951091296-smart-fortwo-electric-drive-coupe-2015-wit-apk-13-1-2024</t>
  </si>
  <si>
    <t>Volkswagen Up!</t>
  </si>
  <si>
    <t>S-099-HJ</t>
  </si>
  <si>
    <t>Grey</t>
  </si>
  <si>
    <t>Radio</t>
  </si>
  <si>
    <t>https://voorraad.autobedrijfeb.nl/sa0446b36c5d56662bf8fb788f63ea754/voorraad/stock/6244/vehicles/20/details/33032182/volkswagen-up-1-0-60pk-take-up/</t>
  </si>
  <si>
    <t>44 kW 1.0</t>
  </si>
  <si>
    <t>Take up</t>
  </si>
  <si>
    <t>Comfortline Business</t>
  </si>
  <si>
    <t>https://voorraad.autobedrijfeb.nl/sa0446b36c5d56662bf8fb788f63ea754/voorraad/stock/7866/vehicles/20/details/31682879/volkswagen-polo-1-2-tsi-90pk-comfortline-business-r/</t>
  </si>
  <si>
    <t>66 kW 1.2</t>
  </si>
  <si>
    <t>66 kW 1.0 TGI</t>
  </si>
  <si>
    <t>Heated exterior mirrors, Tire pressure monitoring system, Hill hold function</t>
  </si>
  <si>
    <t>Tire pressure monitoring system, Hill hold function</t>
  </si>
  <si>
    <t>Heated exterior mirrors</t>
  </si>
  <si>
    <t>BMW i3</t>
  </si>
  <si>
    <t>125 kW</t>
  </si>
  <si>
    <t>?</t>
  </si>
  <si>
    <t>Heated seats</t>
  </si>
  <si>
    <t>https://www.autotijd.nl/aanbod#1427122578-2078578-bmw-i3-range-extender-ecc-airco-navigatie-55dkm-hist-aanw</t>
  </si>
  <si>
    <t>KF-049-T</t>
  </si>
  <si>
    <t>https://www.autozieleman.nl/auto-kopen/bmw/i3/bmw-i3-luxury-range-extender-22-kwh-60ah-navi-leer-camera-led/2770653/</t>
  </si>
  <si>
    <t>JJ-135-J</t>
  </si>
  <si>
    <t>https://www.hoczeeland.nl/aanbod/detail?id=2216</t>
  </si>
  <si>
    <t>Coupe Electric Drive</t>
  </si>
  <si>
    <t>R-568-HK</t>
  </si>
  <si>
    <t>Black and red</t>
  </si>
  <si>
    <t>Sun roof, heated seats</t>
  </si>
  <si>
    <t>Sun roof</t>
  </si>
  <si>
    <t>https://www.nederlandmobiel.nl/tweedehands-auto/smart/fortwo-coupe-electric-drive2000-subsidienap/16837067?auto-model-history=%5B%5D&amp;source=search&amp;merk[]=200&amp;prijs_tot=9000&amp;brandstof[]=electro&amp;p-sort=ingevoerd&amp;i=1</t>
  </si>
  <si>
    <t>https://www.rdw.nl/en/import-export-transit/importing-a-car-from-a-eu-or-efta-country</t>
  </si>
  <si>
    <t>RDW</t>
  </si>
  <si>
    <t>Identification of a light vehicle</t>
  </si>
  <si>
    <t>Registration certificate</t>
  </si>
  <si>
    <t>Registration in a person's name via the RDW</t>
  </si>
  <si>
    <t>Recycling fee</t>
  </si>
  <si>
    <t>BPM</t>
  </si>
  <si>
    <t>PEHV</t>
  </si>
  <si>
    <t>Energy price</t>
  </si>
  <si>
    <t>Off-peak</t>
  </si>
  <si>
    <t>Peak</t>
  </si>
  <si>
    <t>At work</t>
  </si>
  <si>
    <t>Hypothesis</t>
  </si>
  <si>
    <t>Emissions up to (g/km)</t>
  </si>
  <si>
    <t>Fix</t>
  </si>
  <si>
    <t>Variable</t>
  </si>
  <si>
    <t>Import taxes (RDW and BPM)</t>
  </si>
  <si>
    <t>https://www.belastingdienst.nl/wps/wcm/connect/bldcontentnl/belastingdienst/prive/auto_en_vervoer/belastingen_op_auto_en_motor/bpm/</t>
  </si>
  <si>
    <t>Depreciation with flat-rate table (years)</t>
  </si>
  <si>
    <t>Energy</t>
  </si>
  <si>
    <t>Den Haag Zentrum</t>
  </si>
  <si>
    <t>€</t>
  </si>
  <si>
    <t>Amount</t>
  </si>
  <si>
    <t>Tax-free travel allowance</t>
  </si>
  <si>
    <t>Volkswagen Golf</t>
  </si>
  <si>
    <t>1.4 GTE</t>
  </si>
  <si>
    <t>110 kW</t>
  </si>
  <si>
    <t>40 L / 9 kWh</t>
  </si>
  <si>
    <t>GN-138-H</t>
  </si>
  <si>
    <t>90Ah Rex</t>
  </si>
  <si>
    <t>https://www.autoscout24.nl/aanbod/bmw-i3-range-extender-94ah-24-292km-elektro-benzine-wit-3dc04599-4b00-46d1-a003-c13ef5db2cf4?sort=price&amp;desc=0&amp;lastSeenGuidPresent=false&amp;cldtidx=2&amp;position=2&amp;search_id=y6jkhwj8v0&amp;source_otp=t10&amp;source=listpage_search-results&amp;order_bucket=unknown</t>
  </si>
  <si>
    <t>10" screen</t>
  </si>
  <si>
    <t>6" screen</t>
  </si>
  <si>
    <t>S-631-TD</t>
  </si>
  <si>
    <t>60Ah Rex</t>
  </si>
  <si>
    <t>9-STV-81</t>
  </si>
  <si>
    <t>https://www.autoscout24.nl/aanbod/bmw-i3-range-extender-leder-navi-schuif-kanteldak-elektro-benzine-oranje-bedd4c4d-c582-4596-83d4-09ab7a437b8a?sort=price&amp;desc=0&amp;lastSeenGuidPresent=true&amp;cldtidx=1&amp;position=1&amp;search_id=jyvlmqt27e&amp;source_otp=t10&amp;source=listpage_search-results&amp;order_bucket=unknown</t>
  </si>
  <si>
    <t>120Ah</t>
  </si>
  <si>
    <t>https://www.finn.no/car/used/ad.html?finnkode=306163115</t>
  </si>
  <si>
    <t>EV Database link</t>
  </si>
  <si>
    <t>https://ev-database.org/car/1145/BMW-i3-120-Ah</t>
  </si>
  <si>
    <t>https://ev-database.org/car/1004/BMW-i3-60-Ah</t>
  </si>
  <si>
    <t>https://ev-database.org/car/1068/BMW-i3-94-Ah</t>
  </si>
  <si>
    <t>Importing from EU</t>
  </si>
  <si>
    <t>Information of electric vehicles</t>
  </si>
  <si>
    <t>8 years or 100.000 km</t>
  </si>
  <si>
    <t>Belastingdienst import process</t>
  </si>
  <si>
    <t>RDW import process</t>
  </si>
  <si>
    <t>Official, subsidy schemes for electric vehicles</t>
  </si>
  <si>
    <t>Official, import process and BPM taxes (vehicle taxes)</t>
  </si>
  <si>
    <t>Official, import process and registration costs</t>
  </si>
  <si>
    <t>Official, check car's details with its number plate</t>
  </si>
  <si>
    <t>Official, motor vehicle tax (MRB) calculator</t>
  </si>
  <si>
    <t>Official, periodic technical inspection (APK)</t>
  </si>
  <si>
    <t>Official, Den Haag parking permit</t>
  </si>
  <si>
    <t>Database with most electric cars, their real range and price</t>
  </si>
  <si>
    <t>https://www.independer.nl/</t>
  </si>
  <si>
    <t>Insurance comparator</t>
  </si>
  <si>
    <t>Independer</t>
  </si>
  <si>
    <t>Second-hand cars website aggregator</t>
  </si>
  <si>
    <t>60Ah Rex Comf. Adv.</t>
  </si>
  <si>
    <t>https://ev-database.org/car/1051/Opel-Ampera-e</t>
  </si>
  <si>
    <t>https://ev-database.org/car/1138/Tesla-Model-3-Long-Range-Dual-Motor</t>
  </si>
  <si>
    <t>https://ev-database.org/car/1657/Nissan-Leaf-eplus</t>
  </si>
  <si>
    <t>https://ev-database.org/car/1708/MG-MG4-Electric-64-kWh</t>
  </si>
  <si>
    <t>55 kW</t>
  </si>
  <si>
    <t>21,6 kWh / 9 L</t>
  </si>
  <si>
    <t>33,2 kWh / 9 L</t>
  </si>
  <si>
    <t>Range extender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</si>
</sst>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\ &quot;€&quot;"/>
    <numFmt numFmtId="165" formatCode="#,##0.0"/>
    <numFmt numFmtId="166" formatCode="0.000%"/>
    <numFmt numFmtId="167" formatCode="#,##0.00\ &quot;€&quot;"/>
    <numFmt numFmtId="168" formatCode="0.0"/>
  </numFmts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-0.499984740745262"/>
        <bgColor indexed="64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9" fontId="5" fillId="0" borderId="0" applyFont="0" applyFill="0" applyBorder="0" applyAlignment="0" applyProtection="0"/>
  </cellStyleXfs>
  <cellXfs count="243">
    <xf numFmtId="0" fontId="0" fillId="0" borderId="0" xfId="0"/>
    <xf numFmtId="0" fontId="2" fillId="2" borderId="10" xfId="0" applyFont="1" applyFill="1" applyBorder="1" applyAlignment="1">
      <alignment vertical="center"/>
    </xf>
    <xf numFmtId="0" fontId="0" fillId="4" borderId="11" xfId="0" applyFill="1" applyBorder="1" applyAlignment="1">
      <alignment vertical="center"/>
    </xf>
    <xf numFmtId="0" fontId="0" fillId="4" borderId="7" xfId="0" applyFill="1" applyBorder="1" applyAlignment="1">
      <alignment vertical="center"/>
    </xf>
    <xf numFmtId="164" fontId="0" fillId="4" borderId="1" xfId="0" applyNumberFormat="1" applyFill="1" applyBorder="1" applyAlignment="1">
      <alignment vertical="center"/>
    </xf>
    <xf numFmtId="164" fontId="0" fillId="4" borderId="7" xfId="0" applyNumberFormat="1" applyFill="1" applyBorder="1" applyAlignment="1">
      <alignment vertical="center"/>
    </xf>
    <xf numFmtId="164" fontId="0" fillId="4" borderId="17" xfId="0" applyNumberFormat="1" applyFill="1" applyBorder="1" applyAlignment="1">
      <alignment vertical="center"/>
    </xf>
    <xf numFmtId="0" fontId="2" fillId="2" borderId="20" xfId="0" applyFont="1" applyFill="1" applyBorder="1" applyAlignment="1">
      <alignment vertical="center"/>
    </xf>
    <xf numFmtId="0" fontId="0" fillId="4" borderId="22" xfId="0" applyFill="1" applyBorder="1" applyAlignment="1">
      <alignment vertical="center"/>
    </xf>
    <xf numFmtId="164" fontId="0" fillId="4" borderId="23" xfId="0" applyNumberFormat="1" applyFill="1" applyBorder="1" applyAlignment="1">
      <alignment vertical="center"/>
    </xf>
    <xf numFmtId="164" fontId="0" fillId="4" borderId="24" xfId="0" applyNumberFormat="1" applyFill="1" applyBorder="1" applyAlignment="1">
      <alignment vertical="center"/>
    </xf>
    <xf numFmtId="164" fontId="0" fillId="4" borderId="22" xfId="0" applyNumberFormat="1" applyFill="1" applyBorder="1" applyAlignment="1">
      <alignment vertical="center"/>
    </xf>
    <xf numFmtId="0" fontId="0" fillId="4" borderId="25" xfId="0" applyFill="1" applyBorder="1" applyAlignment="1">
      <alignment vertical="center"/>
    </xf>
    <xf numFmtId="164" fontId="0" fillId="4" borderId="26" xfId="0" applyNumberFormat="1" applyFill="1" applyBorder="1" applyAlignment="1">
      <alignment vertical="center"/>
    </xf>
    <xf numFmtId="164" fontId="0" fillId="4" borderId="27" xfId="0" applyNumberFormat="1" applyFill="1" applyBorder="1" applyAlignment="1">
      <alignment vertical="center"/>
    </xf>
    <xf numFmtId="164" fontId="0" fillId="4" borderId="25" xfId="0" applyNumberFormat="1" applyFill="1" applyBorder="1" applyAlignment="1">
      <alignment vertical="center"/>
    </xf>
    <xf numFmtId="0" fontId="0" fillId="4" borderId="20" xfId="0" applyFill="1" applyBorder="1" applyAlignment="1">
      <alignment vertical="center"/>
    </xf>
    <xf numFmtId="164" fontId="0" fillId="4" borderId="13" xfId="0" applyNumberFormat="1" applyFill="1" applyBorder="1" applyAlignment="1">
      <alignment vertical="center"/>
    </xf>
    <xf numFmtId="164" fontId="0" fillId="4" borderId="2" xfId="0" applyNumberFormat="1" applyFill="1" applyBorder="1" applyAlignment="1">
      <alignment vertical="center"/>
    </xf>
    <xf numFmtId="164" fontId="0" fillId="4" borderId="20" xfId="0" applyNumberFormat="1" applyFill="1" applyBorder="1" applyAlignment="1">
      <alignment vertical="center"/>
    </xf>
    <xf numFmtId="0" fontId="2" fillId="5" borderId="19" xfId="0" applyFont="1" applyFill="1" applyBorder="1"/>
    <xf numFmtId="0" fontId="2" fillId="5" borderId="17" xfId="0" applyFont="1" applyFill="1" applyBorder="1"/>
    <xf numFmtId="164" fontId="0" fillId="4" borderId="5" xfId="0" applyNumberFormat="1" applyFill="1" applyBorder="1"/>
    <xf numFmtId="164" fontId="0" fillId="4" borderId="7" xfId="0" applyNumberFormat="1" applyFill="1" applyBorder="1"/>
    <xf numFmtId="0" fontId="0" fillId="4" borderId="7" xfId="0" applyFill="1" applyBorder="1"/>
    <xf numFmtId="0" fontId="0" fillId="4" borderId="10" xfId="0" applyFill="1" applyBorder="1"/>
    <xf numFmtId="164" fontId="0" fillId="4" borderId="10" xfId="0" applyNumberFormat="1" applyFill="1" applyBorder="1"/>
    <xf numFmtId="0" fontId="2" fillId="5" borderId="19" xfId="0" applyFont="1" applyFill="1" applyBorder="1" applyAlignment="1">
      <alignment horizontal="center"/>
    </xf>
    <xf numFmtId="164" fontId="0" fillId="4" borderId="20" xfId="0" applyNumberFormat="1" applyFill="1" applyBorder="1"/>
    <xf numFmtId="164" fontId="3" fillId="3" borderId="32" xfId="0" applyNumberFormat="1" applyFont="1" applyFill="1" applyBorder="1"/>
    <xf numFmtId="0" fontId="2" fillId="5" borderId="16" xfId="0" applyFont="1" applyFill="1" applyBorder="1" applyAlignment="1">
      <alignment horizontal="center"/>
    </xf>
    <xf numFmtId="0" fontId="2" fillId="5" borderId="17" xfId="0" applyFont="1" applyFill="1" applyBorder="1" applyAlignment="1">
      <alignment horizontal="center"/>
    </xf>
    <xf numFmtId="0" fontId="2" fillId="5" borderId="13" xfId="0" applyFont="1" applyFill="1" applyBorder="1" applyAlignment="1">
      <alignment horizontal="center"/>
    </xf>
    <xf numFmtId="0" fontId="2" fillId="5" borderId="30" xfId="0" applyFont="1" applyFill="1" applyBorder="1" applyAlignment="1">
      <alignment horizontal="center"/>
    </xf>
    <xf numFmtId="3" fontId="3" fillId="3" borderId="31" xfId="0" applyNumberFormat="1" applyFont="1" applyFill="1" applyBorder="1"/>
    <xf numFmtId="0" fontId="2" fillId="5" borderId="12" xfId="0" applyFont="1" applyFill="1" applyBorder="1" applyAlignment="1">
      <alignment horizontal="center"/>
    </xf>
    <xf numFmtId="164" fontId="0" fillId="4" borderId="11" xfId="0" applyNumberFormat="1" applyFill="1" applyBorder="1"/>
    <xf numFmtId="0" fontId="0" fillId="4" borderId="35" xfId="0" applyFill="1" applyBorder="1" applyAlignment="1">
      <alignment vertical="center"/>
    </xf>
    <xf numFmtId="164" fontId="0" fillId="4" borderId="6" xfId="0" applyNumberFormat="1" applyFill="1" applyBorder="1" applyAlignment="1">
      <alignment vertical="center"/>
    </xf>
    <xf numFmtId="164" fontId="0" fillId="4" borderId="34" xfId="0" applyNumberFormat="1" applyFill="1" applyBorder="1" applyAlignment="1">
      <alignment vertical="center"/>
    </xf>
    <xf numFmtId="164" fontId="0" fillId="4" borderId="35" xfId="0" applyNumberFormat="1" applyFill="1" applyBorder="1" applyAlignment="1">
      <alignment vertical="center"/>
    </xf>
    <xf numFmtId="0" fontId="0" fillId="7" borderId="35" xfId="0" applyFill="1" applyBorder="1" applyAlignment="1">
      <alignment vertical="center"/>
    </xf>
    <xf numFmtId="164" fontId="0" fillId="7" borderId="6" xfId="0" applyNumberFormat="1" applyFill="1" applyBorder="1" applyAlignment="1">
      <alignment vertical="center"/>
    </xf>
    <xf numFmtId="164" fontId="0" fillId="7" borderId="34" xfId="0" applyNumberFormat="1" applyFill="1" applyBorder="1" applyAlignment="1">
      <alignment vertical="center"/>
    </xf>
    <xf numFmtId="164" fontId="0" fillId="7" borderId="35" xfId="0" applyNumberFormat="1" applyFill="1" applyBorder="1" applyAlignment="1">
      <alignment vertical="center"/>
    </xf>
    <xf numFmtId="0" fontId="0" fillId="7" borderId="25" xfId="0" applyFill="1" applyBorder="1" applyAlignment="1">
      <alignment vertical="center"/>
    </xf>
    <xf numFmtId="164" fontId="0" fillId="7" borderId="26" xfId="0" applyNumberFormat="1" applyFill="1" applyBorder="1" applyAlignment="1">
      <alignment vertical="center"/>
    </xf>
    <xf numFmtId="164" fontId="0" fillId="7" borderId="27" xfId="0" applyNumberFormat="1" applyFill="1" applyBorder="1" applyAlignment="1">
      <alignment vertical="center"/>
    </xf>
    <xf numFmtId="164" fontId="0" fillId="7" borderId="25" xfId="0" applyNumberFormat="1" applyFill="1" applyBorder="1" applyAlignment="1">
      <alignment vertical="center"/>
    </xf>
    <xf numFmtId="3" fontId="0" fillId="4" borderId="3" xfId="0" applyNumberFormat="1" applyFill="1" applyBorder="1" applyProtection="1">
      <protection locked="0"/>
    </xf>
    <xf numFmtId="3" fontId="0" fillId="4" borderId="1" xfId="0" applyNumberFormat="1" applyFill="1" applyBorder="1" applyProtection="1">
      <protection locked="0"/>
    </xf>
    <xf numFmtId="3" fontId="0" fillId="4" borderId="2" xfId="0" applyNumberFormat="1" applyFill="1" applyBorder="1" applyProtection="1">
      <protection locked="0"/>
    </xf>
    <xf numFmtId="165" fontId="0" fillId="4" borderId="1" xfId="0" applyNumberFormat="1" applyFill="1" applyBorder="1" applyProtection="1">
      <protection locked="0"/>
    </xf>
    <xf numFmtId="9" fontId="0" fillId="4" borderId="4" xfId="2" applyFont="1" applyFill="1" applyBorder="1" applyProtection="1">
      <protection locked="0"/>
    </xf>
    <xf numFmtId="0" fontId="2" fillId="2" borderId="21" xfId="0" applyFont="1" applyFill="1" applyBorder="1" applyAlignment="1" applyProtection="1">
      <alignment horizontal="center" vertical="center"/>
      <protection locked="0"/>
    </xf>
    <xf numFmtId="0" fontId="2" fillId="2" borderId="2" xfId="0" applyFont="1" applyFill="1" applyBorder="1" applyAlignment="1" applyProtection="1">
      <alignment horizontal="center" vertical="center"/>
      <protection locked="0"/>
    </xf>
    <xf numFmtId="0" fontId="2" fillId="2" borderId="20" xfId="0" applyFont="1" applyFill="1" applyBorder="1" applyAlignment="1" applyProtection="1">
      <alignment horizontal="center" vertical="center"/>
      <protection locked="0"/>
    </xf>
    <xf numFmtId="0" fontId="1" fillId="2" borderId="21" xfId="1" applyFill="1" applyBorder="1" applyAlignment="1" applyProtection="1">
      <alignment vertical="center"/>
      <protection locked="0"/>
    </xf>
    <xf numFmtId="0" fontId="4" fillId="2" borderId="2" xfId="0" applyFont="1" applyFill="1" applyBorder="1" applyAlignment="1" applyProtection="1">
      <alignment vertical="center"/>
      <protection locked="0"/>
    </xf>
    <xf numFmtId="0" fontId="1" fillId="2" borderId="2" xfId="1" applyFill="1" applyBorder="1" applyAlignment="1" applyProtection="1">
      <alignment vertical="center"/>
      <protection locked="0"/>
    </xf>
    <xf numFmtId="0" fontId="4" fillId="2" borderId="20" xfId="0" applyFont="1" applyFill="1" applyBorder="1" applyAlignment="1" applyProtection="1">
      <alignment vertical="center"/>
      <protection locked="0"/>
    </xf>
    <xf numFmtId="0" fontId="0" fillId="4" borderId="16" xfId="0" applyFill="1" applyBorder="1" applyAlignment="1" applyProtection="1">
      <alignment vertical="center"/>
      <protection locked="0"/>
    </xf>
    <xf numFmtId="0" fontId="0" fillId="4" borderId="4" xfId="0" applyFill="1" applyBorder="1" applyAlignment="1" applyProtection="1">
      <alignment vertical="center"/>
      <protection locked="0"/>
    </xf>
    <xf numFmtId="0" fontId="0" fillId="4" borderId="5" xfId="0" applyFill="1" applyBorder="1" applyAlignment="1" applyProtection="1">
      <alignment vertical="center"/>
      <protection locked="0"/>
    </xf>
    <xf numFmtId="0" fontId="0" fillId="4" borderId="17" xfId="0" applyFill="1" applyBorder="1" applyAlignment="1" applyProtection="1">
      <alignment vertical="center"/>
      <protection locked="0"/>
    </xf>
    <xf numFmtId="0" fontId="0" fillId="4" borderId="1" xfId="0" applyFill="1" applyBorder="1" applyAlignment="1" applyProtection="1">
      <alignment vertical="center"/>
      <protection locked="0"/>
    </xf>
    <xf numFmtId="0" fontId="0" fillId="4" borderId="7" xfId="0" applyFill="1" applyBorder="1" applyAlignment="1" applyProtection="1">
      <alignment vertical="center"/>
      <protection locked="0"/>
    </xf>
    <xf numFmtId="164" fontId="0" fillId="4" borderId="17" xfId="0" applyNumberFormat="1" applyFill="1" applyBorder="1" applyAlignment="1" applyProtection="1">
      <alignment vertical="center"/>
      <protection locked="0"/>
    </xf>
    <xf numFmtId="164" fontId="0" fillId="4" borderId="1" xfId="0" applyNumberFormat="1" applyFill="1" applyBorder="1" applyAlignment="1" applyProtection="1">
      <alignment vertical="center"/>
      <protection locked="0"/>
    </xf>
    <xf numFmtId="164" fontId="0" fillId="4" borderId="7" xfId="0" applyNumberFormat="1" applyFill="1" applyBorder="1" applyAlignment="1" applyProtection="1">
      <alignment vertical="center"/>
      <protection locked="0"/>
    </xf>
    <xf numFmtId="3" fontId="0" fillId="4" borderId="17" xfId="0" applyNumberFormat="1" applyFill="1" applyBorder="1" applyAlignment="1" applyProtection="1">
      <alignment vertical="center"/>
      <protection locked="0"/>
    </xf>
    <xf numFmtId="3" fontId="0" fillId="4" borderId="1" xfId="0" applyNumberFormat="1" applyFill="1" applyBorder="1" applyAlignment="1" applyProtection="1">
      <alignment vertical="center"/>
      <protection locked="0"/>
    </xf>
    <xf numFmtId="3" fontId="0" fillId="4" borderId="7" xfId="0" applyNumberFormat="1" applyFill="1" applyBorder="1" applyAlignment="1" applyProtection="1">
      <alignment vertical="center"/>
      <protection locked="0"/>
    </xf>
    <xf numFmtId="0" fontId="2" fillId="2" borderId="15" xfId="0" applyFont="1" applyFill="1" applyBorder="1" applyAlignment="1" applyProtection="1">
      <alignment horizontal="center" vertical="center"/>
      <protection locked="0"/>
    </xf>
    <xf numFmtId="0" fontId="2" fillId="2" borderId="9" xfId="0" applyFont="1" applyFill="1" applyBorder="1" applyAlignment="1" applyProtection="1">
      <alignment horizontal="center" vertical="center"/>
      <protection locked="0"/>
    </xf>
    <xf numFmtId="0" fontId="2" fillId="2" borderId="10" xfId="0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vertical="center"/>
    </xf>
    <xf numFmtId="4" fontId="0" fillId="4" borderId="4" xfId="0" applyNumberFormat="1" applyFill="1" applyBorder="1" applyProtection="1">
      <protection locked="0"/>
    </xf>
    <xf numFmtId="0" fontId="0" fillId="7" borderId="11" xfId="0" applyFill="1" applyBorder="1" applyAlignment="1">
      <alignment vertical="center"/>
    </xf>
    <xf numFmtId="164" fontId="0" fillId="7" borderId="12" xfId="0" applyNumberFormat="1" applyFill="1" applyBorder="1" applyAlignment="1">
      <alignment vertical="center"/>
    </xf>
    <xf numFmtId="164" fontId="0" fillId="7" borderId="3" xfId="0" applyNumberFormat="1" applyFill="1" applyBorder="1" applyAlignment="1">
      <alignment vertical="center"/>
    </xf>
    <xf numFmtId="164" fontId="0" fillId="7" borderId="11" xfId="0" applyNumberFormat="1" applyFill="1" applyBorder="1" applyAlignment="1">
      <alignment vertical="center"/>
    </xf>
    <xf numFmtId="3" fontId="0" fillId="4" borderId="26" xfId="0" applyNumberFormat="1" applyFill="1" applyBorder="1" applyAlignment="1">
      <alignment vertical="center"/>
    </xf>
    <xf numFmtId="3" fontId="0" fillId="4" borderId="27" xfId="0" applyNumberFormat="1" applyFill="1" applyBorder="1" applyAlignment="1">
      <alignment vertical="center"/>
    </xf>
    <xf numFmtId="3" fontId="0" fillId="4" borderId="25" xfId="0" applyNumberFormat="1" applyFill="1" applyBorder="1" applyAlignment="1">
      <alignment vertical="center"/>
    </xf>
    <xf numFmtId="164" fontId="0" fillId="4" borderId="12" xfId="0" applyNumberFormat="1" applyFill="1" applyBorder="1" applyAlignment="1">
      <alignment vertical="center"/>
    </xf>
    <xf numFmtId="164" fontId="0" fillId="4" borderId="3" xfId="0" applyNumberFormat="1" applyFill="1" applyBorder="1" applyAlignment="1">
      <alignment vertical="center"/>
    </xf>
    <xf numFmtId="164" fontId="0" fillId="4" borderId="11" xfId="0" applyNumberFormat="1" applyFill="1" applyBorder="1" applyAlignment="1">
      <alignment vertical="center"/>
    </xf>
    <xf numFmtId="164" fontId="0" fillId="4" borderId="23" xfId="0" applyNumberFormat="1" applyFill="1" applyBorder="1" applyAlignment="1" applyProtection="1">
      <alignment vertical="center"/>
      <protection locked="0"/>
    </xf>
    <xf numFmtId="164" fontId="0" fillId="4" borderId="24" xfId="0" applyNumberFormat="1" applyFill="1" applyBorder="1" applyAlignment="1" applyProtection="1">
      <alignment vertical="center"/>
      <protection locked="0"/>
    </xf>
    <xf numFmtId="164" fontId="0" fillId="4" borderId="22" xfId="0" applyNumberFormat="1" applyFill="1" applyBorder="1" applyAlignment="1" applyProtection="1">
      <alignment vertical="center"/>
      <protection locked="0"/>
    </xf>
    <xf numFmtId="0" fontId="0" fillId="0" borderId="0" xfId="0" applyAlignment="1">
      <alignment horizontal="center"/>
    </xf>
    <xf numFmtId="164" fontId="0" fillId="8" borderId="1" xfId="0" applyNumberFormat="1" applyFill="1" applyBorder="1"/>
    <xf numFmtId="3" fontId="0" fillId="9" borderId="1" xfId="0" applyNumberFormat="1" applyFill="1" applyBorder="1"/>
    <xf numFmtId="9" fontId="0" fillId="11" borderId="1" xfId="2" applyFont="1" applyFill="1" applyBorder="1"/>
    <xf numFmtId="164" fontId="0" fillId="11" borderId="1" xfId="2" applyNumberFormat="1" applyFont="1" applyFill="1" applyBorder="1"/>
    <xf numFmtId="9" fontId="0" fillId="12" borderId="1" xfId="2" applyFont="1" applyFill="1" applyBorder="1"/>
    <xf numFmtId="164" fontId="0" fillId="12" borderId="1" xfId="2" applyNumberFormat="1" applyFont="1" applyFill="1" applyBorder="1"/>
    <xf numFmtId="0" fontId="2" fillId="13" borderId="1" xfId="0" applyFont="1" applyFill="1" applyBorder="1" applyAlignment="1">
      <alignment horizontal="center"/>
    </xf>
    <xf numFmtId="0" fontId="2" fillId="14" borderId="1" xfId="0" applyFont="1" applyFill="1" applyBorder="1" applyAlignment="1">
      <alignment horizontal="center"/>
    </xf>
    <xf numFmtId="0" fontId="2" fillId="15" borderId="1" xfId="0" applyFont="1" applyFill="1" applyBorder="1" applyAlignment="1">
      <alignment horizontal="center"/>
    </xf>
    <xf numFmtId="3" fontId="0" fillId="0" borderId="0" xfId="0" applyNumberFormat="1" applyAlignment="1">
      <alignment vertical="center"/>
    </xf>
    <xf numFmtId="0" fontId="2" fillId="10" borderId="1" xfId="0" applyFont="1" applyFill="1" applyBorder="1" applyAlignment="1">
      <alignment horizontal="center"/>
    </xf>
    <xf numFmtId="0" fontId="2" fillId="6" borderId="30" xfId="0" applyFont="1" applyFill="1" applyBorder="1" applyAlignment="1">
      <alignment horizontal="center"/>
    </xf>
    <xf numFmtId="0" fontId="2" fillId="6" borderId="31" xfId="0" applyFont="1" applyFill="1" applyBorder="1" applyAlignment="1">
      <alignment horizontal="center"/>
    </xf>
    <xf numFmtId="0" fontId="2" fillId="6" borderId="32" xfId="0" applyFont="1" applyFill="1" applyBorder="1" applyAlignment="1">
      <alignment horizontal="center"/>
    </xf>
    <xf numFmtId="0" fontId="1" fillId="4" borderId="3" xfId="1" applyFill="1" applyBorder="1"/>
    <xf numFmtId="0" fontId="0" fillId="4" borderId="11" xfId="0" applyFill="1" applyBorder="1"/>
    <xf numFmtId="0" fontId="1" fillId="4" borderId="1" xfId="1" applyFill="1" applyBorder="1"/>
    <xf numFmtId="0" fontId="2" fillId="5" borderId="12" xfId="0" applyFont="1" applyFill="1" applyBorder="1"/>
    <xf numFmtId="0" fontId="2" fillId="5" borderId="13" xfId="0" applyFont="1" applyFill="1" applyBorder="1"/>
    <xf numFmtId="0" fontId="1" fillId="4" borderId="2" xfId="1" applyFill="1" applyBorder="1"/>
    <xf numFmtId="0" fontId="0" fillId="4" borderId="20" xfId="0" applyFill="1" applyBorder="1"/>
    <xf numFmtId="0" fontId="0" fillId="3" borderId="7" xfId="0" applyFill="1" applyBorder="1" applyAlignment="1">
      <alignment vertical="center"/>
    </xf>
    <xf numFmtId="0" fontId="0" fillId="3" borderId="17" xfId="0" applyFill="1" applyBorder="1" applyAlignment="1" applyProtection="1">
      <alignment vertical="center"/>
      <protection locked="0"/>
    </xf>
    <xf numFmtId="0" fontId="0" fillId="3" borderId="1" xfId="0" applyFill="1" applyBorder="1" applyAlignment="1" applyProtection="1">
      <alignment vertical="center"/>
      <protection locked="0"/>
    </xf>
    <xf numFmtId="0" fontId="0" fillId="3" borderId="7" xfId="0" applyFill="1" applyBorder="1" applyAlignment="1" applyProtection="1">
      <alignment vertical="center"/>
      <protection locked="0"/>
    </xf>
    <xf numFmtId="3" fontId="0" fillId="3" borderId="17" xfId="0" applyNumberFormat="1" applyFill="1" applyBorder="1" applyAlignment="1" applyProtection="1">
      <alignment vertical="center"/>
      <protection locked="0"/>
    </xf>
    <xf numFmtId="3" fontId="0" fillId="3" borderId="1" xfId="0" applyNumberFormat="1" applyFill="1" applyBorder="1" applyAlignment="1" applyProtection="1">
      <alignment vertical="center"/>
      <protection locked="0"/>
    </xf>
    <xf numFmtId="3" fontId="0" fillId="3" borderId="7" xfId="0" applyNumberFormat="1" applyFill="1" applyBorder="1" applyAlignment="1" applyProtection="1">
      <alignment vertical="center"/>
      <protection locked="0"/>
    </xf>
    <xf numFmtId="3" fontId="0" fillId="3" borderId="14" xfId="0" applyNumberFormat="1" applyFill="1" applyBorder="1" applyAlignment="1" applyProtection="1">
      <alignment vertical="center"/>
      <protection locked="0"/>
    </xf>
    <xf numFmtId="3" fontId="0" fillId="3" borderId="18" xfId="0" applyNumberFormat="1" applyFill="1" applyBorder="1" applyAlignment="1" applyProtection="1">
      <alignment vertical="center"/>
      <protection locked="0"/>
    </xf>
    <xf numFmtId="0" fontId="3" fillId="3" borderId="6" xfId="0" applyFont="1" applyFill="1" applyBorder="1" applyAlignment="1">
      <alignment horizontal="center" vertical="center"/>
    </xf>
    <xf numFmtId="14" fontId="0" fillId="3" borderId="17" xfId="0" applyNumberFormat="1" applyFill="1" applyBorder="1" applyAlignment="1" applyProtection="1">
      <alignment vertical="center"/>
      <protection locked="0"/>
    </xf>
    <xf numFmtId="14" fontId="0" fillId="3" borderId="1" xfId="0" applyNumberFormat="1" applyFill="1" applyBorder="1" applyAlignment="1" applyProtection="1">
      <alignment vertical="center"/>
      <protection locked="0"/>
    </xf>
    <xf numFmtId="14" fontId="0" fillId="3" borderId="7" xfId="0" applyNumberFormat="1" applyFill="1" applyBorder="1" applyAlignment="1" applyProtection="1">
      <alignment vertical="center"/>
      <protection locked="0"/>
    </xf>
    <xf numFmtId="0" fontId="0" fillId="3" borderId="10" xfId="0" applyFill="1" applyBorder="1" applyAlignment="1">
      <alignment vertical="center"/>
    </xf>
    <xf numFmtId="0" fontId="0" fillId="3" borderId="19" xfId="0" applyFill="1" applyBorder="1" applyAlignment="1" applyProtection="1">
      <alignment vertical="center"/>
      <protection locked="0"/>
    </xf>
    <xf numFmtId="0" fontId="0" fillId="3" borderId="9" xfId="0" applyFill="1" applyBorder="1" applyAlignment="1" applyProtection="1">
      <alignment vertical="center"/>
      <protection locked="0"/>
    </xf>
    <xf numFmtId="0" fontId="0" fillId="3" borderId="10" xfId="0" applyFill="1" applyBorder="1" applyAlignment="1" applyProtection="1">
      <alignment vertical="center"/>
      <protection locked="0"/>
    </xf>
    <xf numFmtId="1" fontId="0" fillId="4" borderId="17" xfId="0" applyNumberFormat="1" applyFill="1" applyBorder="1" applyAlignment="1" applyProtection="1">
      <alignment vertical="center"/>
      <protection locked="0"/>
    </xf>
    <xf numFmtId="1" fontId="0" fillId="4" borderId="1" xfId="0" applyNumberFormat="1" applyFill="1" applyBorder="1" applyAlignment="1" applyProtection="1">
      <alignment vertical="center"/>
      <protection locked="0"/>
    </xf>
    <xf numFmtId="1" fontId="0" fillId="4" borderId="7" xfId="0" applyNumberFormat="1" applyFill="1" applyBorder="1" applyAlignment="1" applyProtection="1">
      <alignment vertical="center"/>
      <protection locked="0"/>
    </xf>
    <xf numFmtId="0" fontId="1" fillId="2" borderId="0" xfId="1" applyFill="1" applyBorder="1" applyAlignment="1" applyProtection="1">
      <alignment vertical="center"/>
      <protection locked="0"/>
    </xf>
    <xf numFmtId="0" fontId="1" fillId="2" borderId="0" xfId="1" applyFill="1" applyBorder="1" applyProtection="1">
      <protection locked="0"/>
    </xf>
    <xf numFmtId="0" fontId="2" fillId="2" borderId="5" xfId="0" applyFont="1" applyFill="1" applyBorder="1" applyAlignment="1">
      <alignment vertical="center"/>
    </xf>
    <xf numFmtId="0" fontId="2" fillId="2" borderId="37" xfId="0" applyFont="1" applyFill="1" applyBorder="1" applyAlignment="1" applyProtection="1">
      <alignment horizontal="center" vertical="center"/>
      <protection locked="0"/>
    </xf>
    <xf numFmtId="0" fontId="2" fillId="2" borderId="4" xfId="0" applyFont="1" applyFill="1" applyBorder="1" applyAlignment="1" applyProtection="1">
      <alignment horizontal="center" vertical="center"/>
      <protection locked="0"/>
    </xf>
    <xf numFmtId="0" fontId="2" fillId="2" borderId="4" xfId="0" applyFont="1" applyFill="1" applyBorder="1" applyAlignment="1" applyProtection="1">
      <alignment horizontal="center" vertical="center" wrapText="1"/>
      <protection locked="0"/>
    </xf>
    <xf numFmtId="0" fontId="2" fillId="2" borderId="5" xfId="0" applyFont="1" applyFill="1" applyBorder="1" applyAlignment="1" applyProtection="1">
      <alignment horizontal="center" vertical="center"/>
      <protection locked="0"/>
    </xf>
    <xf numFmtId="0" fontId="0" fillId="4" borderId="37" xfId="0" applyFill="1" applyBorder="1" applyAlignment="1" applyProtection="1">
      <alignment vertical="center"/>
      <protection locked="0"/>
    </xf>
    <xf numFmtId="0" fontId="0" fillId="4" borderId="14" xfId="0" applyFill="1" applyBorder="1" applyAlignment="1" applyProtection="1">
      <alignment vertical="center"/>
      <protection locked="0"/>
    </xf>
    <xf numFmtId="0" fontId="0" fillId="3" borderId="14" xfId="0" applyFill="1" applyBorder="1" applyAlignment="1" applyProtection="1">
      <alignment vertical="center"/>
      <protection locked="0"/>
    </xf>
    <xf numFmtId="164" fontId="0" fillId="4" borderId="14" xfId="0" applyNumberFormat="1" applyFill="1" applyBorder="1" applyAlignment="1" applyProtection="1">
      <alignment vertical="center"/>
      <protection locked="0"/>
    </xf>
    <xf numFmtId="3" fontId="0" fillId="4" borderId="14" xfId="0" applyNumberFormat="1" applyFill="1" applyBorder="1" applyAlignment="1" applyProtection="1">
      <alignment vertical="center"/>
      <protection locked="0"/>
    </xf>
    <xf numFmtId="1" fontId="0" fillId="4" borderId="14" xfId="0" applyNumberFormat="1" applyFill="1" applyBorder="1" applyAlignment="1" applyProtection="1">
      <alignment vertical="center"/>
      <protection locked="0"/>
    </xf>
    <xf numFmtId="164" fontId="0" fillId="4" borderId="21" xfId="0" applyNumberFormat="1" applyFill="1" applyBorder="1" applyAlignment="1">
      <alignment vertical="center"/>
    </xf>
    <xf numFmtId="164" fontId="0" fillId="4" borderId="38" xfId="0" applyNumberFormat="1" applyFill="1" applyBorder="1" applyAlignment="1">
      <alignment vertical="center"/>
    </xf>
    <xf numFmtId="3" fontId="0" fillId="4" borderId="39" xfId="0" applyNumberFormat="1" applyFill="1" applyBorder="1" applyAlignment="1">
      <alignment vertical="center"/>
    </xf>
    <xf numFmtId="164" fontId="0" fillId="4" borderId="38" xfId="0" applyNumberFormat="1" applyFill="1" applyBorder="1" applyAlignment="1" applyProtection="1">
      <alignment vertical="center"/>
      <protection locked="0"/>
    </xf>
    <xf numFmtId="164" fontId="0" fillId="4" borderId="40" xfId="0" applyNumberFormat="1" applyFill="1" applyBorder="1" applyAlignment="1">
      <alignment vertical="center"/>
    </xf>
    <xf numFmtId="164" fontId="0" fillId="7" borderId="41" xfId="0" applyNumberFormat="1" applyFill="1" applyBorder="1" applyAlignment="1">
      <alignment vertical="center"/>
    </xf>
    <xf numFmtId="164" fontId="0" fillId="4" borderId="39" xfId="0" applyNumberFormat="1" applyFill="1" applyBorder="1" applyAlignment="1">
      <alignment vertical="center"/>
    </xf>
    <xf numFmtId="164" fontId="0" fillId="4" borderId="14" xfId="0" applyNumberFormat="1" applyFill="1" applyBorder="1" applyAlignment="1">
      <alignment vertical="center"/>
    </xf>
    <xf numFmtId="164" fontId="0" fillId="4" borderId="41" xfId="0" applyNumberFormat="1" applyFill="1" applyBorder="1" applyAlignment="1">
      <alignment vertical="center"/>
    </xf>
    <xf numFmtId="164" fontId="0" fillId="7" borderId="39" xfId="0" applyNumberFormat="1" applyFill="1" applyBorder="1" applyAlignment="1">
      <alignment vertical="center"/>
    </xf>
    <xf numFmtId="164" fontId="0" fillId="7" borderId="40" xfId="0" applyNumberFormat="1" applyFill="1" applyBorder="1" applyAlignment="1">
      <alignment vertical="center"/>
    </xf>
    <xf numFmtId="14" fontId="0" fillId="3" borderId="14" xfId="0" applyNumberFormat="1" applyFill="1" applyBorder="1" applyAlignment="1" applyProtection="1">
      <alignment vertical="center"/>
      <protection locked="0"/>
    </xf>
    <xf numFmtId="0" fontId="0" fillId="3" borderId="15" xfId="0" applyFill="1" applyBorder="1" applyAlignment="1" applyProtection="1">
      <alignment vertical="center"/>
      <protection locked="0"/>
    </xf>
    <xf numFmtId="0" fontId="2" fillId="2" borderId="16" xfId="0" applyFont="1" applyFill="1" applyBorder="1" applyAlignment="1" applyProtection="1">
      <alignment horizontal="center" vertical="center" wrapText="1"/>
      <protection locked="0"/>
    </xf>
    <xf numFmtId="0" fontId="2" fillId="2" borderId="13" xfId="0" applyFont="1" applyFill="1" applyBorder="1" applyAlignment="1" applyProtection="1">
      <alignment horizontal="center" vertical="center"/>
      <protection locked="0"/>
    </xf>
    <xf numFmtId="0" fontId="2" fillId="2" borderId="19" xfId="0" applyFont="1" applyFill="1" applyBorder="1" applyAlignment="1" applyProtection="1">
      <alignment horizontal="center" vertical="center"/>
      <protection locked="0"/>
    </xf>
    <xf numFmtId="0" fontId="2" fillId="2" borderId="37" xfId="0" applyFont="1" applyFill="1" applyBorder="1" applyAlignment="1" applyProtection="1">
      <alignment horizontal="center" vertical="center" wrapText="1"/>
      <protection locked="0"/>
    </xf>
    <xf numFmtId="0" fontId="1" fillId="2" borderId="13" xfId="1" applyFill="1" applyBorder="1" applyAlignment="1" applyProtection="1">
      <alignment vertical="center"/>
      <protection locked="0"/>
    </xf>
    <xf numFmtId="0" fontId="2" fillId="5" borderId="8" xfId="0" applyFont="1" applyFill="1" applyBorder="1" applyAlignment="1">
      <alignment horizontal="center"/>
    </xf>
    <xf numFmtId="4" fontId="0" fillId="4" borderId="42" xfId="0" applyNumberFormat="1" applyFill="1" applyBorder="1" applyProtection="1">
      <protection locked="0"/>
    </xf>
    <xf numFmtId="164" fontId="0" fillId="4" borderId="43" xfId="0" applyNumberFormat="1" applyFill="1" applyBorder="1"/>
    <xf numFmtId="4" fontId="0" fillId="4" borderId="1" xfId="0" applyNumberFormat="1" applyFill="1" applyBorder="1" applyProtection="1">
      <protection locked="0"/>
    </xf>
    <xf numFmtId="0" fontId="1" fillId="0" borderId="0" xfId="1"/>
    <xf numFmtId="0" fontId="2" fillId="10" borderId="44" xfId="0" applyFont="1" applyFill="1" applyBorder="1" applyAlignment="1">
      <alignment horizontal="center"/>
    </xf>
    <xf numFmtId="3" fontId="0" fillId="9" borderId="45" xfId="0" applyNumberFormat="1" applyFill="1" applyBorder="1"/>
    <xf numFmtId="3" fontId="0" fillId="9" borderId="46" xfId="0" applyNumberFormat="1" applyFill="1" applyBorder="1"/>
    <xf numFmtId="3" fontId="0" fillId="9" borderId="47" xfId="0" applyNumberFormat="1" applyFill="1" applyBorder="1"/>
    <xf numFmtId="164" fontId="0" fillId="8" borderId="40" xfId="0" applyNumberFormat="1" applyFill="1" applyBorder="1" applyProtection="1">
      <protection locked="0"/>
    </xf>
    <xf numFmtId="164" fontId="0" fillId="12" borderId="3" xfId="2" applyNumberFormat="1" applyFont="1" applyFill="1" applyBorder="1" applyProtection="1">
      <protection locked="0"/>
    </xf>
    <xf numFmtId="164" fontId="0" fillId="11" borderId="11" xfId="2" applyNumberFormat="1" applyFont="1" applyFill="1" applyBorder="1" applyProtection="1">
      <protection locked="0"/>
    </xf>
    <xf numFmtId="164" fontId="0" fillId="8" borderId="14" xfId="0" applyNumberFormat="1" applyFill="1" applyBorder="1" applyProtection="1">
      <protection locked="0"/>
    </xf>
    <xf numFmtId="164" fontId="0" fillId="12" borderId="1" xfId="2" applyNumberFormat="1" applyFont="1" applyFill="1" applyBorder="1" applyProtection="1">
      <protection locked="0"/>
    </xf>
    <xf numFmtId="164" fontId="0" fillId="11" borderId="7" xfId="2" applyNumberFormat="1" applyFont="1" applyFill="1" applyBorder="1" applyProtection="1">
      <protection locked="0"/>
    </xf>
    <xf numFmtId="164" fontId="0" fillId="8" borderId="15" xfId="0" applyNumberFormat="1" applyFill="1" applyBorder="1" applyProtection="1">
      <protection locked="0"/>
    </xf>
    <xf numFmtId="164" fontId="0" fillId="12" borderId="9" xfId="2" applyNumberFormat="1" applyFont="1" applyFill="1" applyBorder="1" applyProtection="1">
      <protection locked="0"/>
    </xf>
    <xf numFmtId="164" fontId="0" fillId="11" borderId="10" xfId="2" applyNumberFormat="1" applyFont="1" applyFill="1" applyBorder="1" applyProtection="1">
      <protection locked="0"/>
    </xf>
    <xf numFmtId="0" fontId="2" fillId="17" borderId="48" xfId="0" applyFont="1" applyFill="1" applyBorder="1" applyAlignment="1">
      <alignment horizontal="center"/>
    </xf>
    <xf numFmtId="164" fontId="0" fillId="16" borderId="49" xfId="0" applyNumberFormat="1" applyFill="1" applyBorder="1"/>
    <xf numFmtId="164" fontId="0" fillId="16" borderId="18" xfId="0" applyNumberFormat="1" applyFill="1" applyBorder="1"/>
    <xf numFmtId="164" fontId="0" fillId="16" borderId="50" xfId="0" applyNumberFormat="1" applyFill="1" applyBorder="1"/>
    <xf numFmtId="0" fontId="3" fillId="0" borderId="0" xfId="0" applyFont="1"/>
    <xf numFmtId="0" fontId="0" fillId="0" borderId="1" xfId="0" applyBorder="1"/>
    <xf numFmtId="164" fontId="0" fillId="0" borderId="1" xfId="0" applyNumberFormat="1" applyBorder="1"/>
    <xf numFmtId="3" fontId="0" fillId="9" borderId="51" xfId="0" applyNumberFormat="1" applyFill="1" applyBorder="1"/>
    <xf numFmtId="164" fontId="0" fillId="8" borderId="37" xfId="0" applyNumberFormat="1" applyFill="1" applyBorder="1" applyProtection="1">
      <protection locked="0"/>
    </xf>
    <xf numFmtId="164" fontId="0" fillId="12" borderId="4" xfId="2" applyNumberFormat="1" applyFont="1" applyFill="1" applyBorder="1" applyProtection="1">
      <protection locked="0"/>
    </xf>
    <xf numFmtId="164" fontId="0" fillId="11" borderId="5" xfId="2" applyNumberFormat="1" applyFont="1" applyFill="1" applyBorder="1" applyProtection="1">
      <protection locked="0"/>
    </xf>
    <xf numFmtId="0" fontId="2" fillId="15" borderId="37" xfId="0" applyFont="1" applyFill="1" applyBorder="1" applyAlignment="1">
      <alignment horizontal="center"/>
    </xf>
    <xf numFmtId="0" fontId="2" fillId="13" borderId="4" xfId="0" applyFont="1" applyFill="1" applyBorder="1" applyAlignment="1">
      <alignment horizontal="center"/>
    </xf>
    <xf numFmtId="0" fontId="2" fillId="14" borderId="5" xfId="0" applyFont="1" applyFill="1" applyBorder="1" applyAlignment="1">
      <alignment horizontal="center"/>
    </xf>
    <xf numFmtId="9" fontId="2" fillId="15" borderId="41" xfId="2" applyFont="1" applyFill="1" applyBorder="1" applyAlignment="1" applyProtection="1">
      <alignment horizontal="center"/>
      <protection locked="0"/>
    </xf>
    <xf numFmtId="9" fontId="2" fillId="13" borderId="34" xfId="2" applyFont="1" applyFill="1" applyBorder="1" applyAlignment="1" applyProtection="1">
      <alignment horizontal="center"/>
      <protection locked="0"/>
    </xf>
    <xf numFmtId="9" fontId="2" fillId="14" borderId="35" xfId="2" applyFont="1" applyFill="1" applyBorder="1" applyAlignment="1" applyProtection="1">
      <alignment horizontal="center"/>
      <protection locked="0"/>
    </xf>
    <xf numFmtId="164" fontId="0" fillId="16" borderId="54" xfId="0" applyNumberFormat="1" applyFill="1" applyBorder="1"/>
    <xf numFmtId="167" fontId="0" fillId="0" borderId="1" xfId="0" applyNumberFormat="1" applyBorder="1"/>
    <xf numFmtId="168" fontId="0" fillId="0" borderId="1" xfId="0" applyNumberFormat="1" applyBorder="1"/>
    <xf numFmtId="9" fontId="0" fillId="0" borderId="1" xfId="2" applyFont="1" applyBorder="1"/>
    <xf numFmtId="166" fontId="0" fillId="0" borderId="1" xfId="2" applyNumberFormat="1" applyFont="1" applyBorder="1"/>
    <xf numFmtId="4" fontId="0" fillId="4" borderId="31" xfId="2" applyNumberFormat="1" applyFont="1" applyFill="1" applyBorder="1" applyProtection="1">
      <protection locked="0"/>
    </xf>
    <xf numFmtId="0" fontId="0" fillId="4" borderId="32" xfId="2" applyNumberFormat="1" applyFont="1" applyFill="1" applyBorder="1"/>
    <xf numFmtId="1" fontId="0" fillId="9" borderId="51" xfId="0" applyNumberFormat="1" applyFill="1" applyBorder="1"/>
    <xf numFmtId="1" fontId="0" fillId="9" borderId="45" xfId="0" applyNumberFormat="1" applyFill="1" applyBorder="1"/>
    <xf numFmtId="1" fontId="0" fillId="9" borderId="46" xfId="0" applyNumberFormat="1" applyFill="1" applyBorder="1"/>
    <xf numFmtId="1" fontId="0" fillId="9" borderId="47" xfId="0" applyNumberFormat="1" applyFill="1" applyBorder="1"/>
    <xf numFmtId="167" fontId="0" fillId="16" borderId="54" xfId="0" applyNumberFormat="1" applyFill="1" applyBorder="1" applyProtection="1">
      <protection locked="0"/>
    </xf>
    <xf numFmtId="167" fontId="0" fillId="16" borderId="49" xfId="0" applyNumberFormat="1" applyFill="1" applyBorder="1" applyProtection="1">
      <protection locked="0"/>
    </xf>
    <xf numFmtId="167" fontId="0" fillId="16" borderId="18" xfId="0" applyNumberFormat="1" applyFill="1" applyBorder="1" applyProtection="1">
      <protection locked="0"/>
    </xf>
    <xf numFmtId="167" fontId="0" fillId="16" borderId="50" xfId="0" applyNumberFormat="1" applyFill="1" applyBorder="1" applyProtection="1">
      <protection locked="0"/>
    </xf>
    <xf numFmtId="0" fontId="3" fillId="4" borderId="17" xfId="0" applyFont="1" applyFill="1" applyBorder="1" applyAlignment="1">
      <alignment horizontal="center" vertical="center" wrapText="1"/>
    </xf>
    <xf numFmtId="0" fontId="1" fillId="4" borderId="1" xfId="1" applyFill="1" applyBorder="1" applyAlignment="1" applyProtection="1">
      <alignment vertical="center"/>
      <protection locked="0"/>
    </xf>
    <xf numFmtId="3" fontId="0" fillId="4" borderId="28" xfId="2" applyNumberFormat="1" applyFont="1" applyFill="1" applyBorder="1" applyProtection="1">
      <protection locked="0"/>
    </xf>
    <xf numFmtId="9" fontId="0" fillId="4" borderId="9" xfId="2" applyFont="1" applyFill="1" applyBorder="1" applyProtection="1">
      <protection locked="0"/>
    </xf>
    <xf numFmtId="3" fontId="0" fillId="4" borderId="29" xfId="2" applyNumberFormat="1" applyFont="1" applyFill="1" applyBorder="1" applyProtection="1">
      <protection locked="0"/>
    </xf>
    <xf numFmtId="0" fontId="1" fillId="4" borderId="9" xfId="1" applyFill="1" applyBorder="1"/>
    <xf numFmtId="0" fontId="2" fillId="5" borderId="30" xfId="0" applyFont="1" applyFill="1" applyBorder="1" applyAlignment="1" applyProtection="1">
      <alignment horizontal="center"/>
      <protection locked="0"/>
    </xf>
    <xf numFmtId="0" fontId="2" fillId="6" borderId="30" xfId="0" applyFont="1" applyFill="1" applyBorder="1" applyAlignment="1">
      <alignment horizontal="center"/>
    </xf>
    <xf numFmtId="0" fontId="2" fillId="6" borderId="31" xfId="0" applyFont="1" applyFill="1" applyBorder="1" applyAlignment="1">
      <alignment horizontal="center"/>
    </xf>
    <xf numFmtId="0" fontId="2" fillId="6" borderId="32" xfId="0" applyFont="1" applyFill="1" applyBorder="1" applyAlignment="1">
      <alignment horizontal="center"/>
    </xf>
    <xf numFmtId="0" fontId="2" fillId="6" borderId="33" xfId="0" applyFont="1" applyFill="1" applyBorder="1" applyAlignment="1">
      <alignment horizontal="center"/>
    </xf>
    <xf numFmtId="0" fontId="2" fillId="6" borderId="55" xfId="0" applyFont="1" applyFill="1" applyBorder="1" applyAlignment="1">
      <alignment horizontal="center"/>
    </xf>
    <xf numFmtId="0" fontId="2" fillId="6" borderId="56" xfId="0" applyFont="1" applyFill="1" applyBorder="1" applyAlignment="1">
      <alignment horizontal="center"/>
    </xf>
    <xf numFmtId="0" fontId="2" fillId="6" borderId="48" xfId="0" applyFont="1" applyFill="1" applyBorder="1" applyAlignment="1">
      <alignment horizontal="center"/>
    </xf>
    <xf numFmtId="0" fontId="2" fillId="2" borderId="36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3" fillId="3" borderId="13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 wrapText="1"/>
    </xf>
    <xf numFmtId="0" fontId="3" fillId="3" borderId="12" xfId="0" applyFont="1" applyFill="1" applyBorder="1" applyAlignment="1">
      <alignment horizontal="center" vertical="center" wrapText="1"/>
    </xf>
    <xf numFmtId="0" fontId="3" fillId="4" borderId="13" xfId="0" applyFont="1" applyFill="1" applyBorder="1" applyAlignment="1">
      <alignment horizontal="center" vertical="center" wrapText="1"/>
    </xf>
    <xf numFmtId="0" fontId="2" fillId="10" borderId="52" xfId="0" applyFont="1" applyFill="1" applyBorder="1" applyAlignment="1">
      <alignment horizontal="center" vertical="center"/>
    </xf>
    <xf numFmtId="0" fontId="2" fillId="10" borderId="53" xfId="0" applyFont="1" applyFill="1" applyBorder="1" applyAlignment="1">
      <alignment horizontal="center" vertical="center"/>
    </xf>
    <xf numFmtId="0" fontId="2" fillId="14" borderId="1" xfId="0" applyFont="1" applyFill="1" applyBorder="1" applyAlignment="1">
      <alignment horizontal="center"/>
    </xf>
    <xf numFmtId="0" fontId="2" fillId="13" borderId="1" xfId="0" applyFont="1" applyFill="1" applyBorder="1" applyAlignment="1">
      <alignment horizontal="center"/>
    </xf>
    <xf numFmtId="0" fontId="2" fillId="15" borderId="1" xfId="0" applyFont="1" applyFill="1" applyBorder="1" applyAlignment="1">
      <alignment horizontal="center"/>
    </xf>
  </cellXfs>
  <cellStyles count="3">
    <cellStyle name="Hyperlink" xfId="1" builtinId="8"/>
    <cellStyle name="Normal" xfId="0" builtinId="0"/>
    <cellStyle name="Percent" xfId="2" builtinId="5"/>
  </cellStyles>
  <dxfs count="3">
    <dxf>
      <fill>
        <patternFill>
          <bgColor rgb="FFC3B9CA"/>
        </patternFill>
      </fill>
    </dxf>
    <dxf>
      <fill>
        <patternFill>
          <bgColor rgb="FFACB9E1"/>
        </patternFill>
      </fill>
    </dxf>
    <dxf>
      <fill>
        <patternFill>
          <bgColor rgb="FFACC8CA"/>
        </patternFill>
      </fill>
    </dxf>
  </dxfs>
  <tableStyles count="0" defaultTableStyle="TableStyleMedium2" defaultPivotStyle="PivotStyleLight16"/>
  <colors>
    <mruColors>
      <color rgb="FFC3B9CA"/>
      <color rgb="FFACB9E1"/>
      <color rgb="FFBBC8CA"/>
      <color rgb="FFACC8C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19051</xdr:colOff>
      <xdr:row>3</xdr:row>
      <xdr:rowOff>21591</xdr:rowOff>
    </xdr:from>
    <xdr:to>
      <xdr:col>12</xdr:col>
      <xdr:colOff>1206305</xdr:colOff>
      <xdr:row>3</xdr:row>
      <xdr:rowOff>692150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A0A600-4EC8-F84A-7063-0ED169003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02851" y="764541"/>
          <a:ext cx="1244404" cy="670559"/>
        </a:xfrm>
        <a:prstGeom prst="rect">
          <a:avLst/>
        </a:prstGeom>
      </xdr:spPr>
    </xdr:pic>
    <xdr:clientData/>
  </xdr:twoCellAnchor>
  <xdr:twoCellAnchor>
    <xdr:from>
      <xdr:col>9</xdr:col>
      <xdr:colOff>175261</xdr:colOff>
      <xdr:row>3</xdr:row>
      <xdr:rowOff>22861</xdr:rowOff>
    </xdr:from>
    <xdr:to>
      <xdr:col>9</xdr:col>
      <xdr:colOff>1087503</xdr:colOff>
      <xdr:row>3</xdr:row>
      <xdr:rowOff>701041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63ED2B-1EBA-8CD6-5811-FE652BE22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1521" y="754381"/>
          <a:ext cx="912242" cy="678180"/>
        </a:xfrm>
        <a:prstGeom prst="rect">
          <a:avLst/>
        </a:prstGeom>
      </xdr:spPr>
    </xdr:pic>
    <xdr:clientData/>
  </xdr:twoCellAnchor>
  <xdr:twoCellAnchor>
    <xdr:from>
      <xdr:col>20</xdr:col>
      <xdr:colOff>15240</xdr:colOff>
      <xdr:row>3</xdr:row>
      <xdr:rowOff>53341</xdr:rowOff>
    </xdr:from>
    <xdr:to>
      <xdr:col>21</xdr:col>
      <xdr:colOff>4795</xdr:colOff>
      <xdr:row>3</xdr:row>
      <xdr:rowOff>654201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9892DE-8D45-B33C-16D4-59C438988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30540" y="784861"/>
          <a:ext cx="1226820" cy="600860"/>
        </a:xfrm>
        <a:prstGeom prst="rect">
          <a:avLst/>
        </a:prstGeom>
      </xdr:spPr>
    </xdr:pic>
    <xdr:clientData/>
  </xdr:twoCellAnchor>
  <xdr:twoCellAnchor>
    <xdr:from>
      <xdr:col>21</xdr:col>
      <xdr:colOff>76200</xdr:colOff>
      <xdr:row>3</xdr:row>
      <xdr:rowOff>7620</xdr:rowOff>
    </xdr:from>
    <xdr:to>
      <xdr:col>21</xdr:col>
      <xdr:colOff>1173480</xdr:colOff>
      <xdr:row>4</xdr:row>
      <xdr:rowOff>1908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827A2D-7124-181E-BE4C-5A8BB655A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41820" y="739140"/>
          <a:ext cx="1097280" cy="697167"/>
        </a:xfrm>
        <a:prstGeom prst="rect">
          <a:avLst/>
        </a:prstGeom>
      </xdr:spPr>
    </xdr:pic>
    <xdr:clientData/>
  </xdr:twoCellAnchor>
  <xdr:twoCellAnchor>
    <xdr:from>
      <xdr:col>2</xdr:col>
      <xdr:colOff>203201</xdr:colOff>
      <xdr:row>3</xdr:row>
      <xdr:rowOff>12701</xdr:rowOff>
    </xdr:from>
    <xdr:to>
      <xdr:col>2</xdr:col>
      <xdr:colOff>1098550</xdr:colOff>
      <xdr:row>3</xdr:row>
      <xdr:rowOff>685570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ED6634-0847-6249-E697-881D8FF72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57001" y="755651"/>
          <a:ext cx="895349" cy="672869"/>
        </a:xfrm>
        <a:prstGeom prst="rect">
          <a:avLst/>
        </a:prstGeom>
      </xdr:spPr>
    </xdr:pic>
    <xdr:clientData/>
  </xdr:twoCellAnchor>
  <xdr:twoCellAnchor>
    <xdr:from>
      <xdr:col>19</xdr:col>
      <xdr:colOff>177800</xdr:colOff>
      <xdr:row>3</xdr:row>
      <xdr:rowOff>12701</xdr:rowOff>
    </xdr:from>
    <xdr:to>
      <xdr:col>19</xdr:col>
      <xdr:colOff>1105501</xdr:colOff>
      <xdr:row>3</xdr:row>
      <xdr:rowOff>685800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A59F334-5208-E2BD-A071-C8C7FC586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42800" y="749301"/>
          <a:ext cx="927701" cy="673099"/>
        </a:xfrm>
        <a:prstGeom prst="rect">
          <a:avLst/>
        </a:prstGeom>
      </xdr:spPr>
    </xdr:pic>
    <xdr:clientData/>
  </xdr:twoCellAnchor>
  <xdr:twoCellAnchor>
    <xdr:from>
      <xdr:col>6</xdr:col>
      <xdr:colOff>222251</xdr:colOff>
      <xdr:row>3</xdr:row>
      <xdr:rowOff>12701</xdr:rowOff>
    </xdr:from>
    <xdr:to>
      <xdr:col>6</xdr:col>
      <xdr:colOff>1058897</xdr:colOff>
      <xdr:row>3</xdr:row>
      <xdr:rowOff>685801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6A3158-D132-277E-8B76-2D408DB9B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76151" y="749301"/>
          <a:ext cx="836646" cy="673100"/>
        </a:xfrm>
        <a:prstGeom prst="rect">
          <a:avLst/>
        </a:prstGeom>
      </xdr:spPr>
    </xdr:pic>
    <xdr:clientData/>
  </xdr:twoCellAnchor>
  <xdr:twoCellAnchor>
    <xdr:from>
      <xdr:col>10</xdr:col>
      <xdr:colOff>12701</xdr:colOff>
      <xdr:row>3</xdr:row>
      <xdr:rowOff>12700</xdr:rowOff>
    </xdr:from>
    <xdr:to>
      <xdr:col>10</xdr:col>
      <xdr:colOff>1205021</xdr:colOff>
      <xdr:row>3</xdr:row>
      <xdr:rowOff>692150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C3AA96A-D194-B479-0C3D-8916C4388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16601" y="749300"/>
          <a:ext cx="1249470" cy="679450"/>
        </a:xfrm>
        <a:prstGeom prst="rect">
          <a:avLst/>
        </a:prstGeom>
      </xdr:spPr>
    </xdr:pic>
    <xdr:clientData/>
  </xdr:twoCellAnchor>
  <xdr:twoCellAnchor>
    <xdr:from>
      <xdr:col>3</xdr:col>
      <xdr:colOff>158751</xdr:colOff>
      <xdr:row>3</xdr:row>
      <xdr:rowOff>12700</xdr:rowOff>
    </xdr:from>
    <xdr:to>
      <xdr:col>3</xdr:col>
      <xdr:colOff>1112088</xdr:colOff>
      <xdr:row>3</xdr:row>
      <xdr:rowOff>698500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C9588D2-780F-B4E0-D3D9-5B7EBD83A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782551" y="755650"/>
          <a:ext cx="953337" cy="685800"/>
        </a:xfrm>
        <a:prstGeom prst="rect">
          <a:avLst/>
        </a:prstGeom>
      </xdr:spPr>
    </xdr:pic>
    <xdr:clientData/>
  </xdr:twoCellAnchor>
  <xdr:twoCellAnchor>
    <xdr:from>
      <xdr:col>7</xdr:col>
      <xdr:colOff>166689</xdr:colOff>
      <xdr:row>3</xdr:row>
      <xdr:rowOff>7938</xdr:rowOff>
    </xdr:from>
    <xdr:to>
      <xdr:col>7</xdr:col>
      <xdr:colOff>1112413</xdr:colOff>
      <xdr:row>3</xdr:row>
      <xdr:rowOff>693738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8206234-AA69-0394-03AA-7B7641CD7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137314" y="746126"/>
          <a:ext cx="945724" cy="685800"/>
        </a:xfrm>
        <a:prstGeom prst="rect">
          <a:avLst/>
        </a:prstGeom>
      </xdr:spPr>
    </xdr:pic>
    <xdr:clientData/>
  </xdr:twoCellAnchor>
  <xdr:twoCellAnchor>
    <xdr:from>
      <xdr:col>11</xdr:col>
      <xdr:colOff>184151</xdr:colOff>
      <xdr:row>3</xdr:row>
      <xdr:rowOff>12701</xdr:rowOff>
    </xdr:from>
    <xdr:to>
      <xdr:col>11</xdr:col>
      <xdr:colOff>1081387</xdr:colOff>
      <xdr:row>3</xdr:row>
      <xdr:rowOff>692150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C3F6CAC-547C-EAC7-2F6F-6696B1702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27951" y="755651"/>
          <a:ext cx="897236" cy="679449"/>
        </a:xfrm>
        <a:prstGeom prst="rect">
          <a:avLst/>
        </a:prstGeom>
      </xdr:spPr>
    </xdr:pic>
    <xdr:clientData/>
  </xdr:twoCellAnchor>
  <xdr:twoCellAnchor>
    <xdr:from>
      <xdr:col>14</xdr:col>
      <xdr:colOff>139702</xdr:colOff>
      <xdr:row>3</xdr:row>
      <xdr:rowOff>12701</xdr:rowOff>
    </xdr:from>
    <xdr:to>
      <xdr:col>14</xdr:col>
      <xdr:colOff>1166782</xdr:colOff>
      <xdr:row>3</xdr:row>
      <xdr:rowOff>698501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710B896-42CB-132A-A894-61A8A781D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113502" y="755651"/>
          <a:ext cx="1027080" cy="685800"/>
        </a:xfrm>
        <a:prstGeom prst="rect">
          <a:avLst/>
        </a:prstGeom>
      </xdr:spPr>
    </xdr:pic>
    <xdr:clientData/>
  </xdr:twoCellAnchor>
  <xdr:twoCellAnchor>
    <xdr:from>
      <xdr:col>15</xdr:col>
      <xdr:colOff>12700</xdr:colOff>
      <xdr:row>3</xdr:row>
      <xdr:rowOff>25400</xdr:rowOff>
    </xdr:from>
    <xdr:to>
      <xdr:col>15</xdr:col>
      <xdr:colOff>1204937</xdr:colOff>
      <xdr:row>3</xdr:row>
      <xdr:rowOff>692150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E4AFCC3-0863-D71B-F4EE-B3F6C1F9F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256500" y="768350"/>
          <a:ext cx="1249387" cy="666750"/>
        </a:xfrm>
        <a:prstGeom prst="rect">
          <a:avLst/>
        </a:prstGeom>
      </xdr:spPr>
    </xdr:pic>
    <xdr:clientData/>
  </xdr:twoCellAnchor>
  <xdr:twoCellAnchor>
    <xdr:from>
      <xdr:col>4</xdr:col>
      <xdr:colOff>44450</xdr:colOff>
      <xdr:row>3</xdr:row>
      <xdr:rowOff>12700</xdr:rowOff>
    </xdr:from>
    <xdr:to>
      <xdr:col>5</xdr:col>
      <xdr:colOff>579</xdr:colOff>
      <xdr:row>3</xdr:row>
      <xdr:rowOff>692150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3833B1A-AA8A-3FE5-C6BF-C5B7B390B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318250" y="755650"/>
          <a:ext cx="1194379" cy="679450"/>
        </a:xfrm>
        <a:prstGeom prst="rect">
          <a:avLst/>
        </a:prstGeom>
      </xdr:spPr>
    </xdr:pic>
    <xdr:clientData/>
  </xdr:twoCellAnchor>
  <xdr:twoCellAnchor>
    <xdr:from>
      <xdr:col>13</xdr:col>
      <xdr:colOff>146050</xdr:colOff>
      <xdr:row>3</xdr:row>
      <xdr:rowOff>12700</xdr:rowOff>
    </xdr:from>
    <xdr:to>
      <xdr:col>13</xdr:col>
      <xdr:colOff>1111250</xdr:colOff>
      <xdr:row>3</xdr:row>
      <xdr:rowOff>699286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ED42113-8265-2FAB-B7B4-058097D99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35700" y="565150"/>
          <a:ext cx="965200" cy="686586"/>
        </a:xfrm>
        <a:prstGeom prst="rect">
          <a:avLst/>
        </a:prstGeom>
      </xdr:spPr>
    </xdr:pic>
    <xdr:clientData/>
  </xdr:twoCellAnchor>
  <xdr:twoCellAnchor editAs="oneCell">
    <xdr:from>
      <xdr:col>17</xdr:col>
      <xdr:colOff>133350</xdr:colOff>
      <xdr:row>3</xdr:row>
      <xdr:rowOff>12700</xdr:rowOff>
    </xdr:from>
    <xdr:to>
      <xdr:col>17</xdr:col>
      <xdr:colOff>1158187</xdr:colOff>
      <xdr:row>3</xdr:row>
      <xdr:rowOff>692150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F5FDBE0-7140-0135-8D1E-43F3543E6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223000" y="565150"/>
          <a:ext cx="1024837" cy="679450"/>
        </a:xfrm>
        <a:prstGeom prst="rect">
          <a:avLst/>
        </a:prstGeom>
      </xdr:spPr>
    </xdr:pic>
    <xdr:clientData/>
  </xdr:twoCellAnchor>
  <xdr:twoCellAnchor editAs="oneCell">
    <xdr:from>
      <xdr:col>16</xdr:col>
      <xdr:colOff>165100</xdr:colOff>
      <xdr:row>3</xdr:row>
      <xdr:rowOff>12700</xdr:rowOff>
    </xdr:from>
    <xdr:to>
      <xdr:col>16</xdr:col>
      <xdr:colOff>1111250</xdr:colOff>
      <xdr:row>3</xdr:row>
      <xdr:rowOff>698919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BB2F13F-E4DB-CBE6-CE91-3AAB6033A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524750" y="565150"/>
          <a:ext cx="946150" cy="686219"/>
        </a:xfrm>
        <a:prstGeom prst="rect">
          <a:avLst/>
        </a:prstGeom>
      </xdr:spPr>
    </xdr:pic>
    <xdr:clientData/>
  </xdr:twoCellAnchor>
  <xdr:twoCellAnchor>
    <xdr:from>
      <xdr:col>18</xdr:col>
      <xdr:colOff>76201</xdr:colOff>
      <xdr:row>3</xdr:row>
      <xdr:rowOff>19051</xdr:rowOff>
    </xdr:from>
    <xdr:to>
      <xdr:col>18</xdr:col>
      <xdr:colOff>1121005</xdr:colOff>
      <xdr:row>3</xdr:row>
      <xdr:rowOff>685801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A3DFDD0-33FF-858B-D031-9C22B5B17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05801" y="590551"/>
          <a:ext cx="1044804" cy="66675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Pablo Marin" id="{E80CCBB5-E84E-46AC-B970-2730B3D6D023}" userId="Pablo Marin" providerId="None"/>
  <person displayName="Pablo Marin" id="{4C311A25-91CE-4427-8CA4-B219854DD9B4}" userId="7bb354efe4256362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3" dT="2023-03-20T10:17:36.00" personId="{E80CCBB5-E84E-46AC-B970-2730B3D6D023}" id="{19C77D1F-A91A-4315-948B-DB8C1542842D}">
    <text>Considered as extra-urban (WLTP High)</text>
  </threadedComment>
  <threadedComment ref="B4" dT="2023-03-20T10:17:05.19" personId="{E80CCBB5-E84E-46AC-B970-2730B3D6D023}" id="{5B86D5CA-D76D-4B0E-9BDA-31B5CFFE97AE}">
    <text>WLTP Low (56,5 km/h)</text>
  </threadedComment>
  <threadedComment ref="B5" dT="2023-03-20T10:17:57.85" personId="{E80CCBB5-E84E-46AC-B970-2730B3D6D023}" id="{73E3BE9F-28A2-405D-B45C-5F79AA9C5DB3}">
    <text>WLTP High (97,4 km/h)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8" dT="2023-01-19T11:08:33.21" personId="{E80CCBB5-E84E-46AC-B970-2730B3D6D023}" id="{2B9A6EB7-2DE0-443F-905C-666160F8FFB5}">
    <text>WLTP Low (56,5 km/h)</text>
  </threadedComment>
  <threadedComment ref="B9" dT="2023-01-19T11:08:55.45" personId="{E80CCBB5-E84E-46AC-B970-2730B3D6D023}" id="{CB34F4D4-FF01-42CB-A0CA-2AB10BF8CD0C}">
    <text>WLTP High (97,4 km/h)</text>
  </threadedComment>
  <threadedComment ref="B12" dT="2023-01-17T16:27:34.67" personId="{E80CCBB5-E84E-46AC-B970-2730B3D6D023}" id="{482B1242-19DA-4FA2-A310-C4EFFFDCF903}">
    <text>For ICE vehicle use formula, for electric vehicle use https://ev-database.org/ Real Range - Combined - Mild Weather</text>
  </threadedComment>
  <threadedComment ref="B38" dT="2023-03-23T12:22:54.16" personId="{E80CCBB5-E84E-46AC-B970-2730B3D6D023}" id="{163BEE1F-055F-49BB-B827-6152A634E96C}">
    <text>Only EU/EFTA
Sources: check Links sheet
BPM calculated with flat-rate</text>
  </threadedComment>
  <threadedComment ref="B39" dT="2022-12-26T22:11:04.52" personId="{4C311A25-91CE-4427-8CA4-B219854DD9B4}" id="{F9CBB0DC-523C-4EBC-BDB4-5FC40B6DFCC9}">
    <text>https://www.rvo.nl/subsidies-financiering/sepp</text>
  </threadedComment>
  <threadedComment ref="B46" dT="2023-07-05T11:51:58.21" personId="{E80CCBB5-E84E-46AC-B970-2730B3D6D023}" id="{73CB7751-99E6-4537-A148-2807EC5D8AFA}">
    <text>WA+</text>
  </threadedComment>
  <threadedComment ref="B48" dT="2022-12-26T00:01:07.41" personId="{4C311A25-91CE-4427-8CA4-B219854DD9B4}" id="{93B7B2EB-1B16-4868-B359-A7BE945499E7}">
    <text>https://www.belastingdienst.nl/wps/wcm/connect/nl/auto-en-vervoer/content/hulpmiddel-motorrijtuigenbelasting-berekenen</text>
  </threadedComment>
  <threadedComment ref="B49" dT="2023-01-05T00:55:11.16" personId="{E80CCBB5-E84E-46AC-B970-2730B3D6D023}" id="{40DB1527-DD33-4AE8-8E73-8EE9919D8DE4}">
    <text>https://business.gov.nl/regulation/periodic-motor-vehicle-test-apk/</text>
  </threadedComment>
  <threadedComment ref="B50" dT="2023-02-06T10:43:55.18" personId="{E80CCBB5-E84E-46AC-B970-2730B3D6D023}" id="{0EA52372-AC07-4B46-AD4E-4FF0BE8A6B26}">
    <text>https://www.denhaag.nl/en/parking/apply-for-parking-permit/apply-for-parking-permit-for-residents.htm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marktplaats.nl/v/auto-s/smart/m1951091296-smart-fortwo-electric-drive-coupe-2015-wit-apk-13-1-2024" TargetMode="External"/><Relationship Id="rId13" Type="http://schemas.openxmlformats.org/officeDocument/2006/relationships/hyperlink" Target="https://www.hoczeeland.nl/aanbod/detail?id=2216" TargetMode="External"/><Relationship Id="rId18" Type="http://schemas.openxmlformats.org/officeDocument/2006/relationships/hyperlink" Target="https://ev-database.org/car/1145/BMW-i3-120-Ah" TargetMode="External"/><Relationship Id="rId26" Type="http://schemas.openxmlformats.org/officeDocument/2006/relationships/hyperlink" Target="https://ev-database.org/car/1708/MG-MG4-Electric-64-kWh" TargetMode="External"/><Relationship Id="rId3" Type="http://schemas.openxmlformats.org/officeDocument/2006/relationships/hyperlink" Target="https://www.autoscout24.nl/aanbod/smart-fortwo-eigen-accu-electric-drive-elektrisch-grijs-3bd998d5-079b-47ae-b13f-2211e3e574c9?sort=price&amp;desc=0&amp;lastSeenGuidPresent=true&amp;cldtidx=56&amp;position=56&amp;search_id=ndkds14l6u&amp;source_otp=t10&amp;source=listpage_search-results" TargetMode="External"/><Relationship Id="rId21" Type="http://schemas.openxmlformats.org/officeDocument/2006/relationships/hyperlink" Target="https://ev-database.org/car/1004/BMW-i3-60-Ah" TargetMode="External"/><Relationship Id="rId7" Type="http://schemas.openxmlformats.org/officeDocument/2006/relationships/hyperlink" Target="https://www.yourlease.nl/volkswagen/volkswagen-up/" TargetMode="External"/><Relationship Id="rId12" Type="http://schemas.openxmlformats.org/officeDocument/2006/relationships/hyperlink" Target="https://www.autozieleman.nl/auto-kopen/bmw/i3/bmw-i3-luxury-range-extender-22-kwh-60ah-navi-leer-camera-led/2770653/" TargetMode="External"/><Relationship Id="rId17" Type="http://schemas.openxmlformats.org/officeDocument/2006/relationships/hyperlink" Target="https://www.finn.no/car/used/ad.html?finnkode=306163115" TargetMode="External"/><Relationship Id="rId25" Type="http://schemas.openxmlformats.org/officeDocument/2006/relationships/hyperlink" Target="https://ev-database.org/car/1657/Nissan-Leaf-eplus" TargetMode="External"/><Relationship Id="rId2" Type="http://schemas.openxmlformats.org/officeDocument/2006/relationships/hyperlink" Target="https://www.autoscout24.nl/aanbod/volkswagen-polo-1-0-bluemotion-edition-executive-parkeersensoren-benzine-blauw-68103ada-b1ce-433e-aac6-f73a6c7d465b" TargetMode="External"/><Relationship Id="rId16" Type="http://schemas.openxmlformats.org/officeDocument/2006/relationships/hyperlink" Target="https://www.autoscout24.nl/aanbod/bmw-i3-range-extender-leder-navi-schuif-kanteldak-elektro-benzine-oranje-bedd4c4d-c582-4596-83d4-09ab7a437b8a?sort=price&amp;desc=0&amp;lastSeenGuidPresent=true&amp;cldtidx=1&amp;position=1&amp;search_id=jyvlmqt27e&amp;source_otp=t10&amp;source=listpage_search-results&amp;order_bucket=unknown" TargetMode="External"/><Relationship Id="rId20" Type="http://schemas.openxmlformats.org/officeDocument/2006/relationships/hyperlink" Target="https://ev-database.org/car/1004/BMW-i3-60-Ah" TargetMode="External"/><Relationship Id="rId29" Type="http://schemas.openxmlformats.org/officeDocument/2006/relationships/vmlDrawing" Target="../drawings/vmlDrawing2.vml"/><Relationship Id="rId1" Type="http://schemas.openxmlformats.org/officeDocument/2006/relationships/hyperlink" Target="https://www.volkswagen.nl/stocklocator" TargetMode="External"/><Relationship Id="rId6" Type="http://schemas.openxmlformats.org/officeDocument/2006/relationships/hyperlink" Target="https://www.cockvanburenautos.nl/Volkswagen/Polo/1.0-TGI-AC-NAVI-MULTI-STUUR-CRUISE-CONTROLE-ELEC-RAMEN-Comfortline-4966933/4451/1/2/details.aspx?zoek=&amp;mrkid=81&amp;mrk=Volkswagen&amp;mdlid=1293&amp;so=gallerij" TargetMode="External"/><Relationship Id="rId11" Type="http://schemas.openxmlformats.org/officeDocument/2006/relationships/hyperlink" Target="https://www.autotijd.nl/aanbod" TargetMode="External"/><Relationship Id="rId24" Type="http://schemas.openxmlformats.org/officeDocument/2006/relationships/hyperlink" Target="https://ev-database.org/car/1138/Tesla-Model-3-Long-Range-Dual-Motor" TargetMode="External"/><Relationship Id="rId5" Type="http://schemas.openxmlformats.org/officeDocument/2006/relationships/hyperlink" Target="https://www.autoscout24.com/offers/smart-fortwo-0-7-truestyle-gasoline-black-e437eb8c-6716-4164-9296-4a53142994d3?sort=price&amp;desc=0&amp;lastSeenGuidPresent=true&amp;cldtidx=1&amp;position=1&amp;search_id=1vv6lkvlsrv&amp;source_otp=t10&amp;source=listpage_suggested-results" TargetMode="External"/><Relationship Id="rId15" Type="http://schemas.openxmlformats.org/officeDocument/2006/relationships/hyperlink" Target="https://www.autoscout24.nl/aanbod/bmw-i3-range-extender-94ah-24-292km-elektro-benzine-wit-3dc04599-4b00-46d1-a003-c13ef5db2cf4?sort=price&amp;desc=0&amp;lastSeenGuidPresent=false&amp;cldtidx=2&amp;position=2&amp;search_id=y6jkhwj8v0&amp;source_otp=t10&amp;source=listpage_search-results&amp;order_bucket=unknown" TargetMode="External"/><Relationship Id="rId23" Type="http://schemas.openxmlformats.org/officeDocument/2006/relationships/hyperlink" Target="https://ev-database.org/car/1051/Opel-Ampera-e" TargetMode="External"/><Relationship Id="rId28" Type="http://schemas.openxmlformats.org/officeDocument/2006/relationships/drawing" Target="../drawings/drawing1.xml"/><Relationship Id="rId10" Type="http://schemas.openxmlformats.org/officeDocument/2006/relationships/hyperlink" Target="https://voorraad.autobedrijfeb.nl/sa0446b36c5d56662bf8fb788f63ea754/voorraad/stock/7866/vehicles/20/details/31682879/volkswagen-polo-1-2-tsi-90pk-comfortline-business-r/" TargetMode="External"/><Relationship Id="rId19" Type="http://schemas.openxmlformats.org/officeDocument/2006/relationships/hyperlink" Target="https://ev-database.org/car/1004/BMW-i3-60-Ah" TargetMode="External"/><Relationship Id="rId31" Type="http://schemas.microsoft.com/office/2017/10/relationships/threadedComment" Target="../threadedComments/threadedComment2.xml"/><Relationship Id="rId4" Type="http://schemas.openxmlformats.org/officeDocument/2006/relationships/hyperlink" Target="https://www.autoscout24.nl/aanbod/opel-ampera-e-launch-executive-60-kwh-stoel-stuur-verw-camera-elektrisch-grijs-148fed86-3dfd-42f7-9a60-47f00ecfe030?sort=standard&amp;desc=0&amp;lastSeenGuidPresent=true&amp;cldtidx=9&amp;position=9&amp;search_id=ud92zyhwea&amp;source_otp=t30&amp;source=listpage_search-results" TargetMode="External"/><Relationship Id="rId9" Type="http://schemas.openxmlformats.org/officeDocument/2006/relationships/hyperlink" Target="https://voorraad.autobedrijfeb.nl/sa0446b36c5d56662bf8fb788f63ea754/voorraad/stock/6244/vehicles/20/details/33032182/volkswagen-up-1-0-60pk-take-up/" TargetMode="External"/><Relationship Id="rId14" Type="http://schemas.openxmlformats.org/officeDocument/2006/relationships/hyperlink" Target="https://www.nederlandmobiel.nl/tweedehands-auto/smart/fortwo-coupe-electric-drive2000-subsidienap/16837067?auto-model-history=%5B%5D&amp;source=search&amp;merk%5b%5d=200&amp;prijs_tot=9000&amp;brandstof%5b%5d=electro&amp;p-sort=ingevoerd&amp;i=1" TargetMode="External"/><Relationship Id="rId22" Type="http://schemas.openxmlformats.org/officeDocument/2006/relationships/hyperlink" Target="https://ev-database.org/car/1068/BMW-i3-94-Ah" TargetMode="External"/><Relationship Id="rId27" Type="http://schemas.openxmlformats.org/officeDocument/2006/relationships/printerSettings" Target="../printerSettings/printerSettings2.bin"/><Relationship Id="rId30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www.belastingdienst.nl/wps/wcm/connect/bldcontentnl/belastingdienst/prive/auto_en_vervoer/belastingen_op_auto_en_motor/bpm/" TargetMode="External"/><Relationship Id="rId1" Type="http://schemas.openxmlformats.org/officeDocument/2006/relationships/hyperlink" Target="https://www.rdw.nl/en/import-export-transit/importing-a-car-from-a-eu-or-efta-country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depender.nl/" TargetMode="External"/><Relationship Id="rId13" Type="http://schemas.openxmlformats.org/officeDocument/2006/relationships/hyperlink" Target="https://www.nederlandmobiel.nl/" TargetMode="External"/><Relationship Id="rId3" Type="http://schemas.openxmlformats.org/officeDocument/2006/relationships/hyperlink" Target="https://ovi.rdw.nl/" TargetMode="External"/><Relationship Id="rId7" Type="http://schemas.openxmlformats.org/officeDocument/2006/relationships/hyperlink" Target="https://bynco.com/" TargetMode="External"/><Relationship Id="rId12" Type="http://schemas.openxmlformats.org/officeDocument/2006/relationships/hyperlink" Target="https://www.gebruikteauto.nl/" TargetMode="External"/><Relationship Id="rId17" Type="http://schemas.openxmlformats.org/officeDocument/2006/relationships/printerSettings" Target="../printerSettings/printerSettings7.bin"/><Relationship Id="rId2" Type="http://schemas.openxmlformats.org/officeDocument/2006/relationships/hyperlink" Target="https://ev-database.org/" TargetMode="External"/><Relationship Id="rId16" Type="http://schemas.openxmlformats.org/officeDocument/2006/relationships/hyperlink" Target="https://www.belastingdienst.nl/wps/wcm/connect/bldcontentnl/belastingdienst/prive/auto_en_vervoer/belastingen_op_auto_en_motor/bpm/" TargetMode="External"/><Relationship Id="rId1" Type="http://schemas.openxmlformats.org/officeDocument/2006/relationships/hyperlink" Target="https://www.rdw.nl/over-rdw/information-in-english/private/import/moving-to-the-netherlands-and-taking-your-vehicle-with-you" TargetMode="External"/><Relationship Id="rId6" Type="http://schemas.openxmlformats.org/officeDocument/2006/relationships/hyperlink" Target="https://business.gov.nl/regulation/periodic-motor-vehicle-test-apk/" TargetMode="External"/><Relationship Id="rId11" Type="http://schemas.openxmlformats.org/officeDocument/2006/relationships/hyperlink" Target="https://www.auto.nl/" TargetMode="External"/><Relationship Id="rId5" Type="http://schemas.openxmlformats.org/officeDocument/2006/relationships/hyperlink" Target="https://www.rvo.nl/subsidies-financiering/sepp" TargetMode="External"/><Relationship Id="rId15" Type="http://schemas.openxmlformats.org/officeDocument/2006/relationships/hyperlink" Target="https://www.denhaag.nl/en/parking/apply-for-parking-permit/apply-for-parking-permit-for-residents.htm" TargetMode="External"/><Relationship Id="rId10" Type="http://schemas.openxmlformats.org/officeDocument/2006/relationships/hyperlink" Target="https://www.ooyyo.com/" TargetMode="External"/><Relationship Id="rId4" Type="http://schemas.openxmlformats.org/officeDocument/2006/relationships/hyperlink" Target="https://www.belastingdienst.nl/wps/wcm/connect/nl/auto-en-vervoer/content/hulpmiddel-motorrijtuigenbelasting-berekenen" TargetMode="External"/><Relationship Id="rId9" Type="http://schemas.openxmlformats.org/officeDocument/2006/relationships/hyperlink" Target="https://www.autoscout24.nl/" TargetMode="External"/><Relationship Id="rId14" Type="http://schemas.openxmlformats.org/officeDocument/2006/relationships/hyperlink" Target="https://www.eurostocks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DAE14-7A2C-4783-8079-57B1C8C96C3A}">
  <sheetPr codeName="Sheet2"/>
  <dimension ref="B1:I15"/>
  <sheetViews>
    <sheetView showGridLines="0" tabSelected="1" zoomScaleNormal="100" workbookViewId="0">
      <selection activeCell="C3" sqref="C3"/>
    </sheetView>
  </sheetViews>
  <sheetFormatPr defaultRowHeight="14.5" x14ac:dyDescent="0.35"/>
  <cols>
    <col min="2" max="2" width="17.1796875" bestFit="1" customWidth="1"/>
    <col min="6" max="6" width="14.54296875" bestFit="1" customWidth="1"/>
  </cols>
  <sheetData>
    <row r="1" spans="2:9" ht="15" thickBot="1" x14ac:dyDescent="0.4"/>
    <row r="2" spans="2:9" ht="15" thickBot="1" x14ac:dyDescent="0.4">
      <c r="B2" s="221" t="s">
        <v>29</v>
      </c>
      <c r="C2" s="222"/>
      <c r="D2" s="223"/>
    </row>
    <row r="3" spans="2:9" x14ac:dyDescent="0.35">
      <c r="B3" s="35" t="s">
        <v>26</v>
      </c>
      <c r="C3" s="49">
        <f>22*2*1.5*30/7*10.5</f>
        <v>2969.9999999999995</v>
      </c>
      <c r="D3" s="36" t="s">
        <v>23</v>
      </c>
    </row>
    <row r="4" spans="2:9" x14ac:dyDescent="0.35">
      <c r="B4" s="31" t="s">
        <v>27</v>
      </c>
      <c r="C4" s="50">
        <f>40*12</f>
        <v>480</v>
      </c>
      <c r="D4" s="23" t="s">
        <v>23</v>
      </c>
    </row>
    <row r="5" spans="2:9" ht="15" thickBot="1" x14ac:dyDescent="0.4">
      <c r="B5" s="32" t="s">
        <v>28</v>
      </c>
      <c r="C5" s="51">
        <f>1500*3</f>
        <v>4500</v>
      </c>
      <c r="D5" s="28" t="s">
        <v>23</v>
      </c>
    </row>
    <row r="6" spans="2:9" ht="15" thickBot="1" x14ac:dyDescent="0.4">
      <c r="B6" s="33" t="s">
        <v>30</v>
      </c>
      <c r="C6" s="34">
        <f>Commuting_km+Urban_km+Extra_urban_km</f>
        <v>7950</v>
      </c>
      <c r="D6" s="29" t="s">
        <v>23</v>
      </c>
    </row>
    <row r="7" spans="2:9" ht="15" thickBot="1" x14ac:dyDescent="0.4"/>
    <row r="8" spans="2:9" ht="15" thickBot="1" x14ac:dyDescent="0.4">
      <c r="B8" s="221" t="s">
        <v>205</v>
      </c>
      <c r="C8" s="222"/>
      <c r="D8" s="223"/>
    </row>
    <row r="9" spans="2:9" ht="15" thickBot="1" x14ac:dyDescent="0.4">
      <c r="B9" s="31" t="s">
        <v>31</v>
      </c>
      <c r="C9" s="52">
        <v>1.7</v>
      </c>
      <c r="D9" s="23" t="s">
        <v>24</v>
      </c>
      <c r="F9" s="221" t="s">
        <v>65</v>
      </c>
      <c r="G9" s="222"/>
      <c r="H9" s="224"/>
      <c r="I9" s="223"/>
    </row>
    <row r="10" spans="2:9" x14ac:dyDescent="0.35">
      <c r="B10" s="30" t="s">
        <v>206</v>
      </c>
      <c r="C10" s="77">
        <v>0.15</v>
      </c>
      <c r="D10" s="22" t="s">
        <v>25</v>
      </c>
      <c r="F10" s="30" t="s">
        <v>206</v>
      </c>
      <c r="G10" s="53">
        <v>0.65</v>
      </c>
      <c r="H10" s="216">
        <f>G10*$C$6</f>
        <v>5167.5</v>
      </c>
      <c r="I10" s="22" t="s">
        <v>23</v>
      </c>
    </row>
    <row r="11" spans="2:9" ht="15" thickBot="1" x14ac:dyDescent="0.4">
      <c r="B11" s="31" t="s">
        <v>207</v>
      </c>
      <c r="C11" s="167">
        <v>0.45</v>
      </c>
      <c r="D11" s="23" t="s">
        <v>25</v>
      </c>
      <c r="F11" s="27" t="s">
        <v>207</v>
      </c>
      <c r="G11" s="217">
        <f>1-G10</f>
        <v>0.35</v>
      </c>
      <c r="H11" s="218">
        <f>G11*$C$6</f>
        <v>2782.5</v>
      </c>
      <c r="I11" s="26" t="s">
        <v>23</v>
      </c>
    </row>
    <row r="12" spans="2:9" ht="15" thickBot="1" x14ac:dyDescent="0.4">
      <c r="B12" s="164" t="s">
        <v>208</v>
      </c>
      <c r="C12" s="165">
        <v>0</v>
      </c>
      <c r="D12" s="166" t="s">
        <v>25</v>
      </c>
    </row>
    <row r="13" spans="2:9" ht="15" thickBot="1" x14ac:dyDescent="0.4"/>
    <row r="14" spans="2:9" ht="15" thickBot="1" x14ac:dyDescent="0.4">
      <c r="B14" s="225" t="s">
        <v>47</v>
      </c>
      <c r="C14" s="226"/>
      <c r="D14" s="227"/>
    </row>
    <row r="15" spans="2:9" ht="15" thickBot="1" x14ac:dyDescent="0.4">
      <c r="B15" s="220" t="s">
        <v>217</v>
      </c>
      <c r="C15" s="204">
        <v>90</v>
      </c>
      <c r="D15" s="205" t="s">
        <v>218</v>
      </c>
    </row>
  </sheetData>
  <sheetProtection sheet="1" objects="1" scenarios="1" selectLockedCells="1"/>
  <mergeCells count="4">
    <mergeCell ref="B2:D2"/>
    <mergeCell ref="B8:D8"/>
    <mergeCell ref="F9:I9"/>
    <mergeCell ref="B14:D14"/>
  </mergeCells>
  <pageMargins left="0.7" right="0.7" top="0.75" bottom="0.75" header="0.3" footer="0.3"/>
  <pageSetup paperSize="9" orientation="portrait" r:id="rId1"/>
  <ignoredErrors>
    <ignoredError sqref="H10:H11 G11 C3:C5" unlockedFormula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39218-BD72-4916-B529-E06C5AE5279D}">
  <sheetPr codeName="Sheet3"/>
  <dimension ref="A1:X60"/>
  <sheetViews>
    <sheetView showGridLines="0" zoomScaleNormal="100" workbookViewId="0">
      <pane xSplit="2" ySplit="2" topLeftCell="C3" activePane="bottomRight" state="frozen"/>
      <selection pane="topRight" activeCell="C1" sqref="C1"/>
      <selection pane="bottomLeft" activeCell="A4" sqref="A4"/>
      <selection pane="bottomRight" sqref="A1:A2"/>
    </sheetView>
  </sheetViews>
  <sheetFormatPr defaultColWidth="8.81640625" defaultRowHeight="14.5" x14ac:dyDescent="0.35"/>
  <cols>
    <col min="1" max="1" width="18.81640625" style="76" bestFit="1" customWidth="1"/>
    <col min="2" max="2" width="32" style="76" customWidth="1"/>
    <col min="3" max="24" width="18.1796875" style="76" customWidth="1"/>
    <col min="25" max="16384" width="8.81640625" style="76"/>
  </cols>
  <sheetData>
    <row r="1" spans="1:24" x14ac:dyDescent="0.35">
      <c r="A1" s="228" t="s">
        <v>4</v>
      </c>
      <c r="B1" s="135" t="s">
        <v>2</v>
      </c>
      <c r="C1" s="159" t="s">
        <v>99</v>
      </c>
      <c r="D1" s="138" t="s">
        <v>99</v>
      </c>
      <c r="E1" s="162" t="s">
        <v>99</v>
      </c>
      <c r="F1" s="138" t="s">
        <v>99</v>
      </c>
      <c r="G1" s="138" t="s">
        <v>99</v>
      </c>
      <c r="H1" s="137" t="s">
        <v>168</v>
      </c>
      <c r="I1" s="162" t="s">
        <v>168</v>
      </c>
      <c r="J1" s="137" t="s">
        <v>68</v>
      </c>
      <c r="K1" s="137" t="s">
        <v>68</v>
      </c>
      <c r="L1" s="137" t="s">
        <v>68</v>
      </c>
      <c r="M1" s="136" t="s">
        <v>68</v>
      </c>
      <c r="N1" s="138" t="s">
        <v>221</v>
      </c>
      <c r="O1" s="138" t="s">
        <v>182</v>
      </c>
      <c r="P1" s="138" t="s">
        <v>182</v>
      </c>
      <c r="Q1" s="138" t="s">
        <v>182</v>
      </c>
      <c r="R1" s="138" t="s">
        <v>182</v>
      </c>
      <c r="S1" s="138" t="s">
        <v>182</v>
      </c>
      <c r="T1" s="138" t="s">
        <v>100</v>
      </c>
      <c r="U1" s="137" t="s">
        <v>59</v>
      </c>
      <c r="V1" s="137" t="s">
        <v>8</v>
      </c>
      <c r="W1" s="137" t="s">
        <v>90</v>
      </c>
      <c r="X1" s="139"/>
    </row>
    <row r="2" spans="1:24" x14ac:dyDescent="0.35">
      <c r="A2" s="229"/>
      <c r="B2" s="7" t="s">
        <v>3</v>
      </c>
      <c r="C2" s="160" t="s">
        <v>98</v>
      </c>
      <c r="D2" s="55" t="s">
        <v>98</v>
      </c>
      <c r="E2" s="54" t="s">
        <v>191</v>
      </c>
      <c r="F2" s="55" t="s">
        <v>98</v>
      </c>
      <c r="G2" s="55" t="s">
        <v>116</v>
      </c>
      <c r="H2" s="55" t="s">
        <v>174</v>
      </c>
      <c r="I2" s="54" t="s">
        <v>161</v>
      </c>
      <c r="J2" s="55"/>
      <c r="K2" s="55" t="s">
        <v>140</v>
      </c>
      <c r="L2" s="55" t="s">
        <v>175</v>
      </c>
      <c r="M2" s="54" t="s">
        <v>151</v>
      </c>
      <c r="N2" s="55" t="s">
        <v>222</v>
      </c>
      <c r="O2" s="55" t="s">
        <v>257</v>
      </c>
      <c r="P2" s="55" t="s">
        <v>257</v>
      </c>
      <c r="Q2" s="55" t="s">
        <v>231</v>
      </c>
      <c r="R2" s="55" t="s">
        <v>226</v>
      </c>
      <c r="S2" s="55" t="s">
        <v>234</v>
      </c>
      <c r="T2" s="55" t="s">
        <v>101</v>
      </c>
      <c r="U2" s="55" t="s">
        <v>87</v>
      </c>
      <c r="V2" s="55" t="s">
        <v>84</v>
      </c>
      <c r="W2" s="55" t="s">
        <v>91</v>
      </c>
      <c r="X2" s="56"/>
    </row>
    <row r="3" spans="1:24" x14ac:dyDescent="0.35">
      <c r="A3" s="229"/>
      <c r="B3" s="7" t="s">
        <v>0</v>
      </c>
      <c r="C3" s="163" t="s">
        <v>95</v>
      </c>
      <c r="D3" s="59" t="s">
        <v>167</v>
      </c>
      <c r="E3" s="57" t="s">
        <v>190</v>
      </c>
      <c r="F3" s="59" t="s">
        <v>196</v>
      </c>
      <c r="G3" s="59" t="s">
        <v>117</v>
      </c>
      <c r="H3" s="59" t="s">
        <v>172</v>
      </c>
      <c r="I3" s="134" t="s">
        <v>162</v>
      </c>
      <c r="J3" s="59" t="s">
        <v>77</v>
      </c>
      <c r="K3" s="133" t="s">
        <v>139</v>
      </c>
      <c r="L3" s="133" t="s">
        <v>176</v>
      </c>
      <c r="M3" s="57" t="s">
        <v>69</v>
      </c>
      <c r="N3" s="59"/>
      <c r="O3" s="59" t="s">
        <v>186</v>
      </c>
      <c r="P3" s="59" t="s">
        <v>188</v>
      </c>
      <c r="Q3" s="59" t="s">
        <v>233</v>
      </c>
      <c r="R3" s="59" t="s">
        <v>227</v>
      </c>
      <c r="S3" s="59" t="s">
        <v>235</v>
      </c>
      <c r="T3" s="59" t="s">
        <v>102</v>
      </c>
      <c r="U3" s="58" t="s">
        <v>148</v>
      </c>
      <c r="V3" s="58" t="s">
        <v>149</v>
      </c>
      <c r="W3" s="58" t="s">
        <v>147</v>
      </c>
      <c r="X3" s="60" t="s">
        <v>78</v>
      </c>
    </row>
    <row r="4" spans="1:24" ht="55.75" customHeight="1" thickBot="1" x14ac:dyDescent="0.4">
      <c r="A4" s="230"/>
      <c r="B4" s="1" t="s">
        <v>44</v>
      </c>
      <c r="C4" s="161"/>
      <c r="D4" s="74"/>
      <c r="E4" s="73"/>
      <c r="F4" s="74"/>
      <c r="G4" s="74"/>
      <c r="H4" s="74"/>
      <c r="I4" s="73"/>
      <c r="J4" s="74"/>
      <c r="K4" s="74"/>
      <c r="L4" s="74"/>
      <c r="M4" s="73"/>
      <c r="N4" s="74"/>
      <c r="O4" s="74"/>
      <c r="P4" s="74"/>
      <c r="Q4" s="74"/>
      <c r="R4" s="74"/>
      <c r="S4" s="74"/>
      <c r="T4" s="74"/>
      <c r="U4" s="74"/>
      <c r="V4" s="74"/>
      <c r="W4" s="74"/>
      <c r="X4" s="75"/>
    </row>
    <row r="5" spans="1:24" x14ac:dyDescent="0.35">
      <c r="A5" s="234" t="s">
        <v>5</v>
      </c>
      <c r="B5" s="2" t="s">
        <v>6</v>
      </c>
      <c r="C5" s="61" t="s">
        <v>262</v>
      </c>
      <c r="D5" s="62" t="s">
        <v>262</v>
      </c>
      <c r="E5" s="140" t="s">
        <v>262</v>
      </c>
      <c r="F5" s="62" t="s">
        <v>262</v>
      </c>
      <c r="G5" s="62" t="s">
        <v>118</v>
      </c>
      <c r="H5" s="62" t="s">
        <v>173</v>
      </c>
      <c r="I5" s="140"/>
      <c r="J5" s="62" t="s">
        <v>75</v>
      </c>
      <c r="K5" s="62" t="s">
        <v>178</v>
      </c>
      <c r="L5" s="62" t="s">
        <v>177</v>
      </c>
      <c r="M5" s="140" t="s">
        <v>73</v>
      </c>
      <c r="N5" s="62" t="s">
        <v>223</v>
      </c>
      <c r="O5" s="62" t="s">
        <v>183</v>
      </c>
      <c r="P5" s="62" t="s">
        <v>183</v>
      </c>
      <c r="Q5" s="62" t="s">
        <v>183</v>
      </c>
      <c r="R5" s="62" t="s">
        <v>183</v>
      </c>
      <c r="S5" s="62" t="s">
        <v>183</v>
      </c>
      <c r="T5" s="62"/>
      <c r="U5" s="62" t="s">
        <v>86</v>
      </c>
      <c r="V5" s="62" t="s">
        <v>80</v>
      </c>
      <c r="W5" s="62" t="s">
        <v>138</v>
      </c>
      <c r="X5" s="63"/>
    </row>
    <row r="6" spans="1:24" x14ac:dyDescent="0.35">
      <c r="A6" s="235"/>
      <c r="B6" s="3" t="s">
        <v>7</v>
      </c>
      <c r="C6" s="64" t="s">
        <v>81</v>
      </c>
      <c r="D6" s="65" t="s">
        <v>81</v>
      </c>
      <c r="E6" s="141" t="s">
        <v>81</v>
      </c>
      <c r="F6" s="65" t="s">
        <v>81</v>
      </c>
      <c r="G6" s="65" t="s">
        <v>119</v>
      </c>
      <c r="H6" s="65" t="s">
        <v>43</v>
      </c>
      <c r="I6" s="141" t="s">
        <v>43</v>
      </c>
      <c r="J6" s="65" t="s">
        <v>43</v>
      </c>
      <c r="K6" s="65" t="s">
        <v>43</v>
      </c>
      <c r="L6" s="65" t="s">
        <v>43</v>
      </c>
      <c r="M6" s="141" t="s">
        <v>43</v>
      </c>
      <c r="N6" s="65" t="s">
        <v>119</v>
      </c>
      <c r="O6" s="65" t="s">
        <v>81</v>
      </c>
      <c r="P6" s="65" t="s">
        <v>81</v>
      </c>
      <c r="Q6" s="65" t="s">
        <v>81</v>
      </c>
      <c r="R6" s="65" t="s">
        <v>81</v>
      </c>
      <c r="S6" s="65" t="s">
        <v>81</v>
      </c>
      <c r="T6" s="65" t="s">
        <v>81</v>
      </c>
      <c r="U6" s="65" t="s">
        <v>81</v>
      </c>
      <c r="V6" s="65" t="s">
        <v>81</v>
      </c>
      <c r="W6" s="65" t="s">
        <v>81</v>
      </c>
      <c r="X6" s="66"/>
    </row>
    <row r="7" spans="1:24" x14ac:dyDescent="0.35">
      <c r="A7" s="231" t="s">
        <v>216</v>
      </c>
      <c r="B7" s="113" t="s">
        <v>1</v>
      </c>
      <c r="C7" s="114" t="s">
        <v>9</v>
      </c>
      <c r="D7" s="115" t="s">
        <v>9</v>
      </c>
      <c r="E7" s="142" t="s">
        <v>9</v>
      </c>
      <c r="F7" s="115" t="s">
        <v>9</v>
      </c>
      <c r="G7" s="115" t="s">
        <v>31</v>
      </c>
      <c r="H7" s="115" t="s">
        <v>31</v>
      </c>
      <c r="I7" s="142" t="s">
        <v>31</v>
      </c>
      <c r="J7" s="115" t="s">
        <v>31</v>
      </c>
      <c r="K7" s="115" t="s">
        <v>31</v>
      </c>
      <c r="L7" s="115" t="s">
        <v>31</v>
      </c>
      <c r="M7" s="142" t="s">
        <v>31</v>
      </c>
      <c r="N7" s="115" t="s">
        <v>114</v>
      </c>
      <c r="O7" s="115" t="s">
        <v>9</v>
      </c>
      <c r="P7" s="115" t="s">
        <v>9</v>
      </c>
      <c r="Q7" s="115" t="s">
        <v>9</v>
      </c>
      <c r="R7" s="115" t="s">
        <v>9</v>
      </c>
      <c r="S7" s="115" t="s">
        <v>9</v>
      </c>
      <c r="T7" s="115" t="s">
        <v>9</v>
      </c>
      <c r="U7" s="115" t="s">
        <v>9</v>
      </c>
      <c r="V7" s="115" t="s">
        <v>9</v>
      </c>
      <c r="W7" s="115" t="s">
        <v>9</v>
      </c>
      <c r="X7" s="116"/>
    </row>
    <row r="8" spans="1:24" x14ac:dyDescent="0.35">
      <c r="A8" s="232"/>
      <c r="B8" s="113" t="s">
        <v>61</v>
      </c>
      <c r="C8" s="114">
        <v>160</v>
      </c>
      <c r="D8" s="115">
        <v>160</v>
      </c>
      <c r="E8" s="142">
        <v>160</v>
      </c>
      <c r="F8" s="115">
        <v>160</v>
      </c>
      <c r="G8" s="115">
        <v>6</v>
      </c>
      <c r="H8" s="115">
        <v>4.9000000000000004</v>
      </c>
      <c r="I8" s="142">
        <v>4.9000000000000004</v>
      </c>
      <c r="J8" s="115">
        <v>5</v>
      </c>
      <c r="K8" s="115">
        <v>5.3</v>
      </c>
      <c r="L8" s="115">
        <v>5.9</v>
      </c>
      <c r="M8" s="142">
        <v>6.7</v>
      </c>
      <c r="N8" s="115">
        <v>6</v>
      </c>
      <c r="O8" s="115">
        <v>110</v>
      </c>
      <c r="P8" s="115">
        <v>110</v>
      </c>
      <c r="Q8" s="115">
        <v>110</v>
      </c>
      <c r="R8" s="115">
        <v>105</v>
      </c>
      <c r="S8" s="115">
        <v>105</v>
      </c>
      <c r="T8" s="115">
        <v>173</v>
      </c>
      <c r="U8" s="115">
        <v>190</v>
      </c>
      <c r="V8" s="115">
        <v>180</v>
      </c>
      <c r="W8" s="115">
        <v>155</v>
      </c>
      <c r="X8" s="116"/>
    </row>
    <row r="9" spans="1:24" x14ac:dyDescent="0.35">
      <c r="A9" s="232"/>
      <c r="B9" s="113" t="s">
        <v>62</v>
      </c>
      <c r="C9" s="114">
        <v>160</v>
      </c>
      <c r="D9" s="115">
        <v>160</v>
      </c>
      <c r="E9" s="142">
        <v>160</v>
      </c>
      <c r="F9" s="115">
        <v>160</v>
      </c>
      <c r="G9" s="115">
        <v>4</v>
      </c>
      <c r="H9" s="115">
        <v>3.7</v>
      </c>
      <c r="I9" s="142">
        <v>3.7</v>
      </c>
      <c r="J9" s="115">
        <v>3.6</v>
      </c>
      <c r="K9" s="115">
        <v>4.0999999999999996</v>
      </c>
      <c r="L9" s="115">
        <v>4</v>
      </c>
      <c r="M9" s="142">
        <v>4.4000000000000004</v>
      </c>
      <c r="N9" s="115">
        <v>6</v>
      </c>
      <c r="O9" s="115">
        <v>185</v>
      </c>
      <c r="P9" s="115">
        <v>185</v>
      </c>
      <c r="Q9" s="115">
        <v>185</v>
      </c>
      <c r="R9" s="115">
        <v>179</v>
      </c>
      <c r="S9" s="115">
        <v>176</v>
      </c>
      <c r="T9" s="115">
        <v>173</v>
      </c>
      <c r="U9" s="115">
        <v>200</v>
      </c>
      <c r="V9" s="115">
        <v>230</v>
      </c>
      <c r="W9" s="115">
        <v>155</v>
      </c>
      <c r="X9" s="116"/>
    </row>
    <row r="10" spans="1:24" x14ac:dyDescent="0.35">
      <c r="A10" s="232"/>
      <c r="B10" s="113" t="s">
        <v>33</v>
      </c>
      <c r="C10" s="117">
        <v>0</v>
      </c>
      <c r="D10" s="118">
        <v>0</v>
      </c>
      <c r="E10" s="120">
        <v>0</v>
      </c>
      <c r="F10" s="118">
        <v>0</v>
      </c>
      <c r="G10" s="118">
        <v>113</v>
      </c>
      <c r="H10" s="118"/>
      <c r="I10" s="120"/>
      <c r="J10" s="118">
        <v>94</v>
      </c>
      <c r="K10" s="118">
        <v>110</v>
      </c>
      <c r="L10" s="118">
        <v>105</v>
      </c>
      <c r="M10" s="120">
        <v>129</v>
      </c>
      <c r="N10" s="118">
        <v>35</v>
      </c>
      <c r="O10" s="118">
        <v>13</v>
      </c>
      <c r="P10" s="118">
        <v>13</v>
      </c>
      <c r="Q10" s="118">
        <v>13</v>
      </c>
      <c r="R10" s="118">
        <v>12</v>
      </c>
      <c r="S10" s="118">
        <v>0</v>
      </c>
      <c r="T10" s="118">
        <v>0</v>
      </c>
      <c r="U10" s="118">
        <v>0</v>
      </c>
      <c r="V10" s="118">
        <v>0</v>
      </c>
      <c r="W10" s="118">
        <v>0</v>
      </c>
      <c r="X10" s="119"/>
    </row>
    <row r="11" spans="1:24" x14ac:dyDescent="0.35">
      <c r="A11" s="232"/>
      <c r="B11" s="113" t="s">
        <v>11</v>
      </c>
      <c r="C11" s="117">
        <v>17.600000000000001</v>
      </c>
      <c r="D11" s="118">
        <v>17.600000000000001</v>
      </c>
      <c r="E11" s="120">
        <v>17.600000000000001</v>
      </c>
      <c r="F11" s="118">
        <v>17.600000000000001</v>
      </c>
      <c r="G11" s="118">
        <v>33</v>
      </c>
      <c r="H11" s="118">
        <v>35</v>
      </c>
      <c r="I11" s="120">
        <v>35</v>
      </c>
      <c r="J11" s="118">
        <v>40</v>
      </c>
      <c r="K11" s="118">
        <v>40</v>
      </c>
      <c r="L11" s="118">
        <v>45</v>
      </c>
      <c r="M11" s="120">
        <v>40</v>
      </c>
      <c r="N11" s="118" t="s">
        <v>224</v>
      </c>
      <c r="O11" s="118" t="s">
        <v>263</v>
      </c>
      <c r="P11" s="118" t="s">
        <v>263</v>
      </c>
      <c r="Q11" s="118" t="s">
        <v>263</v>
      </c>
      <c r="R11" s="118" t="s">
        <v>264</v>
      </c>
      <c r="S11" s="118">
        <v>37.9</v>
      </c>
      <c r="T11" s="118">
        <v>60</v>
      </c>
      <c r="U11" s="118">
        <v>64</v>
      </c>
      <c r="V11" s="118">
        <v>62</v>
      </c>
      <c r="W11" s="118">
        <v>82</v>
      </c>
      <c r="X11" s="119"/>
    </row>
    <row r="12" spans="1:24" x14ac:dyDescent="0.35">
      <c r="A12" s="232"/>
      <c r="B12" s="113" t="s">
        <v>12</v>
      </c>
      <c r="C12" s="117">
        <v>145</v>
      </c>
      <c r="D12" s="118">
        <v>145</v>
      </c>
      <c r="E12" s="120">
        <v>145</v>
      </c>
      <c r="F12" s="120">
        <v>145</v>
      </c>
      <c r="G12" s="120">
        <f t="shared" ref="G12:M12" si="0">IFERROR(IF(G7="Electric","Check online",G11/(G9/100)),"")</f>
        <v>825</v>
      </c>
      <c r="H12" s="120">
        <f t="shared" si="0"/>
        <v>945.94594594594582</v>
      </c>
      <c r="I12" s="120">
        <f t="shared" si="0"/>
        <v>945.94594594594582</v>
      </c>
      <c r="J12" s="120">
        <f t="shared" si="0"/>
        <v>1111.1111111111111</v>
      </c>
      <c r="K12" s="120">
        <f t="shared" si="0"/>
        <v>975.6097560975611</v>
      </c>
      <c r="L12" s="120">
        <f t="shared" si="0"/>
        <v>1125</v>
      </c>
      <c r="M12" s="120">
        <f t="shared" si="0"/>
        <v>909.09090909090901</v>
      </c>
      <c r="N12" s="120"/>
      <c r="O12" s="120">
        <v>200</v>
      </c>
      <c r="P12" s="120">
        <v>200</v>
      </c>
      <c r="Q12" s="120">
        <v>200</v>
      </c>
      <c r="R12" s="120">
        <v>250</v>
      </c>
      <c r="S12" s="120">
        <v>215</v>
      </c>
      <c r="T12" s="120">
        <v>305</v>
      </c>
      <c r="U12" s="120">
        <v>335</v>
      </c>
      <c r="V12" s="120">
        <v>310</v>
      </c>
      <c r="W12" s="120">
        <v>460</v>
      </c>
      <c r="X12" s="121" t="str">
        <f>IFERROR(IF(X7="Electric","Check online",X11/(X9/100)),"")</f>
        <v/>
      </c>
    </row>
    <row r="13" spans="1:24" x14ac:dyDescent="0.35">
      <c r="A13" s="236"/>
      <c r="B13" s="113" t="s">
        <v>60</v>
      </c>
      <c r="C13" s="117">
        <v>22</v>
      </c>
      <c r="D13" s="118">
        <v>22</v>
      </c>
      <c r="E13" s="120">
        <v>22</v>
      </c>
      <c r="F13" s="120">
        <v>22</v>
      </c>
      <c r="G13" s="120"/>
      <c r="H13" s="120"/>
      <c r="I13" s="120"/>
      <c r="J13" s="120"/>
      <c r="K13" s="120"/>
      <c r="L13" s="120"/>
      <c r="M13" s="120"/>
      <c r="N13" s="120">
        <v>3</v>
      </c>
      <c r="O13" s="120">
        <v>47</v>
      </c>
      <c r="P13" s="120">
        <v>47</v>
      </c>
      <c r="Q13" s="120">
        <v>47</v>
      </c>
      <c r="R13" s="120">
        <v>49</v>
      </c>
      <c r="S13" s="120">
        <v>49</v>
      </c>
      <c r="T13" s="120">
        <v>46</v>
      </c>
      <c r="U13" s="120">
        <v>135</v>
      </c>
      <c r="V13" s="120">
        <v>100</v>
      </c>
      <c r="W13" s="120">
        <v>250</v>
      </c>
      <c r="X13" s="121"/>
    </row>
    <row r="14" spans="1:24" x14ac:dyDescent="0.35">
      <c r="A14" s="237" t="s">
        <v>157</v>
      </c>
      <c r="B14" s="3" t="s">
        <v>58</v>
      </c>
      <c r="C14" s="64"/>
      <c r="D14" s="65"/>
      <c r="E14" s="141"/>
      <c r="F14" s="65"/>
      <c r="G14" s="65"/>
      <c r="H14" s="65"/>
      <c r="I14" s="141"/>
      <c r="J14" s="65"/>
      <c r="K14" s="65"/>
      <c r="L14" s="65"/>
      <c r="M14" s="141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6"/>
    </row>
    <row r="15" spans="1:24" x14ac:dyDescent="0.35">
      <c r="A15" s="234"/>
      <c r="B15" s="3" t="s">
        <v>41</v>
      </c>
      <c r="C15" s="67"/>
      <c r="D15" s="68"/>
      <c r="E15" s="143"/>
      <c r="F15" s="68"/>
      <c r="G15" s="68"/>
      <c r="H15" s="68"/>
      <c r="I15" s="143"/>
      <c r="J15" s="68"/>
      <c r="K15" s="68"/>
      <c r="L15" s="68"/>
      <c r="M15" s="143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9"/>
    </row>
    <row r="16" spans="1:24" x14ac:dyDescent="0.35">
      <c r="A16" s="235"/>
      <c r="B16" s="3" t="s">
        <v>16</v>
      </c>
      <c r="C16" s="64"/>
      <c r="D16" s="65"/>
      <c r="E16" s="141"/>
      <c r="F16" s="65"/>
      <c r="G16" s="65"/>
      <c r="H16" s="65"/>
      <c r="I16" s="141"/>
      <c r="J16" s="65"/>
      <c r="K16" s="65"/>
      <c r="L16" s="65"/>
      <c r="M16" s="141"/>
      <c r="N16" s="65"/>
      <c r="O16" s="65" t="s">
        <v>265</v>
      </c>
      <c r="P16" s="65" t="s">
        <v>265</v>
      </c>
      <c r="Q16" s="65" t="s">
        <v>265</v>
      </c>
      <c r="R16" s="65" t="s">
        <v>265</v>
      </c>
      <c r="S16" s="65"/>
      <c r="T16" s="65"/>
      <c r="U16" s="65"/>
      <c r="V16" s="65"/>
      <c r="W16" s="65"/>
      <c r="X16" s="66"/>
    </row>
    <row r="17" spans="1:24" x14ac:dyDescent="0.35">
      <c r="A17" s="231" t="s">
        <v>156</v>
      </c>
      <c r="B17" s="113" t="s">
        <v>15</v>
      </c>
      <c r="C17" s="114" t="s">
        <v>96</v>
      </c>
      <c r="D17" s="115" t="s">
        <v>96</v>
      </c>
      <c r="E17" s="142" t="s">
        <v>96</v>
      </c>
      <c r="F17" s="115" t="s">
        <v>96</v>
      </c>
      <c r="G17" s="115" t="s">
        <v>96</v>
      </c>
      <c r="H17" s="115" t="s">
        <v>96</v>
      </c>
      <c r="I17" s="142" t="s">
        <v>96</v>
      </c>
      <c r="J17" s="115" t="s">
        <v>32</v>
      </c>
      <c r="K17" s="115" t="s">
        <v>32</v>
      </c>
      <c r="L17" s="115"/>
      <c r="M17" s="142" t="s">
        <v>32</v>
      </c>
      <c r="N17" s="115"/>
      <c r="O17" s="115" t="s">
        <v>32</v>
      </c>
      <c r="P17" s="115" t="s">
        <v>32</v>
      </c>
      <c r="Q17" s="115" t="s">
        <v>32</v>
      </c>
      <c r="R17" s="115" t="s">
        <v>184</v>
      </c>
      <c r="S17" s="115" t="s">
        <v>32</v>
      </c>
      <c r="T17" s="115"/>
      <c r="U17" s="115"/>
      <c r="V17" s="115" t="s">
        <v>32</v>
      </c>
      <c r="W17" s="115" t="s">
        <v>32</v>
      </c>
      <c r="X17" s="116"/>
    </row>
    <row r="18" spans="1:24" x14ac:dyDescent="0.35">
      <c r="A18" s="236"/>
      <c r="B18" s="113" t="s">
        <v>16</v>
      </c>
      <c r="C18" s="114"/>
      <c r="D18" s="115"/>
      <c r="E18" s="142"/>
      <c r="F18" s="115"/>
      <c r="G18" s="115"/>
      <c r="H18" s="115"/>
      <c r="I18" s="142"/>
      <c r="J18" s="115"/>
      <c r="K18" s="115" t="s">
        <v>146</v>
      </c>
      <c r="L18" s="115"/>
      <c r="M18" s="142" t="s">
        <v>71</v>
      </c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6"/>
    </row>
    <row r="19" spans="1:24" x14ac:dyDescent="0.35">
      <c r="A19" s="237" t="s">
        <v>158</v>
      </c>
      <c r="B19" s="3" t="s">
        <v>34</v>
      </c>
      <c r="C19" s="64" t="s">
        <v>96</v>
      </c>
      <c r="D19" s="65" t="s">
        <v>96</v>
      </c>
      <c r="E19" s="141" t="s">
        <v>96</v>
      </c>
      <c r="F19" s="65" t="s">
        <v>96</v>
      </c>
      <c r="G19" s="65" t="s">
        <v>96</v>
      </c>
      <c r="H19" s="65" t="s">
        <v>171</v>
      </c>
      <c r="I19" s="141"/>
      <c r="J19" s="65"/>
      <c r="K19" s="65"/>
      <c r="L19" s="65"/>
      <c r="M19" s="141"/>
      <c r="N19" s="65"/>
      <c r="O19" s="65" t="s">
        <v>228</v>
      </c>
      <c r="P19" s="65" t="s">
        <v>228</v>
      </c>
      <c r="Q19" s="65" t="s">
        <v>228</v>
      </c>
      <c r="R19" s="65" t="s">
        <v>229</v>
      </c>
      <c r="S19" s="65" t="s">
        <v>229</v>
      </c>
      <c r="T19" s="65"/>
      <c r="U19" s="65" t="s">
        <v>141</v>
      </c>
      <c r="V19" s="65" t="s">
        <v>82</v>
      </c>
      <c r="W19" s="65"/>
      <c r="X19" s="66"/>
    </row>
    <row r="20" spans="1:24" x14ac:dyDescent="0.35">
      <c r="A20" s="234"/>
      <c r="B20" s="3" t="s">
        <v>17</v>
      </c>
      <c r="C20" s="64" t="s">
        <v>96</v>
      </c>
      <c r="D20" s="65" t="s">
        <v>96</v>
      </c>
      <c r="E20" s="141" t="s">
        <v>96</v>
      </c>
      <c r="F20" s="65" t="s">
        <v>96</v>
      </c>
      <c r="G20" s="65"/>
      <c r="H20" s="65" t="s">
        <v>96</v>
      </c>
      <c r="I20" s="141" t="s">
        <v>96</v>
      </c>
      <c r="J20" s="65" t="s">
        <v>32</v>
      </c>
      <c r="K20" s="65"/>
      <c r="L20" s="65"/>
      <c r="M20" s="141" t="s">
        <v>32</v>
      </c>
      <c r="N20" s="65"/>
      <c r="O20" s="65"/>
      <c r="P20" s="65"/>
      <c r="Q20" s="65"/>
      <c r="R20" s="65"/>
      <c r="S20" s="65" t="s">
        <v>32</v>
      </c>
      <c r="T20" s="65"/>
      <c r="U20" s="65"/>
      <c r="V20" s="65"/>
      <c r="W20" s="65"/>
      <c r="X20" s="66"/>
    </row>
    <row r="21" spans="1:24" x14ac:dyDescent="0.35">
      <c r="A21" s="231" t="s">
        <v>13</v>
      </c>
      <c r="B21" s="113" t="s">
        <v>20</v>
      </c>
      <c r="C21" s="114" t="s">
        <v>96</v>
      </c>
      <c r="D21" s="115" t="s">
        <v>96</v>
      </c>
      <c r="E21" s="142" t="s">
        <v>96</v>
      </c>
      <c r="F21" s="115" t="s">
        <v>96</v>
      </c>
      <c r="G21" s="115" t="s">
        <v>96</v>
      </c>
      <c r="H21" s="115" t="s">
        <v>96</v>
      </c>
      <c r="I21" s="142" t="s">
        <v>96</v>
      </c>
      <c r="J21" s="115"/>
      <c r="K21" s="115" t="s">
        <v>96</v>
      </c>
      <c r="L21" s="115" t="s">
        <v>32</v>
      </c>
      <c r="M21" s="142"/>
      <c r="N21" s="115"/>
      <c r="O21" s="115" t="s">
        <v>103</v>
      </c>
      <c r="P21" s="115" t="s">
        <v>103</v>
      </c>
      <c r="Q21" s="115" t="s">
        <v>103</v>
      </c>
      <c r="R21" s="115" t="s">
        <v>103</v>
      </c>
      <c r="S21" s="115" t="s">
        <v>103</v>
      </c>
      <c r="T21" s="115" t="s">
        <v>103</v>
      </c>
      <c r="U21" s="115"/>
      <c r="V21" s="115" t="s">
        <v>83</v>
      </c>
      <c r="W21" s="115" t="s">
        <v>83</v>
      </c>
      <c r="X21" s="116"/>
    </row>
    <row r="22" spans="1:24" x14ac:dyDescent="0.35">
      <c r="A22" s="232"/>
      <c r="B22" s="113" t="s">
        <v>19</v>
      </c>
      <c r="C22" s="114" t="s">
        <v>96</v>
      </c>
      <c r="D22" s="115" t="s">
        <v>96</v>
      </c>
      <c r="E22" s="142" t="s">
        <v>96</v>
      </c>
      <c r="F22" s="115" t="s">
        <v>96</v>
      </c>
      <c r="G22" s="115" t="s">
        <v>96</v>
      </c>
      <c r="H22" s="115" t="s">
        <v>32</v>
      </c>
      <c r="I22" s="142" t="s">
        <v>32</v>
      </c>
      <c r="J22" s="115"/>
      <c r="K22" s="115"/>
      <c r="L22" s="115" t="s">
        <v>96</v>
      </c>
      <c r="M22" s="142" t="s">
        <v>32</v>
      </c>
      <c r="N22" s="115"/>
      <c r="O22" s="115" t="s">
        <v>32</v>
      </c>
      <c r="P22" s="115" t="s">
        <v>32</v>
      </c>
      <c r="Q22" s="115" t="s">
        <v>32</v>
      </c>
      <c r="R22" s="115" t="s">
        <v>32</v>
      </c>
      <c r="S22" s="115" t="s">
        <v>32</v>
      </c>
      <c r="T22" s="115" t="s">
        <v>32</v>
      </c>
      <c r="U22" s="115"/>
      <c r="V22" s="115" t="s">
        <v>32</v>
      </c>
      <c r="W22" s="115" t="s">
        <v>32</v>
      </c>
      <c r="X22" s="116"/>
    </row>
    <row r="23" spans="1:24" x14ac:dyDescent="0.35">
      <c r="A23" s="232"/>
      <c r="B23" s="113" t="s">
        <v>18</v>
      </c>
      <c r="C23" s="114" t="s">
        <v>96</v>
      </c>
      <c r="D23" s="115" t="s">
        <v>96</v>
      </c>
      <c r="E23" s="142" t="s">
        <v>96</v>
      </c>
      <c r="F23" s="115" t="s">
        <v>96</v>
      </c>
      <c r="G23" s="115" t="s">
        <v>96</v>
      </c>
      <c r="H23" s="115" t="s">
        <v>96</v>
      </c>
      <c r="I23" s="142" t="s">
        <v>96</v>
      </c>
      <c r="J23" s="115"/>
      <c r="K23" s="115" t="s">
        <v>96</v>
      </c>
      <c r="L23" s="115" t="s">
        <v>96</v>
      </c>
      <c r="M23" s="142"/>
      <c r="N23" s="115"/>
      <c r="O23" s="115" t="s">
        <v>32</v>
      </c>
      <c r="P23" s="115" t="s">
        <v>32</v>
      </c>
      <c r="Q23" s="115" t="s">
        <v>32</v>
      </c>
      <c r="R23" s="115" t="s">
        <v>32</v>
      </c>
      <c r="S23" s="115" t="s">
        <v>32</v>
      </c>
      <c r="T23" s="115" t="s">
        <v>32</v>
      </c>
      <c r="U23" s="115"/>
      <c r="V23" s="115" t="s">
        <v>32</v>
      </c>
      <c r="W23" s="115" t="s">
        <v>32</v>
      </c>
      <c r="X23" s="116"/>
    </row>
    <row r="24" spans="1:24" x14ac:dyDescent="0.35">
      <c r="A24" s="232"/>
      <c r="B24" s="113" t="s">
        <v>144</v>
      </c>
      <c r="C24" s="114" t="s">
        <v>32</v>
      </c>
      <c r="D24" s="115" t="s">
        <v>32</v>
      </c>
      <c r="E24" s="142" t="s">
        <v>32</v>
      </c>
      <c r="F24" s="115" t="s">
        <v>32</v>
      </c>
      <c r="G24" s="115" t="s">
        <v>32</v>
      </c>
      <c r="H24" s="115" t="s">
        <v>96</v>
      </c>
      <c r="I24" s="142" t="s">
        <v>96</v>
      </c>
      <c r="J24" s="115"/>
      <c r="K24" s="115" t="s">
        <v>96</v>
      </c>
      <c r="L24" s="115" t="s">
        <v>96</v>
      </c>
      <c r="M24" s="142" t="s">
        <v>96</v>
      </c>
      <c r="N24" s="115"/>
      <c r="O24" s="115" t="s">
        <v>32</v>
      </c>
      <c r="P24" s="115" t="s">
        <v>32</v>
      </c>
      <c r="Q24" s="115" t="s">
        <v>32</v>
      </c>
      <c r="R24" s="115" t="s">
        <v>32</v>
      </c>
      <c r="S24" s="115" t="s">
        <v>32</v>
      </c>
      <c r="T24" s="115"/>
      <c r="U24" s="115"/>
      <c r="V24" s="115" t="s">
        <v>32</v>
      </c>
      <c r="W24" s="115" t="s">
        <v>145</v>
      </c>
      <c r="X24" s="116"/>
    </row>
    <row r="25" spans="1:24" x14ac:dyDescent="0.35">
      <c r="A25" s="232"/>
      <c r="B25" s="113" t="s">
        <v>14</v>
      </c>
      <c r="C25" s="114" t="s">
        <v>96</v>
      </c>
      <c r="D25" s="115" t="s">
        <v>96</v>
      </c>
      <c r="E25" s="142" t="s">
        <v>96</v>
      </c>
      <c r="F25" s="115" t="s">
        <v>96</v>
      </c>
      <c r="G25" s="115" t="s">
        <v>96</v>
      </c>
      <c r="H25" s="115" t="s">
        <v>96</v>
      </c>
      <c r="I25" s="142" t="s">
        <v>96</v>
      </c>
      <c r="J25" s="115"/>
      <c r="K25" s="115" t="s">
        <v>96</v>
      </c>
      <c r="L25" s="115" t="s">
        <v>96</v>
      </c>
      <c r="M25" s="142"/>
      <c r="N25" s="115"/>
      <c r="O25" s="115" t="s">
        <v>96</v>
      </c>
      <c r="P25" s="115" t="s">
        <v>96</v>
      </c>
      <c r="Q25" s="115" t="s">
        <v>96</v>
      </c>
      <c r="R25" s="115" t="s">
        <v>96</v>
      </c>
      <c r="S25" s="115" t="s">
        <v>32</v>
      </c>
      <c r="T25" s="115"/>
      <c r="U25" s="115"/>
      <c r="V25" s="115"/>
      <c r="W25" s="115" t="s">
        <v>32</v>
      </c>
      <c r="X25" s="116"/>
    </row>
    <row r="26" spans="1:24" x14ac:dyDescent="0.35">
      <c r="A26" s="232"/>
      <c r="B26" s="113" t="s">
        <v>40</v>
      </c>
      <c r="C26" s="114" t="s">
        <v>96</v>
      </c>
      <c r="D26" s="115" t="s">
        <v>96</v>
      </c>
      <c r="E26" s="142" t="s">
        <v>96</v>
      </c>
      <c r="F26" s="115" t="s">
        <v>96</v>
      </c>
      <c r="G26" s="115" t="s">
        <v>96</v>
      </c>
      <c r="H26" s="115" t="s">
        <v>96</v>
      </c>
      <c r="I26" s="142" t="s">
        <v>96</v>
      </c>
      <c r="J26" s="115"/>
      <c r="K26" s="115"/>
      <c r="L26" s="115"/>
      <c r="M26" s="142"/>
      <c r="N26" s="115"/>
      <c r="O26" s="115"/>
      <c r="P26" s="115"/>
      <c r="Q26" s="115"/>
      <c r="R26" s="115"/>
      <c r="S26" s="115" t="s">
        <v>32</v>
      </c>
      <c r="T26" s="115"/>
      <c r="U26" s="115"/>
      <c r="V26" s="115" t="s">
        <v>32</v>
      </c>
      <c r="W26" s="115" t="s">
        <v>32</v>
      </c>
      <c r="X26" s="116"/>
    </row>
    <row r="27" spans="1:24" x14ac:dyDescent="0.35">
      <c r="A27" s="236"/>
      <c r="B27" s="113" t="s">
        <v>16</v>
      </c>
      <c r="C27" s="114"/>
      <c r="D27" s="115"/>
      <c r="E27" s="142" t="s">
        <v>194</v>
      </c>
      <c r="F27" s="115"/>
      <c r="G27" s="115" t="s">
        <v>195</v>
      </c>
      <c r="H27" s="115"/>
      <c r="I27" s="142"/>
      <c r="J27" s="115" t="s">
        <v>180</v>
      </c>
      <c r="K27" s="115" t="s">
        <v>181</v>
      </c>
      <c r="L27" s="115" t="s">
        <v>180</v>
      </c>
      <c r="M27" s="142" t="s">
        <v>179</v>
      </c>
      <c r="N27" s="115"/>
      <c r="O27" s="115" t="s">
        <v>185</v>
      </c>
      <c r="P27" s="115" t="s">
        <v>185</v>
      </c>
      <c r="Q27" s="115" t="s">
        <v>194</v>
      </c>
      <c r="R27" s="115" t="s">
        <v>185</v>
      </c>
      <c r="S27" s="115" t="s">
        <v>185</v>
      </c>
      <c r="T27" s="115"/>
      <c r="U27" s="115"/>
      <c r="V27" s="115" t="s">
        <v>79</v>
      </c>
      <c r="W27" s="115" t="s">
        <v>150</v>
      </c>
      <c r="X27" s="116"/>
    </row>
    <row r="28" spans="1:24" x14ac:dyDescent="0.35">
      <c r="A28" s="237" t="s">
        <v>16</v>
      </c>
      <c r="B28" s="3" t="s">
        <v>22</v>
      </c>
      <c r="C28" s="64" t="s">
        <v>97</v>
      </c>
      <c r="D28" s="65" t="s">
        <v>97</v>
      </c>
      <c r="E28" s="141" t="s">
        <v>193</v>
      </c>
      <c r="F28" s="65" t="s">
        <v>97</v>
      </c>
      <c r="G28" s="65" t="s">
        <v>92</v>
      </c>
      <c r="H28" s="65" t="s">
        <v>170</v>
      </c>
      <c r="I28" s="141"/>
      <c r="J28" s="65" t="s">
        <v>74</v>
      </c>
      <c r="K28" s="65" t="s">
        <v>92</v>
      </c>
      <c r="L28" s="65" t="s">
        <v>92</v>
      </c>
      <c r="M28" s="141" t="s">
        <v>70</v>
      </c>
      <c r="N28" s="65" t="s">
        <v>97</v>
      </c>
      <c r="O28" s="65" t="s">
        <v>92</v>
      </c>
      <c r="P28" s="65" t="s">
        <v>97</v>
      </c>
      <c r="Q28" s="65" t="s">
        <v>85</v>
      </c>
      <c r="R28" s="65" t="s">
        <v>97</v>
      </c>
      <c r="S28" s="65" t="s">
        <v>97</v>
      </c>
      <c r="T28" s="65" t="s">
        <v>92</v>
      </c>
      <c r="U28" s="65" t="s">
        <v>97</v>
      </c>
      <c r="V28" s="65" t="s">
        <v>85</v>
      </c>
      <c r="W28" s="65" t="s">
        <v>92</v>
      </c>
      <c r="X28" s="66"/>
    </row>
    <row r="29" spans="1:24" x14ac:dyDescent="0.35">
      <c r="A29" s="234"/>
      <c r="B29" s="3" t="s">
        <v>72</v>
      </c>
      <c r="C29" s="70">
        <v>875</v>
      </c>
      <c r="D29" s="71">
        <v>875</v>
      </c>
      <c r="E29" s="144">
        <v>875</v>
      </c>
      <c r="F29" s="71">
        <v>875</v>
      </c>
      <c r="G29" s="71">
        <v>705</v>
      </c>
      <c r="H29" s="71">
        <v>834</v>
      </c>
      <c r="I29" s="144"/>
      <c r="J29" s="71">
        <v>1011</v>
      </c>
      <c r="K29" s="71">
        <v>1160</v>
      </c>
      <c r="L29" s="71">
        <v>1007</v>
      </c>
      <c r="M29" s="144">
        <v>1072</v>
      </c>
      <c r="N29" s="71">
        <v>1499</v>
      </c>
      <c r="O29" s="71">
        <v>1290</v>
      </c>
      <c r="P29" s="71">
        <v>1290</v>
      </c>
      <c r="Q29" s="71">
        <v>1290</v>
      </c>
      <c r="R29" s="71">
        <v>1340</v>
      </c>
      <c r="S29" s="71">
        <v>1345</v>
      </c>
      <c r="T29" s="71">
        <v>1691</v>
      </c>
      <c r="U29" s="71">
        <v>1685</v>
      </c>
      <c r="V29" s="71">
        <v>1756</v>
      </c>
      <c r="W29" s="71">
        <v>1919</v>
      </c>
      <c r="X29" s="72"/>
    </row>
    <row r="30" spans="1:24" x14ac:dyDescent="0.35">
      <c r="A30" s="235"/>
      <c r="B30" s="3" t="s">
        <v>42</v>
      </c>
      <c r="C30" s="70"/>
      <c r="D30" s="71"/>
      <c r="E30" s="144"/>
      <c r="F30" s="71"/>
      <c r="G30" s="71"/>
      <c r="H30" s="71"/>
      <c r="I30" s="144"/>
      <c r="J30" s="71"/>
      <c r="K30" s="71"/>
      <c r="L30" s="71"/>
      <c r="M30" s="144"/>
      <c r="N30" s="71"/>
      <c r="O30" s="71"/>
      <c r="P30" s="71"/>
      <c r="Q30" s="71"/>
      <c r="R30" s="71"/>
      <c r="S30" s="71" t="s">
        <v>242</v>
      </c>
      <c r="T30" s="71"/>
      <c r="U30" s="71" t="s">
        <v>88</v>
      </c>
      <c r="V30" s="71"/>
      <c r="W30" s="71" t="s">
        <v>93</v>
      </c>
      <c r="X30" s="72"/>
    </row>
    <row r="31" spans="1:24" x14ac:dyDescent="0.35">
      <c r="A31" s="231" t="s">
        <v>21</v>
      </c>
      <c r="B31" s="113"/>
      <c r="C31" s="114"/>
      <c r="D31" s="115"/>
      <c r="E31" s="142"/>
      <c r="F31" s="115"/>
      <c r="G31" s="115"/>
      <c r="H31" s="115"/>
      <c r="I31" s="142"/>
      <c r="J31" s="115"/>
      <c r="K31" s="115"/>
      <c r="L31" s="115"/>
      <c r="M31" s="142"/>
      <c r="N31" s="115"/>
      <c r="O31" s="115"/>
      <c r="P31" s="115"/>
      <c r="Q31" s="115"/>
      <c r="R31" s="115"/>
      <c r="S31" s="115"/>
      <c r="T31" s="115"/>
      <c r="U31" s="115"/>
      <c r="V31" s="115"/>
      <c r="W31" s="115"/>
      <c r="X31" s="116"/>
    </row>
    <row r="32" spans="1:24" x14ac:dyDescent="0.35">
      <c r="A32" s="236"/>
      <c r="B32" s="113"/>
      <c r="C32" s="114"/>
      <c r="D32" s="115"/>
      <c r="E32" s="142"/>
      <c r="F32" s="115"/>
      <c r="G32" s="115"/>
      <c r="H32" s="115"/>
      <c r="I32" s="142"/>
      <c r="J32" s="115"/>
      <c r="K32" s="115"/>
      <c r="L32" s="115"/>
      <c r="M32" s="142"/>
      <c r="N32" s="115"/>
      <c r="O32" s="115"/>
      <c r="P32" s="115"/>
      <c r="Q32" s="115"/>
      <c r="R32" s="115"/>
      <c r="S32" s="115"/>
      <c r="T32" s="115"/>
      <c r="U32" s="115"/>
      <c r="V32" s="115"/>
      <c r="W32" s="115"/>
      <c r="X32" s="116"/>
    </row>
    <row r="33" spans="1:24" x14ac:dyDescent="0.35">
      <c r="A33" s="214" t="s">
        <v>236</v>
      </c>
      <c r="B33" s="3" t="s">
        <v>241</v>
      </c>
      <c r="C33" s="64"/>
      <c r="D33" s="65"/>
      <c r="E33" s="141"/>
      <c r="F33" s="65"/>
      <c r="G33" s="65"/>
      <c r="H33" s="65"/>
      <c r="I33" s="141"/>
      <c r="J33" s="65"/>
      <c r="K33" s="65"/>
      <c r="L33" s="65"/>
      <c r="M33" s="141"/>
      <c r="N33" s="65"/>
      <c r="O33" s="215" t="s">
        <v>238</v>
      </c>
      <c r="P33" s="215" t="s">
        <v>238</v>
      </c>
      <c r="Q33" s="215" t="s">
        <v>238</v>
      </c>
      <c r="R33" s="215" t="s">
        <v>239</v>
      </c>
      <c r="S33" s="215" t="s">
        <v>237</v>
      </c>
      <c r="T33" s="215" t="s">
        <v>258</v>
      </c>
      <c r="U33" s="215" t="s">
        <v>261</v>
      </c>
      <c r="V33" s="215" t="s">
        <v>260</v>
      </c>
      <c r="W33" s="215" t="s">
        <v>259</v>
      </c>
      <c r="X33" s="66"/>
    </row>
    <row r="34" spans="1:24" x14ac:dyDescent="0.35">
      <c r="A34" s="122" t="s">
        <v>67</v>
      </c>
      <c r="B34" s="113"/>
      <c r="C34" s="114" t="s">
        <v>63</v>
      </c>
      <c r="D34" s="115" t="s">
        <v>63</v>
      </c>
      <c r="E34" s="142" t="s">
        <v>63</v>
      </c>
      <c r="F34" s="115" t="s">
        <v>63</v>
      </c>
      <c r="G34" s="115" t="s">
        <v>63</v>
      </c>
      <c r="H34" s="115" t="s">
        <v>63</v>
      </c>
      <c r="I34" s="142" t="s">
        <v>63</v>
      </c>
      <c r="J34" s="115" t="s">
        <v>63</v>
      </c>
      <c r="K34" s="115" t="s">
        <v>63</v>
      </c>
      <c r="L34" s="115" t="s">
        <v>63</v>
      </c>
      <c r="M34" s="142" t="s">
        <v>63</v>
      </c>
      <c r="N34" s="115" t="s">
        <v>63</v>
      </c>
      <c r="O34" s="115" t="s">
        <v>63</v>
      </c>
      <c r="P34" s="115" t="s">
        <v>63</v>
      </c>
      <c r="Q34" s="115" t="s">
        <v>63</v>
      </c>
      <c r="R34" s="115" t="s">
        <v>63</v>
      </c>
      <c r="S34" s="115" t="s">
        <v>63</v>
      </c>
      <c r="T34" s="115" t="s">
        <v>63</v>
      </c>
      <c r="U34" s="115" t="s">
        <v>63</v>
      </c>
      <c r="V34" s="115" t="s">
        <v>50</v>
      </c>
      <c r="W34" s="115" t="s">
        <v>94</v>
      </c>
      <c r="X34" s="116"/>
    </row>
    <row r="35" spans="1:24" x14ac:dyDescent="0.35">
      <c r="A35" s="237" t="s">
        <v>57</v>
      </c>
      <c r="B35" s="3" t="s">
        <v>154</v>
      </c>
      <c r="C35" s="64" t="s">
        <v>49</v>
      </c>
      <c r="D35" s="65" t="s">
        <v>49</v>
      </c>
      <c r="E35" s="141" t="s">
        <v>49</v>
      </c>
      <c r="F35" s="65" t="s">
        <v>49</v>
      </c>
      <c r="G35" s="65" t="s">
        <v>49</v>
      </c>
      <c r="H35" s="65" t="s">
        <v>49</v>
      </c>
      <c r="I35" s="141" t="s">
        <v>48</v>
      </c>
      <c r="J35" s="65" t="s">
        <v>49</v>
      </c>
      <c r="K35" s="65" t="s">
        <v>49</v>
      </c>
      <c r="L35" s="65" t="s">
        <v>49</v>
      </c>
      <c r="M35" s="141" t="s">
        <v>49</v>
      </c>
      <c r="N35" s="65" t="s">
        <v>49</v>
      </c>
      <c r="O35" s="65" t="s">
        <v>49</v>
      </c>
      <c r="P35" s="65" t="s">
        <v>49</v>
      </c>
      <c r="Q35" s="65" t="s">
        <v>49</v>
      </c>
      <c r="R35" s="65" t="s">
        <v>49</v>
      </c>
      <c r="S35" s="65" t="s">
        <v>49</v>
      </c>
      <c r="T35" s="65" t="s">
        <v>49</v>
      </c>
      <c r="U35" s="65" t="s">
        <v>49</v>
      </c>
      <c r="V35" s="65" t="s">
        <v>49</v>
      </c>
      <c r="W35" s="65" t="s">
        <v>49</v>
      </c>
      <c r="X35" s="66"/>
    </row>
    <row r="36" spans="1:24" x14ac:dyDescent="0.35">
      <c r="A36" s="234"/>
      <c r="B36" s="3" t="s">
        <v>155</v>
      </c>
      <c r="C36" s="130"/>
      <c r="D36" s="131"/>
      <c r="E36" s="145"/>
      <c r="F36" s="131"/>
      <c r="G36" s="131"/>
      <c r="H36" s="131"/>
      <c r="I36" s="145">
        <v>2</v>
      </c>
      <c r="J36" s="131"/>
      <c r="K36" s="131"/>
      <c r="L36" s="131"/>
      <c r="M36" s="145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2"/>
    </row>
    <row r="37" spans="1:24" x14ac:dyDescent="0.35">
      <c r="A37" s="234"/>
      <c r="B37" s="3" t="s">
        <v>35</v>
      </c>
      <c r="C37" s="67">
        <v>8850</v>
      </c>
      <c r="D37" s="68">
        <v>8250</v>
      </c>
      <c r="E37" s="143">
        <v>9945</v>
      </c>
      <c r="F37" s="68">
        <v>8250</v>
      </c>
      <c r="G37" s="68">
        <v>2195</v>
      </c>
      <c r="H37" s="68">
        <v>8250</v>
      </c>
      <c r="I37" s="143">
        <f>258+218/2/12</f>
        <v>267.08333333333331</v>
      </c>
      <c r="J37" s="68">
        <v>13450</v>
      </c>
      <c r="K37" s="68">
        <v>15950</v>
      </c>
      <c r="L37" s="68">
        <v>11450</v>
      </c>
      <c r="M37" s="143">
        <v>26890</v>
      </c>
      <c r="N37" s="68">
        <v>15750</v>
      </c>
      <c r="O37" s="68">
        <v>17950</v>
      </c>
      <c r="P37" s="68">
        <v>17885</v>
      </c>
      <c r="Q37" s="68">
        <v>15930</v>
      </c>
      <c r="R37" s="68">
        <v>20900</v>
      </c>
      <c r="S37" s="68">
        <v>19950</v>
      </c>
      <c r="T37" s="68">
        <v>24650</v>
      </c>
      <c r="U37" s="68">
        <v>32835</v>
      </c>
      <c r="V37" s="68">
        <v>41069</v>
      </c>
      <c r="W37" s="68">
        <v>36200</v>
      </c>
      <c r="X37" s="69"/>
    </row>
    <row r="38" spans="1:24" x14ac:dyDescent="0.35">
      <c r="A38" s="234"/>
      <c r="B38" s="16" t="s">
        <v>213</v>
      </c>
      <c r="C38" s="17">
        <f ca="1">IF(C37="","",IF(C35="Buy",IF(C34&lt;&gt;"Netherlands",Import!$B$13+IF(C7="Electric",0,IF(C7="PHEV",INDEX(Import!$B$23:$B$25,MATCH(C10,Import!$A$23:$A$25,1))+(C10-INDEX(Import!$A$23:$A$25,MATCH(C10,Import!$A$23:$A$25,1)))*INDEX(Import!$C$23:$C$25,MATCH(C10,Import!$A$23:$A$25,1)),INDEX(Import!$B$27:$B$31,MATCH(C10,Import!$A$27:$A$31,1))+(C10-INDEX(Import!$A$27:$A$31,MATCH(C10,Import!$A$27:$A$31,1)))*INDEX(Import!$C$27:$C$31,MATCH(C10,Import!$A$27:$A$31,1))))*(1-(INDEX(Import!$B35:$B48,MATCH((TODAY()-C57)/365.25,Import!$A35:$A48,1))+ROUNDUP(((TODAY()-C57)/365.25-INDEX(Import!$A35:$A48,MATCH((TODAY()-C57)/365.25,Import!$A35:$A48,1)))*12,0)*INDEX(Import!$C35:$C48,MATCH((TODAY()-C57)/365.25,Import!$A35:$A48,1)))),0),0))</f>
        <v>0</v>
      </c>
      <c r="D38" s="18">
        <f ca="1">IF(D37="","",IF(D35="Buy",IF(D34&lt;&gt;"Netherlands",Import!$B$13+IF(D7="Electric",0,IF(D7="PHEV",INDEX(Import!$B$23:$B$25,MATCH(D10,Import!$A$23:$A$25,1))+(D10-INDEX(Import!$A$23:$A$25,MATCH(D10,Import!$A$23:$A$25,1)))*INDEX(Import!$C$23:$C$25,MATCH(D10,Import!$A$23:$A$25,1)),INDEX(Import!$B$27:$B$31,MATCH(D10,Import!$A$27:$A$31,1))+(D10-INDEX(Import!$A$27:$A$31,MATCH(D10,Import!$A$27:$A$31,1)))*INDEX(Import!$C$27:$C$31,MATCH(D10,Import!$A$27:$A$31,1))))*(1-(INDEX(Import!$B35:$B48,MATCH((TODAY()-D57)/365.25,Import!$A35:$A48,1))+ROUNDUP(((TODAY()-D57)/365.25-INDEX(Import!$A35:$A48,MATCH((TODAY()-D57)/365.25,Import!$A35:$A48,1)))*12,0)*INDEX(Import!$C35:$C48,MATCH((TODAY()-D57)/365.25,Import!$A35:$A48,1)))),0),0))</f>
        <v>0</v>
      </c>
      <c r="E38" s="146">
        <f ca="1">IF(E37="","",IF(E35="Buy",IF(E34&lt;&gt;"Netherlands",Import!$B$13+IF(E7="Electric",0,IF(E7="PHEV",INDEX(Import!$B$23:$B$25,MATCH(E10,Import!$A$23:$A$25,1))+(E10-INDEX(Import!$A$23:$A$25,MATCH(E10,Import!$A$23:$A$25,1)))*INDEX(Import!$C$23:$C$25,MATCH(E10,Import!$A$23:$A$25,1)),INDEX(Import!$B$27:$B$31,MATCH(E10,Import!$A$27:$A$31,1))+(E10-INDEX(Import!$A$27:$A$31,MATCH(E10,Import!$A$27:$A$31,1)))*INDEX(Import!$C$27:$C$31,MATCH(E10,Import!$A$27:$A$31,1))))*(1-(INDEX(Import!$B35:$B48,MATCH((TODAY()-E57)/365.25,Import!$A35:$A48,1))+ROUNDUP(((TODAY()-E57)/365.25-INDEX(Import!$A35:$A48,MATCH((TODAY()-E57)/365.25,Import!$A35:$A48,1)))*12,0)*INDEX(Import!$C35:$C48,MATCH((TODAY()-E57)/365.25,Import!$A35:$A48,1)))),0),0))</f>
        <v>0</v>
      </c>
      <c r="F38" s="18">
        <f ca="1">IF(F37="","",IF(F35="Buy",IF(F34&lt;&gt;"Netherlands",Import!$B$13+IF(F7="Electric",0,IF(F7="PHEV",INDEX(Import!$B$23:$B$25,MATCH(F10,Import!$A$23:$A$25,1))+(F10-INDEX(Import!$A$23:$A$25,MATCH(F10,Import!$A$23:$A$25,1)))*INDEX(Import!$C$23:$C$25,MATCH(F10,Import!$A$23:$A$25,1)),INDEX(Import!$B$27:$B$31,MATCH(F10,Import!$A$27:$A$31,1))+(F10-INDEX(Import!$A$27:$A$31,MATCH(F10,Import!$A$27:$A$31,1)))*INDEX(Import!$C$27:$C$31,MATCH(F10,Import!$A$27:$A$31,1))))*(1-(INDEX(Import!$B35:$B48,MATCH((TODAY()-F57)/365.25,Import!$A35:$A48,1))+ROUNDUP(((TODAY()-F57)/365.25-INDEX(Import!$A35:$A48,MATCH((TODAY()-F57)/365.25,Import!$A35:$A48,1)))*12,0)*INDEX(Import!$C35:$C48,MATCH((TODAY()-F57)/365.25,Import!$A35:$A48,1)))),0),0))</f>
        <v>0</v>
      </c>
      <c r="G38" s="18">
        <f ca="1">IF(G37="","",IF(G35="Buy",IF(G34&lt;&gt;"Netherlands",Import!$B$13+IF(G7="Electric",0,IF(G7="PHEV",INDEX(Import!$B$23:$B$25,MATCH(G10,Import!$A$23:$A$25,1))+(G10-INDEX(Import!$A$23:$A$25,MATCH(G10,Import!$A$23:$A$25,1)))*INDEX(Import!$C$23:$C$25,MATCH(G10,Import!$A$23:$A$25,1)),INDEX(Import!$B$27:$B$31,MATCH(G10,Import!$A$27:$A$31,1))+(G10-INDEX(Import!$A$27:$A$31,MATCH(G10,Import!$A$27:$A$31,1)))*INDEX(Import!$C$27:$C$31,MATCH(G10,Import!$A$27:$A$31,1))))*(1-(INDEX(Import!$B35:$B48,MATCH((TODAY()-G57)/365.25,Import!$A35:$A48,1))+ROUNDUP(((TODAY()-G57)/365.25-INDEX(Import!$A35:$A48,MATCH((TODAY()-G57)/365.25,Import!$A35:$A48,1)))*12,0)*INDEX(Import!$C35:$C48,MATCH((TODAY()-G57)/365.25,Import!$A35:$A48,1)))),0),0))</f>
        <v>0</v>
      </c>
      <c r="H38" s="18">
        <f ca="1">IF(H37="","",IF(H35="Buy",IF(H34&lt;&gt;"Netherlands",Import!$B$13+IF(H7="Electric",0,IF(H7="PHEV",INDEX(Import!$B$23:$B$25,MATCH(H10,Import!$A$23:$A$25,1))+(H10-INDEX(Import!$A$23:$A$25,MATCH(H10,Import!$A$23:$A$25,1)))*INDEX(Import!$C$23:$C$25,MATCH(H10,Import!$A$23:$A$25,1)),INDEX(Import!$B$27:$B$31,MATCH(H10,Import!$A$27:$A$31,1))+(H10-INDEX(Import!$A$27:$A$31,MATCH(H10,Import!$A$27:$A$31,1)))*INDEX(Import!$C$27:$C$31,MATCH(H10,Import!$A$27:$A$31,1))))*(1-(INDEX(Import!$B35:$B48,MATCH((TODAY()-H57)/365.25,Import!$A35:$A48,1))+ROUNDUP(((TODAY()-H57)/365.25-INDEX(Import!$A35:$A48,MATCH((TODAY()-H57)/365.25,Import!$A35:$A48,1)))*12,0)*INDEX(Import!$C35:$C48,MATCH((TODAY()-H57)/365.25,Import!$A35:$A48,1)))),0),0))</f>
        <v>0</v>
      </c>
      <c r="I38" s="146">
        <f ca="1">IF(I37="","",IF(I35="Buy",IF(I34&lt;&gt;"Netherlands",Import!$B$13+IF(I7="Electric",0,IF(I7="PHEV",INDEX(Import!$B$23:$B$25,MATCH(I10,Import!$A$23:$A$25,1))+(I10-INDEX(Import!$A$23:$A$25,MATCH(I10,Import!$A$23:$A$25,1)))*INDEX(Import!$C$23:$C$25,MATCH(I10,Import!$A$23:$A$25,1)),INDEX(Import!$B$27:$B$31,MATCH(I10,Import!$A$27:$A$31,1))+(I10-INDEX(Import!$A$27:$A$31,MATCH(I10,Import!$A$27:$A$31,1)))*INDEX(Import!$C$27:$C$31,MATCH(I10,Import!$A$27:$A$31,1))))*(1-(INDEX(Import!$B35:$B48,MATCH((TODAY()-I57)/365.25,Import!$A35:$A48,1))+ROUNDUP(((TODAY()-I57)/365.25-INDEX(Import!$A35:$A48,MATCH((TODAY()-I57)/365.25,Import!$A35:$A48,1)))*12,0)*INDEX(Import!$C35:$C48,MATCH((TODAY()-I57)/365.25,Import!$A35:$A48,1)))),0),0))</f>
        <v>0</v>
      </c>
      <c r="J38" s="18">
        <f ca="1">IF(J37="","",IF(J35="Buy",IF(J34&lt;&gt;"Netherlands",Import!$B$13+IF(J7="Electric",0,IF(J7="PHEV",INDEX(Import!$B$23:$B$25,MATCH(J10,Import!$A$23:$A$25,1))+(J10-INDEX(Import!$A$23:$A$25,MATCH(J10,Import!$A$23:$A$25,1)))*INDEX(Import!$C$23:$C$25,MATCH(J10,Import!$A$23:$A$25,1)),INDEX(Import!$B$27:$B$31,MATCH(J10,Import!$A$27:$A$31,1))+(J10-INDEX(Import!$A$27:$A$31,MATCH(J10,Import!$A$27:$A$31,1)))*INDEX(Import!$C$27:$C$31,MATCH(J10,Import!$A$27:$A$31,1))))*(1-(INDEX(Import!$B35:$B48,MATCH((TODAY()-J57)/365.25,Import!$A35:$A48,1))+ROUNDUP(((TODAY()-J57)/365.25-INDEX(Import!$A35:$A48,MATCH((TODAY()-J57)/365.25,Import!$A35:$A48,1)))*12,0)*INDEX(Import!$C35:$C48,MATCH((TODAY()-J57)/365.25,Import!$A35:$A48,1)))),0),0))</f>
        <v>0</v>
      </c>
      <c r="K38" s="18">
        <f ca="1">IF(K37="","",IF(K35="Buy",IF(K34&lt;&gt;"Netherlands",Import!$B$13+IF(K7="Electric",0,IF(K7="PHEV",INDEX(Import!$B$23:$B$25,MATCH(K10,Import!$A$23:$A$25,1))+(K10-INDEX(Import!$A$23:$A$25,MATCH(K10,Import!$A$23:$A$25,1)))*INDEX(Import!$C$23:$C$25,MATCH(K10,Import!$A$23:$A$25,1)),INDEX(Import!$B$27:$B$31,MATCH(K10,Import!$A$27:$A$31,1))+(K10-INDEX(Import!$A$27:$A$31,MATCH(K10,Import!$A$27:$A$31,1)))*INDEX(Import!$C$27:$C$31,MATCH(K10,Import!$A$27:$A$31,1))))*(1-(INDEX(Import!$B35:$B48,MATCH((TODAY()-K57)/365.25,Import!$A35:$A48,1))+ROUNDUP(((TODAY()-K57)/365.25-INDEX(Import!$A35:$A48,MATCH((TODAY()-K57)/365.25,Import!$A35:$A48,1)))*12,0)*INDEX(Import!$C35:$C48,MATCH((TODAY()-K57)/365.25,Import!$A35:$A48,1)))),0),0))</f>
        <v>0</v>
      </c>
      <c r="L38" s="18">
        <f ca="1">IF(L37="","",IF(L35="Buy",IF(L34&lt;&gt;"Netherlands",Import!$B$13+IF(L7="Electric",0,IF(L7="PHEV",INDEX(Import!$B$23:$B$25,MATCH(L10,Import!$A$23:$A$25,1))+(L10-INDEX(Import!$A$23:$A$25,MATCH(L10,Import!$A$23:$A$25,1)))*INDEX(Import!$C$23:$C$25,MATCH(L10,Import!$A$23:$A$25,1)),INDEX(Import!$B$27:$B$31,MATCH(L10,Import!$A$27:$A$31,1))+(L10-INDEX(Import!$A$27:$A$31,MATCH(L10,Import!$A$27:$A$31,1)))*INDEX(Import!$C$27:$C$31,MATCH(L10,Import!$A$27:$A$31,1))))*(1-(INDEX(Import!$B35:$B48,MATCH((TODAY()-L57)/365.25,Import!$A35:$A48,1))+ROUNDUP(((TODAY()-L57)/365.25-INDEX(Import!$A35:$A48,MATCH((TODAY()-L57)/365.25,Import!$A35:$A48,1)))*12,0)*INDEX(Import!$C35:$C48,MATCH((TODAY()-L57)/365.25,Import!$A35:$A48,1)))),0),0))</f>
        <v>0</v>
      </c>
      <c r="M38" s="146">
        <f ca="1">IF(M37="","",IF(M35="Buy",IF(M34&lt;&gt;"Netherlands",Import!$B$13+IF(M7="Electric",0,IF(M7="PHEV",INDEX(Import!$B$23:$B$25,MATCH(M10,Import!$A$23:$A$25,1))+(M10-INDEX(Import!$A$23:$A$25,MATCH(M10,Import!$A$23:$A$25,1)))*INDEX(Import!$C$23:$C$25,MATCH(M10,Import!$A$23:$A$25,1)),INDEX(Import!$B$27:$B$31,MATCH(M10,Import!$A$27:$A$31,1))+(M10-INDEX(Import!$A$27:$A$31,MATCH(M10,Import!$A$27:$A$31,1)))*INDEX(Import!$C$27:$C$31,MATCH(M10,Import!$A$27:$A$31,1))))*(1-(INDEX(Import!$B35:$B48,MATCH((TODAY()-M57)/365.25,Import!$A35:$A48,1))+ROUNDUP(((TODAY()-M57)/365.25-INDEX(Import!$A35:$A48,MATCH((TODAY()-M57)/365.25,Import!$A35:$A48,1)))*12,0)*INDEX(Import!$C35:$C48,MATCH((TODAY()-M57)/365.25,Import!$A35:$A48,1)))),0),0))</f>
        <v>0</v>
      </c>
      <c r="N38" s="18">
        <f ca="1">IF(N37="","",IF(N35="Buy",IF(N34&lt;&gt;"Netherlands",Import!$B$13+IF(N7="Electric",0,IF(N7="PHEV",INDEX(Import!$B$23:$B$25,MATCH(N10,Import!$A$23:$A$25,1))+(N10-INDEX(Import!$A$23:$A$25,MATCH(N10,Import!$A$23:$A$25,1)))*INDEX(Import!$C$23:$C$25,MATCH(N10,Import!$A$23:$A$25,1)),INDEX(Import!$B$27:$B$31,MATCH(N10,Import!$A$27:$A$31,1))+(N10-INDEX(Import!$A$27:$A$31,MATCH(N10,Import!$A$27:$A$31,1)))*INDEX(Import!$C$27:$C$31,MATCH(N10,Import!$A$27:$A$31,1))))*(1-(INDEX(Import!$B35:$B48,MATCH((TODAY()-N57)/365.25,Import!$A35:$A48,1))+ROUNDUP(((TODAY()-N57)/365.25-INDEX(Import!$A35:$A48,MATCH((TODAY()-N57)/365.25,Import!$A35:$A48,1)))*12,0)*INDEX(Import!$C35:$C48,MATCH((TODAY()-N57)/365.25,Import!$A35:$A48,1)))),0),0))</f>
        <v>0</v>
      </c>
      <c r="O38" s="18">
        <f ca="1">IF(O37="","",IF(O35="Buy",IF(O34&lt;&gt;"Netherlands",Import!$B$13+IF(O7="Electric",0,IF(O7="PHEV",INDEX(Import!$B$23:$B$25,MATCH(O10,Import!$A$23:$A$25,1))+(O10-INDEX(Import!$A$23:$A$25,MATCH(O10,Import!$A$23:$A$25,1)))*INDEX(Import!$C$23:$C$25,MATCH(O10,Import!$A$23:$A$25,1)),INDEX(Import!$B$27:$B$31,MATCH(O10,Import!$A$27:$A$31,1))+(O10-INDEX(Import!$A$27:$A$31,MATCH(O10,Import!$A$27:$A$31,1)))*INDEX(Import!$C$27:$C$31,MATCH(O10,Import!$A$27:$A$31,1))))*(1-(INDEX(Import!$B35:$B48,MATCH((TODAY()-O57)/365.25,Import!$A35:$A48,1))+ROUNDUP(((TODAY()-O57)/365.25-INDEX(Import!$A35:$A48,MATCH((TODAY()-O57)/365.25,Import!$A35:$A48,1)))*12,0)*INDEX(Import!$C35:$C48,MATCH((TODAY()-O57)/365.25,Import!$A35:$A48,1)))),0),0))</f>
        <v>0</v>
      </c>
      <c r="P38" s="18">
        <f ca="1">IF(P37="","",IF(P35="Buy",IF(P34&lt;&gt;"Netherlands",Import!$B$13+IF(P7="Electric",0,IF(P7="PHEV",INDEX(Import!$B$23:$B$25,MATCH(P10,Import!$A$23:$A$25,1))+(P10-INDEX(Import!$A$23:$A$25,MATCH(P10,Import!$A$23:$A$25,1)))*INDEX(Import!$C$23:$C$25,MATCH(P10,Import!$A$23:$A$25,1)),INDEX(Import!$B$27:$B$31,MATCH(P10,Import!$A$27:$A$31,1))+(P10-INDEX(Import!$A$27:$A$31,MATCH(P10,Import!$A$27:$A$31,1)))*INDEX(Import!$C$27:$C$31,MATCH(P10,Import!$A$27:$A$31,1))))*(1-(INDEX(Import!$B35:$B48,MATCH((TODAY()-P57)/365.25,Import!$A35:$A48,1))+ROUNDUP(((TODAY()-P57)/365.25-INDEX(Import!$A35:$A48,MATCH((TODAY()-P57)/365.25,Import!$A35:$A48,1)))*12,0)*INDEX(Import!$C35:$C48,MATCH((TODAY()-P57)/365.25,Import!$A35:$A48,1)))),0),0))</f>
        <v>0</v>
      </c>
      <c r="Q38" s="18">
        <f ca="1">IF(Q37="","",IF(Q35="Buy",IF(Q34&lt;&gt;"Netherlands",Import!$B$13+IF(Q7="Electric",0,IF(Q7="PHEV",INDEX(Import!$B$23:$B$25,MATCH(Q10,Import!$A$23:$A$25,1))+(Q10-INDEX(Import!$A$23:$A$25,MATCH(Q10,Import!$A$23:$A$25,1)))*INDEX(Import!$C$23:$C$25,MATCH(Q10,Import!$A$23:$A$25,1)),INDEX(Import!$B$27:$B$31,MATCH(Q10,Import!$A$27:$A$31,1))+(Q10-INDEX(Import!$A$27:$A$31,MATCH(Q10,Import!$A$27:$A$31,1)))*INDEX(Import!$C$27:$C$31,MATCH(Q10,Import!$A$27:$A$31,1))))*(1-(INDEX(Import!$B35:$B48,MATCH((TODAY()-Q57)/365.25,Import!$A35:$A48,1))+ROUNDUP(((TODAY()-Q57)/365.25-INDEX(Import!$A35:$A48,MATCH((TODAY()-Q57)/365.25,Import!$A35:$A48,1)))*12,0)*INDEX(Import!$C35:$C48,MATCH((TODAY()-Q57)/365.25,Import!$A35:$A48,1)))),0),0))</f>
        <v>0</v>
      </c>
      <c r="R38" s="18">
        <f ca="1">IF(R37="","",IF(R35="Buy",IF(R34&lt;&gt;"Netherlands",Import!$B$13+IF(R7="Electric",0,IF(R7="PHEV",INDEX(Import!$B$23:$B$25,MATCH(R10,Import!$A$23:$A$25,1))+(R10-INDEX(Import!$A$23:$A$25,MATCH(R10,Import!$A$23:$A$25,1)))*INDEX(Import!$C$23:$C$25,MATCH(R10,Import!$A$23:$A$25,1)),INDEX(Import!$B$27:$B$31,MATCH(R10,Import!$A$27:$A$31,1))+(R10-INDEX(Import!$A$27:$A$31,MATCH(R10,Import!$A$27:$A$31,1)))*INDEX(Import!$C$27:$C$31,MATCH(R10,Import!$A$27:$A$31,1))))*(1-(INDEX(Import!$B35:$B48,MATCH((TODAY()-R57)/365.25,Import!$A35:$A48,1))+ROUNDUP(((TODAY()-R57)/365.25-INDEX(Import!$A35:$A48,MATCH((TODAY()-R57)/365.25,Import!$A35:$A48,1)))*12,0)*INDEX(Import!$C35:$C48,MATCH((TODAY()-R57)/365.25,Import!$A35:$A48,1)))),0),0))</f>
        <v>0</v>
      </c>
      <c r="S38" s="18">
        <f ca="1">IF(S37="","",IF(S35="Buy",IF(S34&lt;&gt;"Netherlands",Import!$B$13+IF(S7="Electric",0,IF(S7="PHEV",INDEX(Import!$B$23:$B$25,MATCH(S10,Import!$A$23:$A$25,1))+(S10-INDEX(Import!$A$23:$A$25,MATCH(S10,Import!$A$23:$A$25,1)))*INDEX(Import!$C$23:$C$25,MATCH(S10,Import!$A$23:$A$25,1)),INDEX(Import!$B$27:$B$31,MATCH(S10,Import!$A$27:$A$31,1))+(S10-INDEX(Import!$A$27:$A$31,MATCH(S10,Import!$A$27:$A$31,1)))*INDEX(Import!$C$27:$C$31,MATCH(S10,Import!$A$27:$A$31,1))))*(1-(INDEX(Import!$B35:$B48,MATCH((TODAY()-S57)/365.25,Import!$A35:$A48,1))+ROUNDUP(((TODAY()-S57)/365.25-INDEX(Import!$A35:$A48,MATCH((TODAY()-S57)/365.25,Import!$A35:$A48,1)))*12,0)*INDEX(Import!$C35:$C48,MATCH((TODAY()-S57)/365.25,Import!$A35:$A48,1)))),0),0))</f>
        <v>0</v>
      </c>
      <c r="T38" s="18">
        <f ca="1">IF(T37="","",IF(T35="Buy",IF(T34&lt;&gt;"Netherlands",Import!$B$13+IF(T7="Electric",0,IF(T7="PHEV",INDEX(Import!$B$23:$B$25,MATCH(T10,Import!$A$23:$A$25,1))+(T10-INDEX(Import!$A$23:$A$25,MATCH(T10,Import!$A$23:$A$25,1)))*INDEX(Import!$C$23:$C$25,MATCH(T10,Import!$A$23:$A$25,1)),INDEX(Import!$B$27:$B$31,MATCH(T10,Import!$A$27:$A$31,1))+(T10-INDEX(Import!$A$27:$A$31,MATCH(T10,Import!$A$27:$A$31,1)))*INDEX(Import!$C$27:$C$31,MATCH(T10,Import!$A$27:$A$31,1))))*(1-(INDEX(Import!$B35:$B48,MATCH((TODAY()-T57)/365.25,Import!$A35:$A48,1))+ROUNDUP(((TODAY()-T57)/365.25-INDEX(Import!$A35:$A48,MATCH((TODAY()-T57)/365.25,Import!$A35:$A48,1)))*12,0)*INDEX(Import!$C35:$C48,MATCH((TODAY()-T57)/365.25,Import!$A35:$A48,1)))),0),0))</f>
        <v>0</v>
      </c>
      <c r="U38" s="18">
        <f ca="1">IF(U37="","",IF(U35="Buy",IF(U34&lt;&gt;"Netherlands",Import!$B$13+IF(U7="Electric",0,IF(U7="PHEV",INDEX(Import!$B$23:$B$25,MATCH(U10,Import!$A$23:$A$25,1))+(U10-INDEX(Import!$A$23:$A$25,MATCH(U10,Import!$A$23:$A$25,1)))*INDEX(Import!$C$23:$C$25,MATCH(U10,Import!$A$23:$A$25,1)),INDEX(Import!$B$27:$B$31,MATCH(U10,Import!$A$27:$A$31,1))+(U10-INDEX(Import!$A$27:$A$31,MATCH(U10,Import!$A$27:$A$31,1)))*INDEX(Import!$C$27:$C$31,MATCH(U10,Import!$A$27:$A$31,1))))*(1-(INDEX(Import!$B35:$B48,MATCH((TODAY()-U57)/365.25,Import!$A35:$A48,1))+ROUNDUP(((TODAY()-U57)/365.25-INDEX(Import!$A35:$A48,MATCH((TODAY()-U57)/365.25,Import!$A35:$A48,1)))*12,0)*INDEX(Import!$C35:$C48,MATCH((TODAY()-U57)/365.25,Import!$A35:$A48,1)))),0),0))</f>
        <v>0</v>
      </c>
      <c r="V38" s="18">
        <f ca="1">IF(V37="","",IF(V35="Buy",IF(V34&lt;&gt;"Netherlands",Import!$B$13+IF(V7="Electric",0,IF(V7="PHEV",INDEX(Import!$B$23:$B$25,MATCH(V10,Import!$A$23:$A$25,1))+(V10-INDEX(Import!$A$23:$A$25,MATCH(V10,Import!$A$23:$A$25,1)))*INDEX(Import!$C$23:$C$25,MATCH(V10,Import!$A$23:$A$25,1)),INDEX(Import!$B$27:$B$31,MATCH(V10,Import!$A$27:$A$31,1))+(V10-INDEX(Import!$A$27:$A$31,MATCH(V10,Import!$A$27:$A$31,1)))*INDEX(Import!$C$27:$C$31,MATCH(V10,Import!$A$27:$A$31,1))))*(1-(INDEX(Import!$B35:$B48,MATCH((TODAY()-V57)/365.25,Import!$A35:$A48,1))+ROUNDUP(((TODAY()-V57)/365.25-INDEX(Import!$A35:$A48,MATCH((TODAY()-V57)/365.25,Import!$A35:$A48,1)))*12,0)*INDEX(Import!$C35:$C48,MATCH((TODAY()-V57)/365.25,Import!$A35:$A48,1)))),0),0))</f>
        <v>129.80000000000001</v>
      </c>
      <c r="W38" s="18">
        <f ca="1">IF(W37="","",IF(W35="Buy",IF(W34&lt;&gt;"Netherlands",Import!$B$13+IF(W7="Electric",0,IF(W7="PHEV",INDEX(Import!$B$23:$B$25,MATCH(W10,Import!$A$23:$A$25,1))+(W10-INDEX(Import!$A$23:$A$25,MATCH(W10,Import!$A$23:$A$25,1)))*INDEX(Import!$C$23:$C$25,MATCH(W10,Import!$A$23:$A$25,1)),INDEX(Import!$B$27:$B$31,MATCH(W10,Import!$A$27:$A$31,1))+(W10-INDEX(Import!$A$27:$A$31,MATCH(W10,Import!$A$27:$A$31,1)))*INDEX(Import!$C$27:$C$31,MATCH(W10,Import!$A$27:$A$31,1))))*(1-(INDEX(Import!$B35:$B48,MATCH((TODAY()-W57)/365.25,Import!$A35:$A48,1))+ROUNDUP(((TODAY()-W57)/365.25-INDEX(Import!$A35:$A48,MATCH((TODAY()-W57)/365.25,Import!$A35:$A48,1)))*12,0)*INDEX(Import!$C35:$C48,MATCH((TODAY()-W57)/365.25,Import!$A35:$A48,1)))),0),0))</f>
        <v>129.80000000000001</v>
      </c>
      <c r="X38" s="19" t="str">
        <f ca="1">IF(X37="","",IF(X35="Buy",IF(X34&lt;&gt;"Netherlands",Import!$B$13+IF(X7="Electric",0,IF(X7="PHEV",INDEX(Import!$B$23:$B$25,MATCH(X10,Import!$A$23:$A$25,1))+(X10-INDEX(Import!$A$23:$A$25,MATCH(X10,Import!$A$23:$A$25,1)))*INDEX(Import!$C$23:$C$25,MATCH(X10,Import!$A$23:$A$25,1)),INDEX(Import!$B$27:$B$31,MATCH(X10,Import!$A$27:$A$31,1))+(X10-INDEX(Import!$A$27:$A$31,MATCH(X10,Import!$A$27:$A$31,1)))*INDEX(Import!$C$27:$C$31,MATCH(X10,Import!$A$27:$A$31,1))))*(1-(INDEX(Import!$B35:$B48,MATCH((TODAY()-X57)/365.25,Import!$A35:$A48,1))+ROUNDUP(((TODAY()-X57)/365.25-INDEX(Import!$A35:$A48,MATCH((TODAY()-X57)/365.25,Import!$A35:$A48,1)))*12,0)*INDEX(Import!$C35:$C48,MATCH((TODAY()-X57)/365.25,Import!$A35:$A48,1)))),0),0))</f>
        <v/>
      </c>
    </row>
    <row r="39" spans="1:24" x14ac:dyDescent="0.35">
      <c r="A39" s="234"/>
      <c r="B39" s="16" t="s">
        <v>89</v>
      </c>
      <c r="C39" s="17">
        <f>IF(C37=0,"",IF(AND(C34="Netherlands",C7="Electric",C12&gt;=120),IF(OR(C35="Buy",AND(C35="Lease",C36&gt;=4)),IF(C56&gt;0,-2000,-2950),0),0))</f>
        <v>-2000</v>
      </c>
      <c r="D39" s="18">
        <f t="shared" ref="D39:X39" si="1">IF(D37=0,"",IF(AND(D34="Netherlands",D7="Electric",D12&gt;=120),IF(OR(D35="Buy",AND(D35="Lease",D36&gt;=4)),IF(D56&gt;0,-2000,-2950),0),0))</f>
        <v>-2000</v>
      </c>
      <c r="E39" s="146">
        <f t="shared" si="1"/>
        <v>-2000</v>
      </c>
      <c r="F39" s="18">
        <f t="shared" si="1"/>
        <v>-2000</v>
      </c>
      <c r="G39" s="18">
        <f t="shared" si="1"/>
        <v>0</v>
      </c>
      <c r="H39" s="18">
        <f t="shared" si="1"/>
        <v>0</v>
      </c>
      <c r="I39" s="146">
        <f t="shared" si="1"/>
        <v>0</v>
      </c>
      <c r="J39" s="18">
        <f t="shared" si="1"/>
        <v>0</v>
      </c>
      <c r="K39" s="18">
        <f t="shared" si="1"/>
        <v>0</v>
      </c>
      <c r="L39" s="18">
        <f t="shared" si="1"/>
        <v>0</v>
      </c>
      <c r="M39" s="146">
        <f t="shared" si="1"/>
        <v>0</v>
      </c>
      <c r="N39" s="18">
        <f t="shared" si="1"/>
        <v>0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f t="shared" si="1"/>
        <v>-2000</v>
      </c>
      <c r="U39" s="18">
        <f t="shared" si="1"/>
        <v>-2950</v>
      </c>
      <c r="V39" s="18">
        <f t="shared" si="1"/>
        <v>0</v>
      </c>
      <c r="W39" s="18">
        <f t="shared" si="1"/>
        <v>0</v>
      </c>
      <c r="X39" s="19" t="str">
        <f t="shared" si="1"/>
        <v/>
      </c>
    </row>
    <row r="40" spans="1:24" ht="15" thickBot="1" x14ac:dyDescent="0.4">
      <c r="A40" s="234"/>
      <c r="B40" s="8" t="s">
        <v>64</v>
      </c>
      <c r="C40" s="9">
        <f ca="1">IF(C37="","",IF(C35="Buy",SUM(C37:C39)+SUM(C14:C28),C37*12*C36+SUM(C38:C39)+SUM(C14:C28)))</f>
        <v>6850</v>
      </c>
      <c r="D40" s="10">
        <f ca="1">IF(D37="","",IF(D35="Buy",SUM(D37:D39)+SUM(D14:D28),D37*12*D36+SUM(D38:D39)+SUM(D14:D28)))</f>
        <v>6250</v>
      </c>
      <c r="E40" s="147">
        <f ca="1">IF(E37="","",IF(E35="Buy",SUM(E37:E39)+SUM(E14:E28),E37*12*E36+SUM(E38:E39)+SUM(E14:E28)))</f>
        <v>7945</v>
      </c>
      <c r="F40" s="10">
        <f ca="1">IF(F37="","",IF(F35="Buy",SUM(F37:F39)+SUM(F14:F28),F37*12*F36+SUM(F38:F39)+SUM(F14:F28)))</f>
        <v>6250</v>
      </c>
      <c r="G40" s="10">
        <f t="shared" ref="G40:U40" ca="1" si="2">IF(G37="","",IF(G35="Buy",SUM(G37:G39)+SUM(G14:G28),G37*12*G36+SUM(G38:G39)+SUM(G14:G28)))</f>
        <v>2195</v>
      </c>
      <c r="H40" s="10">
        <f t="shared" ca="1" si="2"/>
        <v>8250</v>
      </c>
      <c r="I40" s="147">
        <f t="shared" ca="1" si="2"/>
        <v>6410</v>
      </c>
      <c r="J40" s="10">
        <f t="shared" ca="1" si="2"/>
        <v>13450</v>
      </c>
      <c r="K40" s="10">
        <f t="shared" ca="1" si="2"/>
        <v>15950</v>
      </c>
      <c r="L40" s="10">
        <f t="shared" ca="1" si="2"/>
        <v>11450</v>
      </c>
      <c r="M40" s="147">
        <f t="shared" ca="1" si="2"/>
        <v>26890</v>
      </c>
      <c r="N40" s="10">
        <f ca="1">IF(N37="","",IF(N35="Buy",SUM(N37:N39)+SUM(N14:N28),N37*12*N36+SUM(N38:N39)+SUM(N14:N28)))</f>
        <v>15750</v>
      </c>
      <c r="O40" s="10">
        <f t="shared" ca="1" si="2"/>
        <v>17950</v>
      </c>
      <c r="P40" s="10">
        <f t="shared" ca="1" si="2"/>
        <v>17885</v>
      </c>
      <c r="Q40" s="10">
        <f ca="1">IF(Q37="","",IF(Q35="Buy",SUM(Q37:Q39)+SUM(Q14:Q28),Q37*12*Q36+SUM(Q38:Q39)+SUM(Q14:Q28)))</f>
        <v>15930</v>
      </c>
      <c r="R40" s="10">
        <f t="shared" ref="R40" ca="1" si="3">IF(R37="","",IF(R35="Buy",SUM(R37:R39)+SUM(R14:R28),R37*12*R36+SUM(R38:R39)+SUM(R14:R28)))</f>
        <v>20900</v>
      </c>
      <c r="S40" s="10">
        <f ca="1">IF(S37="","",IF(S35="Buy",SUM(S37:S39)+SUM(S14:S28),S37*12*S36+SUM(S38:S39)+SUM(S14:S28)))</f>
        <v>19950</v>
      </c>
      <c r="T40" s="10">
        <f t="shared" ca="1" si="2"/>
        <v>22650</v>
      </c>
      <c r="U40" s="10">
        <f t="shared" ca="1" si="2"/>
        <v>29885</v>
      </c>
      <c r="V40" s="10">
        <f ca="1">IF(V37="","",IF(V35="Buy",SUM(V37:V39)+SUM(V14:V28),V37*12*V36+SUM(V38:V39)+SUM(V14:V28)))</f>
        <v>41198.800000000003</v>
      </c>
      <c r="W40" s="10">
        <f ca="1">IF(W37="","",IF(W35="Buy",SUM(W37:W39)+SUM(W14:W28),W37*12*W36+SUM(W38:W39)+SUM(W14:W28)))</f>
        <v>36329.800000000003</v>
      </c>
      <c r="X40" s="11" t="str">
        <f>IF(X37="","",IF(X35="Buy",SUM(X37:X39)+SUM(X14:X28),X37*12*X36+SUM(X38:X39)+SUM(X14:X28)))</f>
        <v/>
      </c>
    </row>
    <row r="41" spans="1:24" ht="15" thickTop="1" x14ac:dyDescent="0.35">
      <c r="A41" s="234"/>
      <c r="B41" s="12" t="s">
        <v>165</v>
      </c>
      <c r="C41" s="82">
        <f ca="1">IF(C37="","",IF(C35="Buy",IF(C57="",14,14-(TODAY()-C57)/365.25),C36))</f>
        <v>3.7741273100616013</v>
      </c>
      <c r="D41" s="83">
        <f ca="1">IF(D37="","",IF(D35="Buy",IF(D57="",14,14-(TODAY()-D57)/365.25),D36))</f>
        <v>5.5044490075290895</v>
      </c>
      <c r="E41" s="148">
        <f ca="1">IF(E37="","",IF(E35="Buy",IF(E57="",14,14-(TODAY()-E57)/365.25),E36))</f>
        <v>5.2936344969199176</v>
      </c>
      <c r="F41" s="83">
        <f ca="1">IF(F37="","",IF(F35="Buy",IF(F57="",14,14-(TODAY()-F57)/365.25),F36))</f>
        <v>5.5044490075290895</v>
      </c>
      <c r="G41" s="83">
        <v>2</v>
      </c>
      <c r="H41" s="83">
        <f t="shared" ref="H41:X41" ca="1" si="4">IF(H37="","",IF(H35="Buy",IF(H57="",14,14-(TODAY()-H57)/365.25),H36))</f>
        <v>9.4387405886379199</v>
      </c>
      <c r="I41" s="148">
        <f t="shared" ca="1" si="4"/>
        <v>2</v>
      </c>
      <c r="J41" s="83">
        <f t="shared" ca="1" si="4"/>
        <v>7.5277207392197125</v>
      </c>
      <c r="K41" s="83">
        <f t="shared" ca="1" si="4"/>
        <v>8.7296372347707063</v>
      </c>
      <c r="L41" s="83">
        <f t="shared" ca="1" si="4"/>
        <v>7.5578370978781653</v>
      </c>
      <c r="M41" s="148">
        <f t="shared" ca="1" si="4"/>
        <v>14</v>
      </c>
      <c r="N41" s="83">
        <f t="shared" ca="1" si="4"/>
        <v>6.0602327173169064</v>
      </c>
      <c r="O41" s="83">
        <f t="shared" ca="1" si="4"/>
        <v>5.8850102669404514</v>
      </c>
      <c r="P41" s="83">
        <f t="shared" ca="1" si="4"/>
        <v>6.774811772758385</v>
      </c>
      <c r="Q41" s="83">
        <f t="shared" ca="1" si="4"/>
        <v>4.4421629021218347</v>
      </c>
      <c r="R41" s="83">
        <f t="shared" ca="1" si="4"/>
        <v>8.1930184804928139</v>
      </c>
      <c r="S41" s="83">
        <f t="shared" ca="1" si="4"/>
        <v>9.611225188227241</v>
      </c>
      <c r="T41" s="83">
        <f t="shared" ca="1" si="4"/>
        <v>8.3600273785078709</v>
      </c>
      <c r="U41" s="83">
        <f t="shared" ca="1" si="4"/>
        <v>14</v>
      </c>
      <c r="V41" s="83">
        <f t="shared" ca="1" si="4"/>
        <v>14</v>
      </c>
      <c r="W41" s="83">
        <f t="shared" ca="1" si="4"/>
        <v>9.9835728952772076</v>
      </c>
      <c r="X41" s="84" t="str">
        <f t="shared" ca="1" si="4"/>
        <v/>
      </c>
    </row>
    <row r="42" spans="1:24" ht="15" thickBot="1" x14ac:dyDescent="0.4">
      <c r="A42" s="234"/>
      <c r="B42" s="8" t="s">
        <v>166</v>
      </c>
      <c r="C42" s="88">
        <v>2000</v>
      </c>
      <c r="D42" s="89">
        <v>2000</v>
      </c>
      <c r="E42" s="149">
        <v>2000</v>
      </c>
      <c r="F42" s="89">
        <v>2000</v>
      </c>
      <c r="G42" s="89">
        <v>0</v>
      </c>
      <c r="H42" s="89">
        <v>2000</v>
      </c>
      <c r="I42" s="149">
        <v>0</v>
      </c>
      <c r="J42" s="89">
        <v>3500</v>
      </c>
      <c r="K42" s="89">
        <v>3000</v>
      </c>
      <c r="L42" s="89">
        <v>3000</v>
      </c>
      <c r="M42" s="149">
        <v>3500</v>
      </c>
      <c r="N42" s="89">
        <v>7000</v>
      </c>
      <c r="O42" s="89">
        <v>8500</v>
      </c>
      <c r="P42" s="89">
        <v>8500</v>
      </c>
      <c r="Q42" s="89">
        <v>8500</v>
      </c>
      <c r="R42" s="89">
        <v>9000</v>
      </c>
      <c r="S42" s="89">
        <v>9000</v>
      </c>
      <c r="T42" s="89">
        <v>6000</v>
      </c>
      <c r="U42" s="89">
        <v>6000</v>
      </c>
      <c r="V42" s="89">
        <v>6000</v>
      </c>
      <c r="W42" s="89">
        <v>15000</v>
      </c>
      <c r="X42" s="90"/>
    </row>
    <row r="43" spans="1:24" ht="15" thickTop="1" x14ac:dyDescent="0.35">
      <c r="A43" s="234"/>
      <c r="B43" s="2" t="s">
        <v>55</v>
      </c>
      <c r="C43" s="85">
        <f ca="1">IF(C37="","",C40-C42)</f>
        <v>4850</v>
      </c>
      <c r="D43" s="86">
        <f ca="1">IF(D37="","",D40-D42)</f>
        <v>4250</v>
      </c>
      <c r="E43" s="150">
        <f ca="1">IF(E37="","",E40-E42)</f>
        <v>5945</v>
      </c>
      <c r="F43" s="86">
        <f ca="1">IF(F37="","",F40-F42)</f>
        <v>4250</v>
      </c>
      <c r="G43" s="86">
        <f t="shared" ref="G43:U43" ca="1" si="5">IF(G37="","",G40-G42)</f>
        <v>2195</v>
      </c>
      <c r="H43" s="86">
        <f t="shared" ca="1" si="5"/>
        <v>6250</v>
      </c>
      <c r="I43" s="150">
        <f t="shared" ca="1" si="5"/>
        <v>6410</v>
      </c>
      <c r="J43" s="86">
        <f t="shared" ca="1" si="5"/>
        <v>9950</v>
      </c>
      <c r="K43" s="86">
        <f t="shared" ca="1" si="5"/>
        <v>12950</v>
      </c>
      <c r="L43" s="86">
        <f t="shared" ca="1" si="5"/>
        <v>8450</v>
      </c>
      <c r="M43" s="150">
        <f t="shared" ca="1" si="5"/>
        <v>23390</v>
      </c>
      <c r="N43" s="86">
        <f ca="1">IF(N37="","",N40-N42)</f>
        <v>8750</v>
      </c>
      <c r="O43" s="86">
        <f t="shared" ca="1" si="5"/>
        <v>9450</v>
      </c>
      <c r="P43" s="86">
        <f t="shared" ca="1" si="5"/>
        <v>9385</v>
      </c>
      <c r="Q43" s="86">
        <f ca="1">IF(Q37="","",Q40-Q42)</f>
        <v>7430</v>
      </c>
      <c r="R43" s="86">
        <f t="shared" ref="R43" ca="1" si="6">IF(R37="","",R40-R42)</f>
        <v>11900</v>
      </c>
      <c r="S43" s="86">
        <f t="shared" ref="S43" ca="1" si="7">IF(S37="","",S40-S42)</f>
        <v>10950</v>
      </c>
      <c r="T43" s="86">
        <f t="shared" ca="1" si="5"/>
        <v>16650</v>
      </c>
      <c r="U43" s="86">
        <f t="shared" ca="1" si="5"/>
        <v>23885</v>
      </c>
      <c r="V43" s="86">
        <f ca="1">IF(V37="","",V40-V42)</f>
        <v>35198.800000000003</v>
      </c>
      <c r="W43" s="86">
        <f ca="1">IF(W37="","",W40-W42)</f>
        <v>21329.800000000003</v>
      </c>
      <c r="X43" s="87" t="str">
        <f>IF(X37="","",X40-X42)</f>
        <v/>
      </c>
    </row>
    <row r="44" spans="1:24" ht="15" thickBot="1" x14ac:dyDescent="0.4">
      <c r="A44" s="234"/>
      <c r="B44" s="41" t="s">
        <v>56</v>
      </c>
      <c r="C44" s="42">
        <f t="shared" ref="C44:I44" ca="1" si="8">IF(C41="","",C43/C41)</f>
        <v>1285.0652883569098</v>
      </c>
      <c r="D44" s="43">
        <f t="shared" ca="1" si="8"/>
        <v>772.10271076846561</v>
      </c>
      <c r="E44" s="151">
        <f t="shared" ca="1" si="8"/>
        <v>1123.0469356089993</v>
      </c>
      <c r="F44" s="43">
        <f t="shared" ca="1" si="8"/>
        <v>772.10271076846561</v>
      </c>
      <c r="G44" s="43">
        <f t="shared" ca="1" si="8"/>
        <v>1097.5</v>
      </c>
      <c r="H44" s="43">
        <f t="shared" ca="1" si="8"/>
        <v>662.16461203770848</v>
      </c>
      <c r="I44" s="151">
        <f t="shared" ca="1" si="8"/>
        <v>3205</v>
      </c>
      <c r="J44" s="43">
        <f t="shared" ref="J44:U44" ca="1" si="9">IF(J41="","",J43/J41)</f>
        <v>1321.7812329514456</v>
      </c>
      <c r="K44" s="43">
        <f t="shared" ca="1" si="9"/>
        <v>1483.4522502744235</v>
      </c>
      <c r="L44" s="43">
        <f t="shared" ca="1" si="9"/>
        <v>1118.0447382720522</v>
      </c>
      <c r="M44" s="151">
        <f t="shared" ca="1" si="9"/>
        <v>1670.7142857142858</v>
      </c>
      <c r="N44" s="43">
        <f ca="1">IF(N41="","",N43/N41)</f>
        <v>1443.8389428506889</v>
      </c>
      <c r="O44" s="43">
        <f t="shared" ca="1" si="9"/>
        <v>1605.7745987438941</v>
      </c>
      <c r="P44" s="43">
        <f t="shared" ca="1" si="9"/>
        <v>1385.2783390583957</v>
      </c>
      <c r="Q44" s="43">
        <f ca="1">IF(Q41="","",Q43/Q41)</f>
        <v>1672.6086286594759</v>
      </c>
      <c r="R44" s="43">
        <f t="shared" ref="R44" ca="1" si="10">IF(R41="","",R43/R41)</f>
        <v>1452.4561403508771</v>
      </c>
      <c r="S44" s="43">
        <f t="shared" ref="S44" ca="1" si="11">IF(S41="","",S43/S41)</f>
        <v>1139.2928357783792</v>
      </c>
      <c r="T44" s="43">
        <f t="shared" ca="1" si="9"/>
        <v>1991.6202718192239</v>
      </c>
      <c r="U44" s="43">
        <f t="shared" ca="1" si="9"/>
        <v>1706.0714285714287</v>
      </c>
      <c r="V44" s="43">
        <f ca="1">IF(V41="","",V43/V41)</f>
        <v>2514.2000000000003</v>
      </c>
      <c r="W44" s="43">
        <f ca="1">IF(W41="","",W43/W41)</f>
        <v>2136.4896338955164</v>
      </c>
      <c r="X44" s="44" t="str">
        <f ca="1">IF(X41="","",X43/X41)</f>
        <v/>
      </c>
    </row>
    <row r="45" spans="1:24" ht="15" thickTop="1" x14ac:dyDescent="0.35">
      <c r="A45" s="234"/>
      <c r="B45" s="12" t="s">
        <v>216</v>
      </c>
      <c r="C45" s="13">
        <f t="shared" ref="C45:X45" si="12">IF(OR(C8=0,C9=0),"",(C8/IF(C7="Electric",1,100)*Urban_km+C9/IF(C7="Electric",1,100)*(Extra_urban_km))*IF(C7="Electric",Off_peak_price/1000*Off_peak_charge+Peak_price/1000*Peak_charge,Petrol_price)+(C9/IF(C7="Electric",1,100)*Commuting_km*IF(C7="Petrol",Petrol_price,At_work_price/1000)))</f>
        <v>203.18399999999997</v>
      </c>
      <c r="D45" s="14">
        <f t="shared" si="12"/>
        <v>203.18399999999997</v>
      </c>
      <c r="E45" s="152">
        <f t="shared" si="12"/>
        <v>203.18399999999997</v>
      </c>
      <c r="F45" s="14">
        <f t="shared" si="12"/>
        <v>203.18399999999997</v>
      </c>
      <c r="G45" s="14">
        <f t="shared" si="12"/>
        <v>556.92000000000007</v>
      </c>
      <c r="H45" s="14">
        <f t="shared" si="12"/>
        <v>509.84700000000004</v>
      </c>
      <c r="I45" s="152">
        <f t="shared" si="12"/>
        <v>509.84700000000004</v>
      </c>
      <c r="J45" s="14">
        <f t="shared" si="12"/>
        <v>497.96400000000006</v>
      </c>
      <c r="K45" s="14">
        <f t="shared" si="12"/>
        <v>563.90699999999981</v>
      </c>
      <c r="L45" s="14">
        <f t="shared" si="12"/>
        <v>556.10400000000004</v>
      </c>
      <c r="M45" s="152">
        <f t="shared" si="12"/>
        <v>613.42800000000011</v>
      </c>
      <c r="N45" s="14">
        <f t="shared" si="12"/>
        <v>507.96</v>
      </c>
      <c r="O45" s="14">
        <f t="shared" si="12"/>
        <v>225.75149999999996</v>
      </c>
      <c r="P45" s="14">
        <f t="shared" si="12"/>
        <v>225.75149999999996</v>
      </c>
      <c r="Q45" s="14">
        <f>IF(OR(Q8=0,Q9=0),"",(Q8/IF(Q7="Electric",1,100)*Urban_km+Q9/IF(Q7="Electric",1,100)*(Extra_urban_km))*IF(Q7="Electric",Off_peak_price/1000*Off_peak_charge+Peak_price/1000*Peak_charge,Petrol_price)+(Q9/IF(Q7="Electric",1,100)*Commuting_km*IF(Q7="Petrol",Petrol_price,At_work_price/1000)))</f>
        <v>225.75149999999996</v>
      </c>
      <c r="R45" s="14">
        <f t="shared" si="12"/>
        <v>218.25449999999998</v>
      </c>
      <c r="S45" s="14">
        <f t="shared" si="12"/>
        <v>214.81199999999998</v>
      </c>
      <c r="T45" s="14">
        <f t="shared" si="12"/>
        <v>219.69269999999997</v>
      </c>
      <c r="U45" s="14">
        <f t="shared" si="12"/>
        <v>252.75599999999997</v>
      </c>
      <c r="V45" s="14">
        <f t="shared" si="12"/>
        <v>285.95699999999994</v>
      </c>
      <c r="W45" s="14">
        <f t="shared" si="12"/>
        <v>196.83449999999996</v>
      </c>
      <c r="X45" s="15" t="str">
        <f t="shared" si="12"/>
        <v/>
      </c>
    </row>
    <row r="46" spans="1:24" x14ac:dyDescent="0.35">
      <c r="A46" s="234"/>
      <c r="B46" s="3" t="s">
        <v>36</v>
      </c>
      <c r="C46" s="67">
        <f>12*55</f>
        <v>660</v>
      </c>
      <c r="D46" s="68">
        <f>12*55</f>
        <v>660</v>
      </c>
      <c r="E46" s="143">
        <f>12*55</f>
        <v>660</v>
      </c>
      <c r="F46" s="68">
        <f>12*55</f>
        <v>660</v>
      </c>
      <c r="G46" s="68">
        <f>12*60.47</f>
        <v>725.64</v>
      </c>
      <c r="H46" s="68">
        <f>12*40</f>
        <v>480</v>
      </c>
      <c r="I46" s="143">
        <f>12*40</f>
        <v>480</v>
      </c>
      <c r="J46" s="68">
        <f>12*50</f>
        <v>600</v>
      </c>
      <c r="K46" s="68">
        <f>12*50</f>
        <v>600</v>
      </c>
      <c r="L46" s="68">
        <f>12*50</f>
        <v>600</v>
      </c>
      <c r="M46" s="143">
        <f>12*86</f>
        <v>1032</v>
      </c>
      <c r="N46" s="68">
        <f>12*65</f>
        <v>780</v>
      </c>
      <c r="O46" s="68">
        <f>12*65</f>
        <v>780</v>
      </c>
      <c r="P46" s="68">
        <f>12*65</f>
        <v>780</v>
      </c>
      <c r="Q46" s="68">
        <f t="shared" ref="Q46" si="13">12*65</f>
        <v>780</v>
      </c>
      <c r="R46" s="68">
        <f>12*68</f>
        <v>816</v>
      </c>
      <c r="S46" s="68">
        <f>12*70</f>
        <v>840</v>
      </c>
      <c r="T46" s="68">
        <f>12*65</f>
        <v>780</v>
      </c>
      <c r="U46" s="68">
        <f>12*65</f>
        <v>780</v>
      </c>
      <c r="V46" s="68">
        <f>12*67.37</f>
        <v>808.44</v>
      </c>
      <c r="W46" s="68">
        <f>12*69</f>
        <v>828</v>
      </c>
      <c r="X46" s="69"/>
    </row>
    <row r="47" spans="1:24" x14ac:dyDescent="0.35">
      <c r="A47" s="234"/>
      <c r="B47" s="3" t="s">
        <v>37</v>
      </c>
      <c r="C47" s="6">
        <f ca="1">IF(C41="","",IF(C35="Buy",IF(C7="Electric",SUM(OFFSET(Maintenance!$D17,0,0,-C41))/C41,IF(C7="PHEV",SUM(OFFSET(Maintenance!$C17,0,0,-C41))/C41,SUM(OFFSET(Maintenance!$B17,0,0,-C41))/C41)),0))</f>
        <v>222.56800870511427</v>
      </c>
      <c r="D47" s="4">
        <f ca="1">IF(D41="","",IF(D35="Buy",IF(D7="Electric",SUM(OFFSET(Maintenance!$D17,0,0,-D41))/D41,IF(D7="PHEV",SUM(OFFSET(Maintenance!$C17,0,0,-D41))/D41,SUM(OFFSET(Maintenance!$B17,0,0,-D41))/D41)),0))</f>
        <v>236.17259388211889</v>
      </c>
      <c r="E47" s="153">
        <f ca="1">IF(E41="","",IF(E35="Buy",IF(E7="Electric",SUM(OFFSET(Maintenance!$D17,0,0,-E41))/E41,IF(E7="PHEV",SUM(OFFSET(Maintenance!$C17,0,0,-E41))/E41,SUM(OFFSET(Maintenance!$B17,0,0,-E41))/E41)),0))</f>
        <v>245.57796741660204</v>
      </c>
      <c r="F47" s="4">
        <f ca="1">IF(F41="","",IF(F35="Buy",IF(F7="Electric",SUM(OFFSET(Maintenance!$D17,0,0,-F41))/F41,IF(F7="PHEV",SUM(OFFSET(Maintenance!$C17,0,0,-F41))/F41,SUM(OFFSET(Maintenance!$B17,0,0,-F41))/F41)),0))</f>
        <v>236.17259388211889</v>
      </c>
      <c r="G47" s="4">
        <f ca="1">IF(G41="","",IF(G35="Buy",IF(G7="Electric",SUM(OFFSET(Maintenance!$D17,0,0,-G41))/G41,IF(G7="PHEV",SUM(OFFSET(Maintenance!$C17,0,0,-G41))/G41,SUM(OFFSET(Maintenance!$B17,0,0,-G41))/G41)),0))</f>
        <v>580</v>
      </c>
      <c r="H47" s="4">
        <f ca="1">IF(H41="","",IF(H35="Buy",IF(H7="Electric",SUM(OFFSET(Maintenance!$D17,0,0,-H41))/H41,IF(H7="PHEV",SUM(OFFSET(Maintenance!$C17,0,0,-H41))/H41,SUM(OFFSET(Maintenance!$B17,0,0,-H41))/H41)),0))</f>
        <v>419.54749818709206</v>
      </c>
      <c r="I47" s="153">
        <f ca="1">IF(I41="","",IF(I35="Buy",IF(I7="Electric",SUM(OFFSET(Maintenance!$D17,0,0,-I41))/I41,IF(I7="PHEV",SUM(OFFSET(Maintenance!$C17,0,0,-I41))/I41,SUM(OFFSET(Maintenance!$B17,0,0,-I41))/I41)),0))</f>
        <v>0</v>
      </c>
      <c r="J47" s="4">
        <f ca="1">IF(J41="","",IF(J35="Buy",IF(J7="Electric",SUM(OFFSET(Maintenance!$D17,0,0,-J41))/J41,IF(J7="PHEV",SUM(OFFSET(Maintenance!$C17,0,0,-J41))/J41,SUM(OFFSET(Maintenance!$B17,0,0,-J41))/J41)),0))</f>
        <v>446.35024549918165</v>
      </c>
      <c r="K47" s="4">
        <f ca="1">IF(K41="","",IF(K35="Buy",IF(K7="Electric",SUM(OFFSET(Maintenance!$D17,0,0,-K41))/K41,IF(K7="PHEV",SUM(OFFSET(Maintenance!$C17,0,0,-K41))/K41,SUM(OFFSET(Maintenance!$B17,0,0,-K41))/K41)),0))</f>
        <v>421.55245413203693</v>
      </c>
      <c r="L47" s="4">
        <f ca="1">IF(L41="","",IF(L35="Buy",IF(L7="Electric",SUM(OFFSET(Maintenance!$D17,0,0,-L41))/L41,IF(L7="PHEV",SUM(OFFSET(Maintenance!$C17,0,0,-L41))/L41,SUM(OFFSET(Maintenance!$B17,0,0,-L41))/L41)),0))</f>
        <v>444.57163557326572</v>
      </c>
      <c r="M47" s="153">
        <f ca="1">IF(M41="","",IF(M35="Buy",IF(M7="Electric",SUM(OFFSET(Maintenance!$D17,0,0,-M41))/M41,IF(M7="PHEV",SUM(OFFSET(Maintenance!$C17,0,0,-M41))/M41,SUM(OFFSET(Maintenance!$B17,0,0,-M41))/M41)),0))</f>
        <v>340</v>
      </c>
      <c r="N47" s="4">
        <f ca="1">IF(N41="","",IF(N35="Buy",IF(N7="Electric",SUM(OFFSET(Maintenance!$D17,0,0,-N41))/N41,IF(N7="PHEV",SUM(OFFSET(Maintenance!$C17,0,0,-N41))/N41,SUM(OFFSET(Maintenance!$B17,0,0,-N41))/N41)),0))</f>
        <v>445.52744522249827</v>
      </c>
      <c r="O47" s="4">
        <f ca="1">IF(O41="","",IF(O35="Buy",IF(O7="Electric",SUM(OFFSET(Maintenance!$D17,0,0,-O41))/O41,IF(O7="PHEV",SUM(OFFSET(Maintenance!$C17,0,0,-O41))/O41,SUM(OFFSET(Maintenance!$B17,0,0,-O41))/O41)),0))</f>
        <v>220.90020935101188</v>
      </c>
      <c r="P47" s="4">
        <f ca="1">IF(P41="","",IF(P35="Buy",IF(P7="Electric",SUM(OFFSET(Maintenance!$D17,0,0,-P41))/P41,IF(P7="PHEV",SUM(OFFSET(Maintenance!$C17,0,0,-P41))/P41,SUM(OFFSET(Maintenance!$B17,0,0,-P41))/P41)),0))</f>
        <v>221.40836532632855</v>
      </c>
      <c r="Q47" s="4">
        <f ca="1">IF(Q41="","",IF(Q35="Buy",IF(Q7="Electric",SUM(OFFSET(Maintenance!$D17,0,0,-Q41))/Q41,IF(Q7="PHEV",SUM(OFFSET(Maintenance!$C17,0,0,-Q41))/Q41,SUM(OFFSET(Maintenance!$B17,0,0,-Q41))/Q41)),0))</f>
        <v>243.12480739599383</v>
      </c>
      <c r="R47" s="4">
        <f ca="1">IF(R41="","",IF(R35="Buy",IF(R7="Electric",SUM(OFFSET(Maintenance!$D17,0,0,-R41))/R41,IF(R7="PHEV",SUM(OFFSET(Maintenance!$C17,0,0,-R41))/R41,SUM(OFFSET(Maintenance!$B17,0,0,-R41))/R41)),0))</f>
        <v>224.58145363408519</v>
      </c>
      <c r="S47" s="4">
        <f ca="1">IF(S41="","",IF(S35="Buy",IF(S7="Electric",SUM(OFFSET(Maintenance!$D17,0,0,-S41))/S41,IF(S7="PHEV",SUM(OFFSET(Maintenance!$C17,0,0,-S41))/S41,SUM(OFFSET(Maintenance!$B17,0,0,-S41))/S41)),0))</f>
        <v>206.00911551061103</v>
      </c>
      <c r="T47" s="4">
        <f ca="1">IF(T41="","",IF(T35="Buy",IF(T7="Electric",SUM(OFFSET(Maintenance!$D17,0,0,-T41))/T41,IF(T7="PHEV",SUM(OFFSET(Maintenance!$C17,0,0,-T41))/T41,SUM(OFFSET(Maintenance!$B17,0,0,-T41))/T41)),0))</f>
        <v>220.09497298182416</v>
      </c>
      <c r="U47" s="4">
        <f ca="1">IF(U41="","",IF(U35="Buy",IF(U7="Electric",SUM(OFFSET(Maintenance!$D17,0,0,-U41))/U41,IF(U7="PHEV",SUM(OFFSET(Maintenance!$C17,0,0,-U41))/U41,SUM(OFFSET(Maintenance!$B17,0,0,-U41))/U41)),0))</f>
        <v>170</v>
      </c>
      <c r="V47" s="4">
        <f ca="1">IF(V41="","",IF(V35="Buy",IF(V7="Electric",SUM(OFFSET(Maintenance!$D17,0,0,-V41))/V41,IF(V7="PHEV",SUM(OFFSET(Maintenance!$C17,0,0,-V41))/V41,SUM(OFFSET(Maintenance!$B17,0,0,-V41))/V41)),0))</f>
        <v>170</v>
      </c>
      <c r="W47" s="4">
        <f ca="1">IF(W41="","",IF(W35="Buy",IF(W7="Electric",SUM(OFFSET(Maintenance!$D17,0,0,-W41))/W41,IF(W7="PHEV",SUM(OFFSET(Maintenance!$C17,0,0,-W41))/W41,SUM(OFFSET(Maintenance!$B17,0,0,-W41))/W41)),0))</f>
        <v>198.32579185520362</v>
      </c>
      <c r="X47" s="5" t="str">
        <f ca="1">IF(X41="","",IF(X35="Buy",IF(X7="Electric",SUM(OFFSET(Maintenance!$D17,0,0,-X41))/X41,IF(X7="PHEV",SUM(OFFSET(Maintenance!$C17,0,0,-X41))/X41,SUM(OFFSET(Maintenance!$B17,0,0,-X41))/X41)),0))</f>
        <v/>
      </c>
    </row>
    <row r="48" spans="1:24" x14ac:dyDescent="0.35">
      <c r="A48" s="234"/>
      <c r="B48" s="3" t="s">
        <v>53</v>
      </c>
      <c r="C48" s="6" cm="1">
        <f t="array" aca="1" ref="C48" ca="1">IF(C35="","",IF(C35="Buy",IF(OR(C7="",C29=""),"",IF(C7="Electric",SUM(OFFSET(MRB!$R2,MATCH(C29,MRB!$A$3:$A$17,1)+1,0,1,C41))/C41,IF(C7="PHEV",SUM(OFFSET(MRB!$D2,MATCH(C29,MRB!$A$3:$A$17,1)+1,0,1,C41))/C41,INDEX(MRB!$C$3:$C$17,MATCH(C29,MRB!$A$3:$A$17,1)+1)))),0))</f>
        <v>23.316648531011971</v>
      </c>
      <c r="D48" s="4" cm="1">
        <f t="array" aca="1" ref="D48" ca="1">IF(D35="","",IF(D35="Buy",IF(OR(D7="",D29=""),"",IF(D7="Electric",SUM(OFFSET(MRB!$R2,MATCH(D29,MRB!$A$3:$A$17,1)+1,0,1,D41))/D41,IF(D7="PHEV",SUM(OFFSET(MRB!$D2,MATCH(D29,MRB!$A$3:$A$17,1)+1,0,1,D41))/D41,INDEX(MRB!$C$3:$C$17,MATCH(D29,MRB!$A$3:$A$17,1)+1)))),0))</f>
        <v>143.88361104202934</v>
      </c>
      <c r="E48" s="153" cm="1">
        <f t="array" aca="1" ref="E48" ca="1">IF(E35="","",IF(E35="Buy",IF(OR(E7="",E29=""),"",IF(E7="Electric",SUM(OFFSET(MRB!$R2,MATCH(E29,MRB!$A$3:$A$17,1)+1,0,1,E41))/E41,IF(E7="PHEV",SUM(OFFSET(MRB!$D2,MATCH(E29,MRB!$A$3:$A$17,1)+1,0,1,E41))/E41,INDEX(MRB!$C$3:$C$17,MATCH(E29,MRB!$A$3:$A$17,1)+1)))),0))</f>
        <v>149.61365399534523</v>
      </c>
      <c r="F48" s="4" cm="1">
        <f t="array" aca="1" ref="F48" ca="1">IF(F35="","",IF(F35="Buy",IF(OR(F7="",F29=""),"",IF(F7="Electric",SUM(OFFSET(MRB!$R2,MATCH(F29,MRB!$A$3:$A$17,1)+1,0,1,F41))/F41,IF(F7="PHEV",SUM(OFFSET(MRB!$D2,MATCH(F29,MRB!$A$3:$A$17,1)+1,0,1,F41))/F41,INDEX(MRB!$C$3:$C$17,MATCH(F29,MRB!$A$3:$A$17,1)+1)))),0))</f>
        <v>143.88361104202934</v>
      </c>
      <c r="G48" s="4" cm="1">
        <f t="array" aca="1" ref="G48" ca="1">IF(G35="","",IF(G35="Buy",IF(OR(G7="",G29=""),"",IF(G7="Electric",SUM(OFFSET(MRB!$R2,MATCH(G29,MRB!$A$3:$A$17,1)+1,0,1,G41))/G41,IF(G7="PHEV",SUM(OFFSET(MRB!$D2,MATCH(G29,MRB!$A$3:$A$17,1)+1,0,1,G41))/G41,INDEX(MRB!$C$3:$C$17,MATCH(G29,MRB!$A$3:$A$17,1)+1)))),0))</f>
        <v>204</v>
      </c>
      <c r="H48" s="4" cm="1">
        <f t="array" aca="1" ref="H48" ca="1">IF(H35="","",IF(H35="Buy",IF(OR(H7="",H29=""),"",IF(H7="Electric",SUM(OFFSET(MRB!$R2,MATCH(H29,MRB!$A$3:$A$17,1)+1,0,1,H41))/H41,IF(H7="PHEV",SUM(OFFSET(MRB!$D2,MATCH(H29,MRB!$A$3:$A$17,1)+1,0,1,H41))/H41,INDEX(MRB!$C$3:$C$17,MATCH(H29,MRB!$A$3:$A$17,1)+1)))),0))</f>
        <v>272</v>
      </c>
      <c r="I48" s="153" cm="1">
        <f t="array" aca="1" ref="I48" ca="1">IF(I35="","",IF(I35="Buy",IF(OR(I7="",I29=""),"",IF(I7="Electric",SUM(OFFSET(MRB!$R2,MATCH(I29,MRB!$A$3:$A$17,1)+1,0,1,I41))/I41,IF(I7="PHEV",SUM(OFFSET(MRB!$D2,MATCH(I29,MRB!$A$3:$A$17,1)+1,0,1,I41))/I41,INDEX(MRB!$C$3:$C$17,MATCH(I29,MRB!$A$3:$A$17,1)+1)))),0))</f>
        <v>0</v>
      </c>
      <c r="J48" s="4" cm="1">
        <f t="array" aca="1" ref="J48" ca="1">IF(J35="","",IF(J35="Buy",IF(OR(J7="",J29=""),"",IF(J7="Electric",SUM(OFFSET(MRB!$R2,MATCH(J29,MRB!$A$3:$A$17,1)+1,0,1,J41))/J41,IF(J7="PHEV",SUM(OFFSET(MRB!$D2,MATCH(J29,MRB!$A$3:$A$17,1)+1,0,1,J41))/J41,INDEX(MRB!$C$3:$C$17,MATCH(J29,MRB!$A$3:$A$17,1)+1)))),0))</f>
        <v>460</v>
      </c>
      <c r="K48" s="4" cm="1">
        <f t="array" aca="1" ref="K48" ca="1">IF(K35="","",IF(K35="Buy",IF(OR(K7="",K29=""),"",IF(K7="Electric",SUM(OFFSET(MRB!$R2,MATCH(K29,MRB!$A$3:$A$17,1)+1,0,1,K41))/K41,IF(K7="PHEV",SUM(OFFSET(MRB!$D2,MATCH(K29,MRB!$A$3:$A$17,1)+1,0,1,K41))/K41,INDEX(MRB!$C$3:$C$17,MATCH(K29,MRB!$A$3:$A$17,1)+1)))),0))</f>
        <v>668</v>
      </c>
      <c r="L48" s="4" cm="1">
        <f t="array" aca="1" ref="L48" ca="1">IF(L35="","",IF(L35="Buy",IF(OR(L7="",L29=""),"",IF(L7="Electric",SUM(OFFSET(MRB!$R2,MATCH(L29,MRB!$A$3:$A$17,1)+1,0,1,L41))/L41,IF(L7="PHEV",SUM(OFFSET(MRB!$D2,MATCH(L29,MRB!$A$3:$A$17,1)+1,0,1,L41))/L41,INDEX(MRB!$C$3:$C$17,MATCH(L29,MRB!$A$3:$A$17,1)+1)))),0))</f>
        <v>460</v>
      </c>
      <c r="M48" s="153" cm="1">
        <f t="array" aca="1" ref="M48" ca="1">IF(M35="","",IF(M35="Buy",IF(OR(M7="",M29=""),"",IF(M7="Electric",SUM(OFFSET(MRB!$R2,MATCH(M29,MRB!$A$3:$A$17,1)+1,0,1,M41))/M41,IF(M7="PHEV",SUM(OFFSET(MRB!$D2,MATCH(M29,MRB!$A$3:$A$17,1)+1,0,1,M41))/M41,INDEX(MRB!$C$3:$C$17,MATCH(M29,MRB!$A$3:$A$17,1)+1)))),0))</f>
        <v>564</v>
      </c>
      <c r="N48" s="4" cm="1">
        <f t="array" aca="1" ref="N48" ca="1">IF(N35="","",IF(N35="Buy",IF(OR(N7="",N29=""),"",IF(N7="Electric",SUM(OFFSET(MRB!$R2,MATCH(N29,MRB!$A$3:$A$17,1)+1,0,1,N41))/N41,IF(N7="PHEV",SUM(OFFSET(MRB!$D2,MATCH(N29,MRB!$A$3:$A$17,1)+1,0,1,N41))/N41,INDEX(MRB!$C$3:$C$17,MATCH(N29,MRB!$A$3:$A$17,1)+1)))),0))</f>
        <v>771.25751072961373</v>
      </c>
      <c r="O48" s="4" cm="1">
        <f t="array" aca="1" ref="O48" ca="1">IF(O35="","",IF(O35="Buy",IF(OR(O7="",O29=""),"",IF(O7="Electric",SUM(OFFSET(MRB!$R2,MATCH(O29,MRB!$A$3:$A$17,1)+1,0,1,O41))/O41,IF(O7="PHEV",SUM(OFFSET(MRB!$D2,MATCH(O29,MRB!$A$3:$A$17,1)+1,0,1,O41))/O41,INDEX(MRB!$C$3:$C$17,MATCH(O29,MRB!$A$3:$A$17,1)+1)))),0))</f>
        <v>295.15666434054435</v>
      </c>
      <c r="P48" s="4" cm="1">
        <f t="array" aca="1" ref="P48" ca="1">IF(P35="","",IF(P35="Buy",IF(OR(P7="",P29=""),"",IF(P7="Electric",SUM(OFFSET(MRB!$R2,MATCH(P29,MRB!$A$3:$A$17,1)+1,0,1,P41))/P41,IF(P7="PHEV",SUM(OFFSET(MRB!$D2,MATCH(P29,MRB!$A$3:$A$17,1)+1,0,1,P41))/P41,INDEX(MRB!$C$3:$C$17,MATCH(P29,MRB!$A$3:$A$17,1)+1)))),0))</f>
        <v>370.34239240250554</v>
      </c>
      <c r="Q48" s="4" cm="1">
        <f t="array" aca="1" ref="Q48" ca="1">IF(Q35="","",IF(Q35="Buy",IF(OR(Q7="",Q29=""),"",IF(Q7="Electric",SUM(OFFSET(MRB!$R2,MATCH(Q29,MRB!$A$3:$A$17,1)+1,0,1,Q41))/Q41,IF(Q7="PHEV",SUM(OFFSET(MRB!$D2,MATCH(Q29,MRB!$A$3:$A$17,1)+1,0,1,Q41))/Q41,INDEX(MRB!$C$3:$C$17,MATCH(Q29,MRB!$A$3:$A$17,1)+1)))),0))</f>
        <v>217.23651771956855</v>
      </c>
      <c r="R48" s="4" cm="1">
        <f t="array" aca="1" ref="R48" ca="1">IF(R35="","",IF(R35="Buy",IF(OR(R7="",R29=""),"",IF(R7="Electric",SUM(OFFSET(MRB!$R2,MATCH(R29,MRB!$A$3:$A$17,1)+1,0,1,R41))/R41,IF(R7="PHEV",SUM(OFFSET(MRB!$D2,MATCH(R29,MRB!$A$3:$A$17,1)+1,0,1,R41))/R41,INDEX(MRB!$C$3:$C$17,MATCH(R29,MRB!$A$3:$A$17,1)+1)))),0))</f>
        <v>494.6894736842105</v>
      </c>
      <c r="S48" s="4" cm="1">
        <f t="array" aca="1" ref="S48" ca="1">IF(S35="","",IF(S35="Buy",IF(OR(S7="",S29=""),"",IF(S7="Electric",SUM(OFFSET(MRB!$R2,MATCH(S29,MRB!$A$3:$A$17,1)+1,0,1,S41))/S41,IF(S7="PHEV",SUM(OFFSET(MRB!$D2,MATCH(S29,MRB!$A$3:$A$17,1)+1,0,1,S41))/S41,INDEX(MRB!$C$3:$C$17,MATCH(S29,MRB!$A$3:$A$17,1)+1)))),0))</f>
        <v>502.01716279732233</v>
      </c>
      <c r="T48" s="4" cm="1">
        <f t="array" aca="1" ref="T48" ca="1">IF(T35="","",IF(T35="Buy",IF(OR(T7="",T29=""),"",IF(T7="Electric",SUM(OFFSET(MRB!$R2,MATCH(T29,MRB!$A$3:$A$17,1)+1,0,1,T41))/T41,IF(T7="PHEV",SUM(OFFSET(MRB!$D2,MATCH(T29,MRB!$A$3:$A$17,1)+1,0,1,T41))/T41,INDEX(MRB!$C$3:$C$17,MATCH(T29,MRB!$A$3:$A$17,1)+1)))),0))</f>
        <v>748.56214180448671</v>
      </c>
      <c r="U48" s="4" cm="1">
        <f t="array" aca="1" ref="U48" ca="1">IF(U35="","",IF(U35="Buy",IF(OR(U7="",U29=""),"",IF(U7="Electric",SUM(OFFSET(MRB!$R2,MATCH(U29,MRB!$A$3:$A$17,1)+1,0,1,U41))/U41,IF(U7="PHEV",SUM(OFFSET(MRB!$D2,MATCH(U29,MRB!$A$3:$A$17,1)+1,0,1,U41))/U41,INDEX(MRB!$C$3:$C$17,MATCH(U29,MRB!$A$3:$A$17,1)+1)))),0))</f>
        <v>957.85714285714289</v>
      </c>
      <c r="V48" s="4" cm="1">
        <f t="array" aca="1" ref="V48" ca="1">IF(V35="","",IF(V35="Buy",IF(OR(V7="",V29=""),"",IF(V7="Electric",SUM(OFFSET(MRB!$R2,MATCH(V29,MRB!$A$3:$A$17,1)+1,0,1,V41))/V41,IF(V7="PHEV",SUM(OFFSET(MRB!$D2,MATCH(V29,MRB!$A$3:$A$17,1)+1,0,1,V41))/V41,INDEX(MRB!$C$3:$C$17,MATCH(V29,MRB!$A$3:$A$17,1)+1)))),0))</f>
        <v>1044.6428571428571</v>
      </c>
      <c r="W48" s="4" cm="1">
        <f t="array" aca="1" ref="W48" ca="1">IF(W35="","",IF(W35="Buy",IF(OR(W7="",W29=""),"",IF(W7="Electric",SUM(OFFSET(MRB!$R2,MATCH(W29,MRB!$A$3:$A$17,1)+1,0,1,W41))/W41,IF(W7="PHEV",SUM(OFFSET(MRB!$D2,MATCH(W29,MRB!$A$3:$A$17,1)+1,0,1,W41))/W41,INDEX(MRB!$C$3:$C$17,MATCH(W29,MRB!$A$3:$A$17,1)+1)))),0))</f>
        <v>878.94385026737962</v>
      </c>
      <c r="X48" s="5" t="str" cm="1">
        <f t="array" aca="1" ref="X48" ca="1">IF(X35="","",IF(X35="Buy",IF(OR(X7="",X29=""),"",IF(X7="Electric",SUM(OFFSET(MRB!$R2,MATCH(X29,MRB!$A$3:$A$17,1)+1,0,1,X41))/X41,IF(X7="PHEV",SUM(OFFSET(MRB!$D2,MATCH(X29,MRB!$A$3:$A$17,1)+1,0,1,X41))/X41,INDEX(MRB!$C$3:$C$17,MATCH(X29,MRB!$A$3:$A$17,1)+1)))),0))</f>
        <v/>
      </c>
    </row>
    <row r="49" spans="1:24" x14ac:dyDescent="0.35">
      <c r="A49" s="234"/>
      <c r="B49" s="3" t="s">
        <v>111</v>
      </c>
      <c r="C49" s="6">
        <f ca="1">IF(C35="","",IF(C35="Buy",IF(C$41="","",SUM(OFFSET(APK!$B$16,0,0,-C$41))/C$41),0))</f>
        <v>31.795429815016327</v>
      </c>
      <c r="D49" s="4">
        <f ca="1">IF(D35="","",IF(D35="Buy",IF(D$41="","",SUM(OFFSET(APK!$B$16,0,0,-D$41))/D$41),0))</f>
        <v>36.334245212633675</v>
      </c>
      <c r="E49" s="153">
        <f ca="1">IF(E35="","",IF(E35="Buy",IF(E$41="","",SUM(OFFSET(APK!$B$16,0,0,-E$41))/E$41),0))</f>
        <v>37.78122575640031</v>
      </c>
      <c r="F49" s="4">
        <f ca="1">IF(F35="","",IF(F35="Buy",IF(F$41="","",SUM(OFFSET(APK!$B$16,0,0,-F$41))/F$41),0))</f>
        <v>36.334245212633675</v>
      </c>
      <c r="G49" s="4">
        <f ca="1">IF(G35="","",IF(G35="Buy",IF(G$41="","",SUM(OFFSET(APK!$B$16,0,0,-G$41))/G$41),0))</f>
        <v>40</v>
      </c>
      <c r="H49" s="4">
        <f ca="1">IF(H35="","",IF(H35="Buy",IF(H$41="","",SUM(OFFSET(APK!$B$16,0,0,-H$41))/H$41),0))</f>
        <v>33.902828136330669</v>
      </c>
      <c r="I49" s="153">
        <f ca="1">IF(I35="","",IF(I35="Buy",IF(I$41="","",SUM(OFFSET(APK!$B$16,0,0,-I$41))/I$41),0))</f>
        <v>0</v>
      </c>
      <c r="J49" s="4">
        <f ca="1">IF(J35="","",IF(J35="Buy",IF(J$41="","",SUM(OFFSET(APK!$B$16,0,0,-J$41))/J$41),0))</f>
        <v>37.195853791598473</v>
      </c>
      <c r="K49" s="4">
        <f ca="1">IF(K35="","",IF(K35="Buy",IF(K$41="","",SUM(OFFSET(APK!$B$16,0,0,-K$41))/K$41),0))</f>
        <v>32.074643249176724</v>
      </c>
      <c r="L49" s="4">
        <f ca="1">IF(L35="","",IF(L35="Buy",IF(L$41="","",SUM(OFFSET(APK!$B$16,0,0,-L$41))/L$41),0))</f>
        <v>37.047636297772144</v>
      </c>
      <c r="M49" s="153">
        <f ca="1">IF(M35="","",IF(M35="Buy",IF(M$41="","",SUM(OFFSET(APK!$B$16,0,0,-M$41))/M$41),0))</f>
        <v>25.714285714285715</v>
      </c>
      <c r="N49" s="4">
        <f ca="1">IF(N35="","",IF(N35="Buy",IF(N$41="","",SUM(OFFSET(APK!$B$16,0,0,-N$41))/N$41),0))</f>
        <v>39.602439575333179</v>
      </c>
      <c r="O49" s="4">
        <f ca="1">IF(O35="","",IF(O35="Buy",IF(O$41="","",SUM(OFFSET(APK!$B$16,0,0,-O$41))/O$41),0))</f>
        <v>33.984647592463368</v>
      </c>
      <c r="P49" s="4">
        <f ca="1">IF(P35="","",IF(P35="Buy",IF(P$41="","",SUM(OFFSET(APK!$B$16,0,0,-P$41))/P$41),0))</f>
        <v>35.425338452212564</v>
      </c>
      <c r="Q49" s="4">
        <f ca="1">IF(Q35="","",IF(Q35="Buy",IF(Q$41="","",SUM(OFFSET(APK!$B$16,0,0,-Q$41))/Q$41),0))</f>
        <v>36.018489984591675</v>
      </c>
      <c r="R49" s="4">
        <f ca="1">IF(R35="","",IF(R35="Buy",IF(R$41="","",SUM(OFFSET(APK!$B$16,0,0,-R$41))/R$41),0))</f>
        <v>34.175438596491226</v>
      </c>
      <c r="S49" s="4">
        <f ca="1">IF(S35="","",IF(S35="Buy",IF(S$41="","",SUM(OFFSET(APK!$B$16,0,0,-S$41))/S$41),0))</f>
        <v>33.294402506765422</v>
      </c>
      <c r="T49" s="4">
        <f ca="1">IF(T35="","",IF(T35="Buy",IF(T$41="","",SUM(OFFSET(APK!$B$16,0,0,-T$41))/T$41),0))</f>
        <v>33.492713279842803</v>
      </c>
      <c r="U49" s="4">
        <f ca="1">IF(U35="","",IF(U35="Buy",IF(U$41="","",SUM(OFFSET(APK!$B$16,0,0,-U$41))/U$41),0))</f>
        <v>25.714285714285715</v>
      </c>
      <c r="V49" s="4">
        <f ca="1">IF(V35="","",IF(V35="Buy",IF(V$41="","",SUM(OFFSET(APK!$B$16,0,0,-V$41))/V$41),0))</f>
        <v>25.714285714285715</v>
      </c>
      <c r="W49" s="4">
        <f ca="1">IF(W35="","",IF(W35="Buy",IF(W$41="","",SUM(OFFSET(APK!$B$16,0,0,-W$41))/W$41),0))</f>
        <v>32.05265322912382</v>
      </c>
      <c r="X49" s="5" t="str">
        <f ca="1">IF(X35="","",IF(X35="Buy",IF(X$41="","",SUM(OFFSET(APK!$B$16,0,0,-X$41))/X$41),0))</f>
        <v/>
      </c>
    </row>
    <row r="50" spans="1:24" x14ac:dyDescent="0.35">
      <c r="A50" s="234"/>
      <c r="B50" s="3" t="s">
        <v>47</v>
      </c>
      <c r="C50" s="6">
        <f t="shared" ref="C50:X50" si="14">IF(C37=0,"",Parking_permit)</f>
        <v>90</v>
      </c>
      <c r="D50" s="4">
        <f t="shared" si="14"/>
        <v>90</v>
      </c>
      <c r="E50" s="153">
        <f t="shared" si="14"/>
        <v>90</v>
      </c>
      <c r="F50" s="4">
        <f t="shared" si="14"/>
        <v>90</v>
      </c>
      <c r="G50" s="4">
        <f t="shared" si="14"/>
        <v>90</v>
      </c>
      <c r="H50" s="4">
        <f t="shared" si="14"/>
        <v>90</v>
      </c>
      <c r="I50" s="153">
        <f t="shared" si="14"/>
        <v>90</v>
      </c>
      <c r="J50" s="4">
        <f t="shared" si="14"/>
        <v>90</v>
      </c>
      <c r="K50" s="4">
        <f t="shared" si="14"/>
        <v>90</v>
      </c>
      <c r="L50" s="4">
        <f t="shared" si="14"/>
        <v>90</v>
      </c>
      <c r="M50" s="153">
        <f t="shared" si="14"/>
        <v>90</v>
      </c>
      <c r="N50" s="4">
        <f t="shared" si="14"/>
        <v>90</v>
      </c>
      <c r="O50" s="4">
        <f t="shared" si="14"/>
        <v>90</v>
      </c>
      <c r="P50" s="4">
        <f t="shared" si="14"/>
        <v>90</v>
      </c>
      <c r="Q50" s="4">
        <f t="shared" si="14"/>
        <v>90</v>
      </c>
      <c r="R50" s="4">
        <f t="shared" si="14"/>
        <v>90</v>
      </c>
      <c r="S50" s="4">
        <f t="shared" si="14"/>
        <v>90</v>
      </c>
      <c r="T50" s="4">
        <f t="shared" si="14"/>
        <v>90</v>
      </c>
      <c r="U50" s="4">
        <f t="shared" si="14"/>
        <v>90</v>
      </c>
      <c r="V50" s="4">
        <f t="shared" si="14"/>
        <v>90</v>
      </c>
      <c r="W50" s="4">
        <f t="shared" si="14"/>
        <v>90</v>
      </c>
      <c r="X50" s="5" t="str">
        <f t="shared" si="14"/>
        <v/>
      </c>
    </row>
    <row r="51" spans="1:24" ht="15" thickBot="1" x14ac:dyDescent="0.4">
      <c r="A51" s="234"/>
      <c r="B51" s="37" t="s">
        <v>220</v>
      </c>
      <c r="C51" s="38">
        <f t="shared" ref="C51:X51" si="15">IF(C37="","",-0.21*44*3*30/7*10.5)</f>
        <v>-1247.3999999999999</v>
      </c>
      <c r="D51" s="39">
        <f t="shared" si="15"/>
        <v>-1247.3999999999999</v>
      </c>
      <c r="E51" s="154">
        <f t="shared" si="15"/>
        <v>-1247.3999999999999</v>
      </c>
      <c r="F51" s="39">
        <f t="shared" si="15"/>
        <v>-1247.3999999999999</v>
      </c>
      <c r="G51" s="39">
        <f t="shared" si="15"/>
        <v>-1247.3999999999999</v>
      </c>
      <c r="H51" s="39">
        <f t="shared" si="15"/>
        <v>-1247.3999999999999</v>
      </c>
      <c r="I51" s="154">
        <f t="shared" si="15"/>
        <v>-1247.3999999999999</v>
      </c>
      <c r="J51" s="39">
        <f t="shared" si="15"/>
        <v>-1247.3999999999999</v>
      </c>
      <c r="K51" s="39">
        <f t="shared" si="15"/>
        <v>-1247.3999999999999</v>
      </c>
      <c r="L51" s="39">
        <f t="shared" si="15"/>
        <v>-1247.3999999999999</v>
      </c>
      <c r="M51" s="154">
        <f t="shared" si="15"/>
        <v>-1247.3999999999999</v>
      </c>
      <c r="N51" s="39">
        <f t="shared" si="15"/>
        <v>-1247.3999999999999</v>
      </c>
      <c r="O51" s="39">
        <f t="shared" si="15"/>
        <v>-1247.3999999999999</v>
      </c>
      <c r="P51" s="39">
        <f t="shared" si="15"/>
        <v>-1247.3999999999999</v>
      </c>
      <c r="Q51" s="39">
        <f t="shared" si="15"/>
        <v>-1247.3999999999999</v>
      </c>
      <c r="R51" s="39">
        <f t="shared" si="15"/>
        <v>-1247.3999999999999</v>
      </c>
      <c r="S51" s="39">
        <f t="shared" si="15"/>
        <v>-1247.3999999999999</v>
      </c>
      <c r="T51" s="39">
        <f t="shared" si="15"/>
        <v>-1247.3999999999999</v>
      </c>
      <c r="U51" s="39">
        <f t="shared" si="15"/>
        <v>-1247.3999999999999</v>
      </c>
      <c r="V51" s="39">
        <f t="shared" si="15"/>
        <v>-1247.3999999999999</v>
      </c>
      <c r="W51" s="39">
        <f t="shared" si="15"/>
        <v>-1247.3999999999999</v>
      </c>
      <c r="X51" s="40" t="str">
        <f t="shared" si="15"/>
        <v/>
      </c>
    </row>
    <row r="52" spans="1:24" ht="15" thickTop="1" x14ac:dyDescent="0.35">
      <c r="A52" s="234"/>
      <c r="B52" s="45" t="s">
        <v>45</v>
      </c>
      <c r="C52" s="46">
        <f t="shared" ref="C52:X52" ca="1" si="16">IF(C37=0,"",SUM(C45:C51))</f>
        <v>-16.535912948857231</v>
      </c>
      <c r="D52" s="47">
        <f t="shared" ca="1" si="16"/>
        <v>122.17445013678207</v>
      </c>
      <c r="E52" s="155">
        <f t="shared" ca="1" si="16"/>
        <v>138.75684716834758</v>
      </c>
      <c r="F52" s="47">
        <f t="shared" ca="1" si="16"/>
        <v>122.17445013678207</v>
      </c>
      <c r="G52" s="47">
        <f t="shared" ca="1" si="16"/>
        <v>949.16000000000008</v>
      </c>
      <c r="H52" s="47">
        <f t="shared" ca="1" si="16"/>
        <v>557.89732632342293</v>
      </c>
      <c r="I52" s="155">
        <f t="shared" ca="1" si="16"/>
        <v>-167.55299999999988</v>
      </c>
      <c r="J52" s="47">
        <f t="shared" ca="1" si="16"/>
        <v>884.11009929078023</v>
      </c>
      <c r="K52" s="47">
        <f t="shared" ca="1" si="16"/>
        <v>1128.1340973812137</v>
      </c>
      <c r="L52" s="47">
        <f t="shared" ca="1" si="16"/>
        <v>940.32327187103806</v>
      </c>
      <c r="M52" s="155">
        <f t="shared" ca="1" si="16"/>
        <v>1417.7422857142858</v>
      </c>
      <c r="N52" s="47">
        <f t="shared" ca="1" si="16"/>
        <v>1386.9473955274455</v>
      </c>
      <c r="O52" s="47">
        <f t="shared" ca="1" si="16"/>
        <v>398.39302128401982</v>
      </c>
      <c r="P52" s="47">
        <f t="shared" ca="1" si="16"/>
        <v>475.52759618104687</v>
      </c>
      <c r="Q52" s="47">
        <f t="shared" ca="1" si="16"/>
        <v>344.73131510015423</v>
      </c>
      <c r="R52" s="47">
        <f t="shared" ca="1" si="16"/>
        <v>630.30086591478698</v>
      </c>
      <c r="S52" s="47">
        <f t="shared" ca="1" si="16"/>
        <v>638.73268081469882</v>
      </c>
      <c r="T52" s="47">
        <f t="shared" ca="1" si="16"/>
        <v>844.44252806615327</v>
      </c>
      <c r="U52" s="47">
        <f t="shared" ca="1" si="16"/>
        <v>1028.9274285714284</v>
      </c>
      <c r="V52" s="47">
        <f t="shared" ca="1" si="16"/>
        <v>1177.3541428571427</v>
      </c>
      <c r="W52" s="47">
        <f t="shared" ca="1" si="16"/>
        <v>976.75679535170707</v>
      </c>
      <c r="X52" s="48" t="str">
        <f t="shared" si="16"/>
        <v/>
      </c>
    </row>
    <row r="53" spans="1:24" ht="15" thickBot="1" x14ac:dyDescent="0.4">
      <c r="A53" s="234"/>
      <c r="B53" s="8" t="s">
        <v>46</v>
      </c>
      <c r="C53" s="9">
        <f t="shared" ref="C53:X53" ca="1" si="17">IF(C37=0,"",C52/12)</f>
        <v>-1.3779927457381025</v>
      </c>
      <c r="D53" s="10">
        <f t="shared" ca="1" si="17"/>
        <v>10.181204178065173</v>
      </c>
      <c r="E53" s="147">
        <f t="shared" ca="1" si="17"/>
        <v>11.563070597362298</v>
      </c>
      <c r="F53" s="10">
        <f t="shared" ca="1" si="17"/>
        <v>10.181204178065173</v>
      </c>
      <c r="G53" s="10">
        <f t="shared" ca="1" si="17"/>
        <v>79.096666666666678</v>
      </c>
      <c r="H53" s="10">
        <f t="shared" ca="1" si="17"/>
        <v>46.491443860285244</v>
      </c>
      <c r="I53" s="147">
        <f t="shared" ca="1" si="17"/>
        <v>-13.962749999999991</v>
      </c>
      <c r="J53" s="10">
        <f t="shared" ca="1" si="17"/>
        <v>73.675841607565019</v>
      </c>
      <c r="K53" s="10">
        <f t="shared" ca="1" si="17"/>
        <v>94.011174781767807</v>
      </c>
      <c r="L53" s="10">
        <f t="shared" ca="1" si="17"/>
        <v>78.360272655919843</v>
      </c>
      <c r="M53" s="147">
        <f t="shared" ca="1" si="17"/>
        <v>118.14519047619048</v>
      </c>
      <c r="N53" s="10">
        <f t="shared" ca="1" si="17"/>
        <v>115.57894962728712</v>
      </c>
      <c r="O53" s="10">
        <f t="shared" ca="1" si="17"/>
        <v>33.199418440334988</v>
      </c>
      <c r="P53" s="10">
        <f t="shared" ca="1" si="17"/>
        <v>39.627299681753904</v>
      </c>
      <c r="Q53" s="10">
        <f t="shared" ca="1" si="17"/>
        <v>28.727609591679521</v>
      </c>
      <c r="R53" s="10">
        <f t="shared" ca="1" si="17"/>
        <v>52.525072159565582</v>
      </c>
      <c r="S53" s="10">
        <f t="shared" ca="1" si="17"/>
        <v>53.2277234012249</v>
      </c>
      <c r="T53" s="10">
        <f t="shared" ca="1" si="17"/>
        <v>70.370210672179439</v>
      </c>
      <c r="U53" s="10">
        <f t="shared" ca="1" si="17"/>
        <v>85.743952380952365</v>
      </c>
      <c r="V53" s="10">
        <f t="shared" ca="1" si="17"/>
        <v>98.112845238095233</v>
      </c>
      <c r="W53" s="10">
        <f t="shared" ca="1" si="17"/>
        <v>81.396399612642256</v>
      </c>
      <c r="X53" s="11" t="str">
        <f t="shared" si="17"/>
        <v/>
      </c>
    </row>
    <row r="54" spans="1:24" ht="15" thickTop="1" x14ac:dyDescent="0.35">
      <c r="A54" s="234"/>
      <c r="B54" s="78" t="s">
        <v>51</v>
      </c>
      <c r="C54" s="79">
        <f t="shared" ref="C54:X54" ca="1" si="18">IF(C37=0,"",C44+C52)</f>
        <v>1268.5293754080526</v>
      </c>
      <c r="D54" s="80">
        <f t="shared" ca="1" si="18"/>
        <v>894.27716090524768</v>
      </c>
      <c r="E54" s="156">
        <f t="shared" ca="1" si="18"/>
        <v>1261.8037827773469</v>
      </c>
      <c r="F54" s="80">
        <f t="shared" ca="1" si="18"/>
        <v>894.27716090524768</v>
      </c>
      <c r="G54" s="80">
        <f t="shared" ca="1" si="18"/>
        <v>2046.66</v>
      </c>
      <c r="H54" s="80">
        <f t="shared" ca="1" si="18"/>
        <v>1220.0619383611315</v>
      </c>
      <c r="I54" s="156">
        <f t="shared" ca="1" si="18"/>
        <v>3037.4470000000001</v>
      </c>
      <c r="J54" s="80">
        <f t="shared" ca="1" si="18"/>
        <v>2205.8913322422259</v>
      </c>
      <c r="K54" s="80">
        <f t="shared" ca="1" si="18"/>
        <v>2611.5863476556369</v>
      </c>
      <c r="L54" s="80">
        <f t="shared" ca="1" si="18"/>
        <v>2058.36801014309</v>
      </c>
      <c r="M54" s="156">
        <f t="shared" ca="1" si="18"/>
        <v>3088.4565714285718</v>
      </c>
      <c r="N54" s="80">
        <f t="shared" ca="1" si="18"/>
        <v>2830.7863383781341</v>
      </c>
      <c r="O54" s="80">
        <f t="shared" ca="1" si="18"/>
        <v>2004.1676200279139</v>
      </c>
      <c r="P54" s="80">
        <f t="shared" ca="1" si="18"/>
        <v>1860.8059352394425</v>
      </c>
      <c r="Q54" s="80">
        <f t="shared" ca="1" si="18"/>
        <v>2017.3399437596302</v>
      </c>
      <c r="R54" s="80">
        <f t="shared" ca="1" si="18"/>
        <v>2082.7570062656641</v>
      </c>
      <c r="S54" s="80">
        <f t="shared" ca="1" si="18"/>
        <v>1778.025516593078</v>
      </c>
      <c r="T54" s="80">
        <f t="shared" ca="1" si="18"/>
        <v>2836.062799885377</v>
      </c>
      <c r="U54" s="80">
        <f t="shared" ca="1" si="18"/>
        <v>2734.9988571428571</v>
      </c>
      <c r="V54" s="80">
        <f t="shared" ca="1" si="18"/>
        <v>3691.5541428571432</v>
      </c>
      <c r="W54" s="80">
        <f t="shared" ca="1" si="18"/>
        <v>3113.2464292472232</v>
      </c>
      <c r="X54" s="81" t="str">
        <f t="shared" si="18"/>
        <v/>
      </c>
    </row>
    <row r="55" spans="1:24" x14ac:dyDescent="0.35">
      <c r="A55" s="235"/>
      <c r="B55" s="3" t="s">
        <v>52</v>
      </c>
      <c r="C55" s="6">
        <f t="shared" ref="C55:X55" ca="1" si="19">IF(C37=0,"",C54/12)</f>
        <v>105.71078128400438</v>
      </c>
      <c r="D55" s="4">
        <f t="shared" ca="1" si="19"/>
        <v>74.523096742103974</v>
      </c>
      <c r="E55" s="153">
        <f t="shared" ca="1" si="19"/>
        <v>105.15031523144557</v>
      </c>
      <c r="F55" s="4">
        <f t="shared" ca="1" si="19"/>
        <v>74.523096742103974</v>
      </c>
      <c r="G55" s="4">
        <f t="shared" ca="1" si="19"/>
        <v>170.55500000000001</v>
      </c>
      <c r="H55" s="4">
        <f t="shared" ca="1" si="19"/>
        <v>101.67182819676096</v>
      </c>
      <c r="I55" s="153">
        <f t="shared" ca="1" si="19"/>
        <v>253.12058333333334</v>
      </c>
      <c r="J55" s="4">
        <f t="shared" ca="1" si="19"/>
        <v>183.82427768685216</v>
      </c>
      <c r="K55" s="4">
        <f t="shared" ca="1" si="19"/>
        <v>217.63219563796974</v>
      </c>
      <c r="L55" s="4">
        <f t="shared" ca="1" si="19"/>
        <v>171.53066751192418</v>
      </c>
      <c r="M55" s="153">
        <f t="shared" ca="1" si="19"/>
        <v>257.371380952381</v>
      </c>
      <c r="N55" s="4">
        <f t="shared" ca="1" si="19"/>
        <v>235.89886153151119</v>
      </c>
      <c r="O55" s="4">
        <f t="shared" ca="1" si="19"/>
        <v>167.01396833565948</v>
      </c>
      <c r="P55" s="4">
        <f t="shared" ca="1" si="19"/>
        <v>155.06716126995354</v>
      </c>
      <c r="Q55" s="4">
        <f t="shared" ca="1" si="19"/>
        <v>168.11166197996917</v>
      </c>
      <c r="R55" s="4">
        <f t="shared" ca="1" si="19"/>
        <v>173.563083855472</v>
      </c>
      <c r="S55" s="4">
        <f t="shared" ca="1" si="19"/>
        <v>148.16879304942316</v>
      </c>
      <c r="T55" s="4">
        <f t="shared" ca="1" si="19"/>
        <v>236.33856665711474</v>
      </c>
      <c r="U55" s="4">
        <f t="shared" ca="1" si="19"/>
        <v>227.91657142857142</v>
      </c>
      <c r="V55" s="4">
        <f t="shared" ca="1" si="19"/>
        <v>307.62951190476196</v>
      </c>
      <c r="W55" s="4">
        <f t="shared" ca="1" si="19"/>
        <v>259.43720243726858</v>
      </c>
      <c r="X55" s="5" t="str">
        <f t="shared" si="19"/>
        <v/>
      </c>
    </row>
    <row r="56" spans="1:24" x14ac:dyDescent="0.35">
      <c r="A56" s="231" t="s">
        <v>38</v>
      </c>
      <c r="B56" s="113" t="s">
        <v>66</v>
      </c>
      <c r="C56" s="117">
        <v>62661</v>
      </c>
      <c r="D56" s="118">
        <v>94895</v>
      </c>
      <c r="E56" s="120">
        <v>39666</v>
      </c>
      <c r="F56" s="118">
        <v>94895</v>
      </c>
      <c r="G56" s="118">
        <v>110000</v>
      </c>
      <c r="H56" s="118">
        <v>56329</v>
      </c>
      <c r="I56" s="120"/>
      <c r="J56" s="118">
        <v>61150</v>
      </c>
      <c r="K56" s="118">
        <v>117786</v>
      </c>
      <c r="L56" s="118">
        <v>83010</v>
      </c>
      <c r="M56" s="120"/>
      <c r="N56" s="118">
        <v>126913</v>
      </c>
      <c r="O56" s="118">
        <v>55347</v>
      </c>
      <c r="P56" s="118">
        <v>83933</v>
      </c>
      <c r="Q56" s="118">
        <v>86023</v>
      </c>
      <c r="R56" s="118">
        <v>24629</v>
      </c>
      <c r="S56" s="118">
        <v>95000</v>
      </c>
      <c r="T56" s="118">
        <v>140972</v>
      </c>
      <c r="U56" s="118"/>
      <c r="V56" s="118"/>
      <c r="W56" s="118">
        <v>76300</v>
      </c>
      <c r="X56" s="119"/>
    </row>
    <row r="57" spans="1:24" x14ac:dyDescent="0.35">
      <c r="A57" s="232"/>
      <c r="B57" s="113" t="s">
        <v>39</v>
      </c>
      <c r="C57" s="123">
        <v>41379</v>
      </c>
      <c r="D57" s="124">
        <v>42011</v>
      </c>
      <c r="E57" s="157">
        <v>41934</v>
      </c>
      <c r="F57" s="124">
        <v>42011</v>
      </c>
      <c r="G57" s="124">
        <v>38306</v>
      </c>
      <c r="H57" s="124">
        <v>43448</v>
      </c>
      <c r="I57" s="157"/>
      <c r="J57" s="124">
        <v>42750</v>
      </c>
      <c r="K57" s="124">
        <v>43189</v>
      </c>
      <c r="L57" s="124">
        <v>42761</v>
      </c>
      <c r="M57" s="157"/>
      <c r="N57" s="124">
        <v>42214</v>
      </c>
      <c r="O57" s="124">
        <v>42150</v>
      </c>
      <c r="P57" s="124">
        <v>42475</v>
      </c>
      <c r="Q57" s="124">
        <v>41623</v>
      </c>
      <c r="R57" s="124">
        <v>42993</v>
      </c>
      <c r="S57" s="124">
        <v>43511</v>
      </c>
      <c r="T57" s="124">
        <v>43054</v>
      </c>
      <c r="U57" s="124"/>
      <c r="V57" s="124"/>
      <c r="W57" s="124">
        <v>43647</v>
      </c>
      <c r="X57" s="125"/>
    </row>
    <row r="58" spans="1:24" ht="15" thickBot="1" x14ac:dyDescent="0.4">
      <c r="A58" s="233"/>
      <c r="B58" s="126" t="s">
        <v>142</v>
      </c>
      <c r="C58" s="127" t="s">
        <v>163</v>
      </c>
      <c r="D58" s="128" t="s">
        <v>164</v>
      </c>
      <c r="E58" s="158" t="s">
        <v>192</v>
      </c>
      <c r="F58" s="128" t="s">
        <v>164</v>
      </c>
      <c r="G58" s="128"/>
      <c r="H58" s="128" t="s">
        <v>169</v>
      </c>
      <c r="I58" s="158"/>
      <c r="J58" s="128" t="s">
        <v>76</v>
      </c>
      <c r="K58" s="128" t="s">
        <v>143</v>
      </c>
      <c r="L58" s="128" t="s">
        <v>143</v>
      </c>
      <c r="M58" s="158"/>
      <c r="N58" s="128" t="s">
        <v>225</v>
      </c>
      <c r="O58" s="128" t="s">
        <v>187</v>
      </c>
      <c r="P58" s="128" t="s">
        <v>189</v>
      </c>
      <c r="Q58" s="128" t="s">
        <v>232</v>
      </c>
      <c r="R58" s="128" t="s">
        <v>230</v>
      </c>
      <c r="S58" s="128"/>
      <c r="T58" s="128"/>
      <c r="U58" s="128"/>
      <c r="V58" s="128"/>
      <c r="W58" s="128"/>
      <c r="X58" s="129"/>
    </row>
    <row r="60" spans="1:24" x14ac:dyDescent="0.35">
      <c r="J60" s="101"/>
      <c r="M60" s="101"/>
    </row>
  </sheetData>
  <sheetProtection insertColumns="0" insertHyperlinks="0" selectLockedCells="1"/>
  <mergeCells count="12">
    <mergeCell ref="A1:A2"/>
    <mergeCell ref="A3:A4"/>
    <mergeCell ref="A56:A58"/>
    <mergeCell ref="A5:A6"/>
    <mergeCell ref="A7:A13"/>
    <mergeCell ref="A14:A16"/>
    <mergeCell ref="A17:A18"/>
    <mergeCell ref="A19:A20"/>
    <mergeCell ref="A21:A27"/>
    <mergeCell ref="A28:A30"/>
    <mergeCell ref="A31:A32"/>
    <mergeCell ref="A35:A55"/>
  </mergeCells>
  <conditionalFormatting sqref="C55:X55">
    <cfRule type="dataBar" priority="12">
      <dataBar>
        <cfvo type="num" val="0"/>
        <cfvo type="max"/>
        <color rgb="FFFF555A"/>
      </dataBar>
      <extLst>
        <ext xmlns:x14="http://schemas.microsoft.com/office/spreadsheetml/2009/9/main" uri="{B025F937-C7B1-47D3-B67F-A62EFF666E3E}">
          <x14:id>{BD22F63C-3571-42F8-BA8F-5C9FF1639D22}</x14:id>
        </ext>
      </extLst>
    </cfRule>
  </conditionalFormatting>
  <conditionalFormatting sqref="C45:X50">
    <cfRule type="dataBar" priority="13">
      <dataBar>
        <cfvo type="num" val="0"/>
        <cfvo type="max"/>
        <color rgb="FFFFB628"/>
      </dataBar>
      <extLst>
        <ext xmlns:x14="http://schemas.microsoft.com/office/spreadsheetml/2009/9/main" uri="{B025F937-C7B1-47D3-B67F-A62EFF666E3E}">
          <x14:id>{155B0312-F73B-44DF-B90A-AE9ACFBA77B2}</x14:id>
        </ext>
      </extLst>
    </cfRule>
  </conditionalFormatting>
  <conditionalFormatting sqref="C7:X7">
    <cfRule type="cellIs" dxfId="2" priority="3" operator="equal">
      <formula>"Electric"</formula>
    </cfRule>
    <cfRule type="cellIs" dxfId="1" priority="2" operator="equal">
      <formula>"PHEV"</formula>
    </cfRule>
    <cfRule type="cellIs" dxfId="0" priority="1" operator="equal">
      <formula>"Petrol"</formula>
    </cfRule>
  </conditionalFormatting>
  <dataValidations count="3">
    <dataValidation type="list" allowBlank="1" showInputMessage="1" showErrorMessage="1" sqref="C7:X7" xr:uid="{7B392EFD-4167-4C76-8E82-78C91D72D759}">
      <formula1>"Electric,PHEV,Petrol"</formula1>
    </dataValidation>
    <dataValidation type="list" allowBlank="1" showInputMessage="1" showErrorMessage="1" sqref="C6:X6" xr:uid="{39EC7052-AA71-461C-8856-108319D8C001}">
      <formula1>"5-speed,6-speed,Reduction gear,Automatic"</formula1>
    </dataValidation>
    <dataValidation type="list" allowBlank="1" showInputMessage="1" showErrorMessage="1" sqref="C35:X35" xr:uid="{8E51E6D0-A3EB-49AE-B312-E50D25114A35}">
      <formula1>"Buy,Lease"</formula1>
    </dataValidation>
  </dataValidations>
  <hyperlinks>
    <hyperlink ref="M3" r:id="rId1" location="/voorraad/volkswagen/polo/hatchback/296666880/10-tsi-polo" xr:uid="{79D74A66-4999-47DB-B606-F1B3DEB9A707}"/>
    <hyperlink ref="J3" r:id="rId2" xr:uid="{4865E192-47B8-40CC-9900-A387BFDB225D}"/>
    <hyperlink ref="C3" r:id="rId3" display="https://www.autoscout24.nl/aanbod/smart-fortwo-eigen-accu-electric-drive-elektrisch-grijs-3bd998d5-079b-47ae-b13f-2211e3e574c9?sort=price&amp;desc=0&amp;lastSeenGuidPresent=true&amp;cldtidx=56&amp;position=56&amp;search_id=ndkds14l6u&amp;source_otp=t10&amp;source=listpage_search-results" xr:uid="{3D115DA8-8F89-45A1-9E31-06C081D18963}"/>
    <hyperlink ref="T3" r:id="rId4" display="https://www.autoscout24.nl/aanbod/opel-ampera-e-launch-executive-60-kwh-stoel-stuur-verw-camera-elektrisch-grijs-148fed86-3dfd-42f7-9a60-47f00ecfe030?sort=standard&amp;desc=0&amp;lastSeenGuidPresent=true&amp;cldtidx=9&amp;position=9&amp;search_id=ud92zyhwea&amp;source_otp=t30&amp;source=listpage_search-results" xr:uid="{E6AFC7B3-C54E-40B7-A2B4-319885AA8DB2}"/>
    <hyperlink ref="G3" r:id="rId5" xr:uid="{38855460-C812-46EA-BD0E-A545CA238738}"/>
    <hyperlink ref="K3" r:id="rId6" xr:uid="{3B1D7C4B-55ED-4856-A485-A566ED5E8B54}"/>
    <hyperlink ref="I3" r:id="rId7" xr:uid="{EB11FB53-D4DD-4F02-BE36-4760D752739F}"/>
    <hyperlink ref="D3" r:id="rId8" xr:uid="{6B6B7765-0075-40C0-BBB5-0539880B7E28}"/>
    <hyperlink ref="H3" r:id="rId9" xr:uid="{A2D190EF-0353-400C-BDC1-41D65A7DD24C}"/>
    <hyperlink ref="L3" r:id="rId10" xr:uid="{F890AD8A-362A-458D-BC63-2C83D59B2DC1}"/>
    <hyperlink ref="O3" r:id="rId11" location="1427122578-2078578-bmw-i3-range-extender-ecc-airco-navigatie-55dkm-hist-aanw" xr:uid="{604CA813-A01E-4D09-A2A1-063881BE31E2}"/>
    <hyperlink ref="P3" r:id="rId12" xr:uid="{4757856E-39CE-4D2A-BBC9-B7DF6E4DFC54}"/>
    <hyperlink ref="E3" r:id="rId13" xr:uid="{25E063BA-CDD7-4D83-BCD9-9112A8B324F0}"/>
    <hyperlink ref="F3" r:id="rId14" xr:uid="{5FFA6E32-43A8-49E5-B636-3DB5782C305D}"/>
    <hyperlink ref="R3" r:id="rId15" display="https://www.autoscout24.nl/aanbod/bmw-i3-range-extender-94ah-24-292km-elektro-benzine-wit-3dc04599-4b00-46d1-a003-c13ef5db2cf4?sort=price&amp;desc=0&amp;lastSeenGuidPresent=false&amp;cldtidx=2&amp;position=2&amp;search_id=y6jkhwj8v0&amp;source_otp=t10&amp;source=listpage_search-results&amp;order_bucket=unknown" xr:uid="{ECA9EA3D-999D-4083-9622-A4C1EF090615}"/>
    <hyperlink ref="Q3" r:id="rId16" display="https://www.autoscout24.nl/aanbod/bmw-i3-range-extender-leder-navi-schuif-kanteldak-elektro-benzine-oranje-bedd4c4d-c582-4596-83d4-09ab7a437b8a?sort=price&amp;desc=0&amp;lastSeenGuidPresent=true&amp;cldtidx=1&amp;position=1&amp;search_id=jyvlmqt27e&amp;source_otp=t10&amp;source=listpage_search-results&amp;order_bucket=unknown" xr:uid="{0D073BCD-C02A-4635-AB3A-07ECD6254F26}"/>
    <hyperlink ref="S3" r:id="rId17" xr:uid="{DD8F4EE4-CA68-40C9-9A52-AA0C1BD24B0C}"/>
    <hyperlink ref="S33" r:id="rId18" xr:uid="{3F6BAB83-30DF-48B3-BCA7-3257AE037C4A}"/>
    <hyperlink ref="O33" r:id="rId19" xr:uid="{2BA55023-512D-4E00-8B1D-18F26FFF67E9}"/>
    <hyperlink ref="P33" r:id="rId20" xr:uid="{14475C26-4405-4C33-8083-B3B51E9B856E}"/>
    <hyperlink ref="Q33" r:id="rId21" xr:uid="{482FC686-61D1-46EF-A83B-3B8D15598B9F}"/>
    <hyperlink ref="R33" r:id="rId22" xr:uid="{ABD58584-6FD2-4042-8969-3608D8707DB7}"/>
    <hyperlink ref="T33" r:id="rId23" xr:uid="{2D92A373-BC17-4300-888B-BA8E753305C4}"/>
    <hyperlink ref="W33" r:id="rId24" xr:uid="{BFCB7097-4715-484C-9386-B9F9963C6B25}"/>
    <hyperlink ref="V33" r:id="rId25" xr:uid="{140992E2-4A29-454D-B828-916DA0D3DA68}"/>
    <hyperlink ref="U33" r:id="rId26" xr:uid="{E27FE8EA-6A71-416D-A545-073EB6DDDA0C}"/>
  </hyperlinks>
  <pageMargins left="0.7" right="0.7" top="0.75" bottom="0.75" header="0.3" footer="0.3"/>
  <pageSetup paperSize="9" orientation="portrait" r:id="rId27"/>
  <ignoredErrors>
    <ignoredError sqref="X12 G12:I12 T46:X46 G46:I46 J12:M12 C46:F46 S46 I37 O46:P46 J46:M46 N46 Q46:R46" unlockedFormula="1"/>
  </ignoredErrors>
  <drawing r:id="rId28"/>
  <legacyDrawing r:id="rId29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D22F63C-3571-42F8-BA8F-5C9FF1639D22}">
            <x14:dataBar minLength="0" maxLength="100" border="1" negativeBarBorderColorSameAsPositive="0">
              <x14:cfvo type="num">
                <xm:f>0</xm:f>
              </x14:cfvo>
              <x14:cfvo type="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C55:X55</xm:sqref>
        </x14:conditionalFormatting>
        <x14:conditionalFormatting xmlns:xm="http://schemas.microsoft.com/office/excel/2006/main">
          <x14:cfRule type="dataBar" id="{155B0312-F73B-44DF-B90A-AE9ACFBA77B2}">
            <x14:dataBar minLength="0" maxLength="100" border="1" negativeBarBorderColorSameAsPositive="0">
              <x14:cfvo type="num">
                <xm:f>0</xm:f>
              </x14:cfvo>
              <x14:cfvo type="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C45:X50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7E535-A8BB-45F4-9E0E-EE548AA317A2}">
  <sheetPr codeName="Sheet10"/>
  <dimension ref="A1:C48"/>
  <sheetViews>
    <sheetView showGridLines="0" workbookViewId="0"/>
  </sheetViews>
  <sheetFormatPr defaultRowHeight="14.5" x14ac:dyDescent="0.35"/>
  <cols>
    <col min="1" max="1" width="33.81640625" customWidth="1"/>
    <col min="2" max="3" width="8.7265625" customWidth="1"/>
  </cols>
  <sheetData>
    <row r="1" spans="1:2" x14ac:dyDescent="0.35">
      <c r="A1" s="186" t="s">
        <v>209</v>
      </c>
    </row>
    <row r="2" spans="1:2" x14ac:dyDescent="0.35">
      <c r="A2" t="s">
        <v>240</v>
      </c>
    </row>
    <row r="5" spans="1:2" x14ac:dyDescent="0.35">
      <c r="A5" s="186" t="s">
        <v>198</v>
      </c>
    </row>
    <row r="6" spans="1:2" x14ac:dyDescent="0.35">
      <c r="A6" s="168" t="s">
        <v>197</v>
      </c>
    </row>
    <row r="7" spans="1:2" x14ac:dyDescent="0.35">
      <c r="A7" s="168"/>
    </row>
    <row r="8" spans="1:2" x14ac:dyDescent="0.35">
      <c r="A8" s="187" t="s">
        <v>121</v>
      </c>
      <c r="B8" s="187" t="s">
        <v>57</v>
      </c>
    </row>
    <row r="9" spans="1:2" x14ac:dyDescent="0.35">
      <c r="A9" s="187" t="s">
        <v>199</v>
      </c>
      <c r="B9" s="200">
        <v>52.5</v>
      </c>
    </row>
    <row r="10" spans="1:2" x14ac:dyDescent="0.35">
      <c r="A10" s="187" t="s">
        <v>200</v>
      </c>
      <c r="B10" s="200">
        <v>43.4</v>
      </c>
    </row>
    <row r="11" spans="1:2" x14ac:dyDescent="0.35">
      <c r="A11" s="187" t="s">
        <v>201</v>
      </c>
      <c r="B11" s="200">
        <v>11.4</v>
      </c>
    </row>
    <row r="12" spans="1:2" x14ac:dyDescent="0.35">
      <c r="A12" s="187" t="s">
        <v>202</v>
      </c>
      <c r="B12" s="200">
        <v>22.5</v>
      </c>
    </row>
    <row r="13" spans="1:2" x14ac:dyDescent="0.35">
      <c r="A13" s="187" t="s">
        <v>30</v>
      </c>
      <c r="B13" s="200">
        <f>SUM(B9:B12)</f>
        <v>129.80000000000001</v>
      </c>
    </row>
    <row r="16" spans="1:2" x14ac:dyDescent="0.35">
      <c r="A16" s="186" t="s">
        <v>203</v>
      </c>
    </row>
    <row r="17" spans="1:3" x14ac:dyDescent="0.35">
      <c r="A17" s="168" t="s">
        <v>214</v>
      </c>
    </row>
    <row r="19" spans="1:3" x14ac:dyDescent="0.35">
      <c r="A19" t="s">
        <v>210</v>
      </c>
    </row>
    <row r="20" spans="1:3" x14ac:dyDescent="0.35">
      <c r="A20" s="187" t="s">
        <v>9</v>
      </c>
      <c r="B20" s="187" t="s">
        <v>211</v>
      </c>
      <c r="C20" s="187" t="s">
        <v>212</v>
      </c>
    </row>
    <row r="21" spans="1:3" x14ac:dyDescent="0.35">
      <c r="A21" s="187">
        <v>0</v>
      </c>
      <c r="B21" s="200">
        <v>0</v>
      </c>
      <c r="C21" s="200">
        <v>0</v>
      </c>
    </row>
    <row r="22" spans="1:3" x14ac:dyDescent="0.35">
      <c r="A22" s="187" t="s">
        <v>204</v>
      </c>
      <c r="B22" s="187" t="s">
        <v>211</v>
      </c>
      <c r="C22" s="187" t="s">
        <v>212</v>
      </c>
    </row>
    <row r="23" spans="1:3" x14ac:dyDescent="0.35">
      <c r="A23" s="187">
        <v>0</v>
      </c>
      <c r="B23" s="188">
        <v>0</v>
      </c>
      <c r="C23" s="188">
        <v>26</v>
      </c>
    </row>
    <row r="24" spans="1:3" x14ac:dyDescent="0.35">
      <c r="A24" s="187">
        <v>34</v>
      </c>
      <c r="B24" s="188">
        <v>884</v>
      </c>
      <c r="C24" s="188">
        <v>91</v>
      </c>
    </row>
    <row r="25" spans="1:3" x14ac:dyDescent="0.35">
      <c r="A25" s="187">
        <v>60</v>
      </c>
      <c r="B25" s="188">
        <v>3250</v>
      </c>
      <c r="C25" s="188">
        <v>217</v>
      </c>
    </row>
    <row r="26" spans="1:3" x14ac:dyDescent="0.35">
      <c r="A26" s="187" t="s">
        <v>31</v>
      </c>
      <c r="B26" s="187"/>
      <c r="C26" s="187"/>
    </row>
    <row r="27" spans="1:3" x14ac:dyDescent="0.35">
      <c r="A27" s="187">
        <v>0</v>
      </c>
      <c r="B27" s="188">
        <v>400</v>
      </c>
      <c r="C27" s="188">
        <v>2</v>
      </c>
    </row>
    <row r="28" spans="1:3" x14ac:dyDescent="0.35">
      <c r="A28" s="187">
        <v>82</v>
      </c>
      <c r="B28" s="188">
        <v>564</v>
      </c>
      <c r="C28" s="188">
        <v>68</v>
      </c>
    </row>
    <row r="29" spans="1:3" x14ac:dyDescent="0.35">
      <c r="A29" s="187">
        <v>106</v>
      </c>
      <c r="B29" s="188">
        <v>2196</v>
      </c>
      <c r="C29" s="188">
        <v>149</v>
      </c>
    </row>
    <row r="30" spans="1:3" x14ac:dyDescent="0.35">
      <c r="A30" s="187">
        <v>148</v>
      </c>
      <c r="B30" s="188">
        <v>8454</v>
      </c>
      <c r="C30" s="188">
        <v>244</v>
      </c>
    </row>
    <row r="31" spans="1:3" x14ac:dyDescent="0.35">
      <c r="A31" s="187">
        <v>165</v>
      </c>
      <c r="B31" s="188">
        <v>12602</v>
      </c>
      <c r="C31" s="188">
        <v>488</v>
      </c>
    </row>
    <row r="34" spans="1:3" x14ac:dyDescent="0.35">
      <c r="A34" s="187" t="s">
        <v>215</v>
      </c>
      <c r="B34" s="187" t="s">
        <v>211</v>
      </c>
      <c r="C34" s="187" t="s">
        <v>212</v>
      </c>
    </row>
    <row r="35" spans="1:3" x14ac:dyDescent="0.35">
      <c r="A35" s="201">
        <v>0</v>
      </c>
      <c r="B35" s="202">
        <v>0</v>
      </c>
      <c r="C35" s="203">
        <v>0.08</v>
      </c>
    </row>
    <row r="36" spans="1:3" x14ac:dyDescent="0.35">
      <c r="A36" s="201">
        <f>1/12</f>
        <v>8.3333333333333329E-2</v>
      </c>
      <c r="B36" s="202">
        <v>0.08</v>
      </c>
      <c r="C36" s="203">
        <v>0.03</v>
      </c>
    </row>
    <row r="37" spans="1:3" x14ac:dyDescent="0.35">
      <c r="A37" s="201">
        <f>3/12</f>
        <v>0.25</v>
      </c>
      <c r="B37" s="202">
        <v>0.14000000000000001</v>
      </c>
      <c r="C37" s="203">
        <v>2.5000000000000001E-2</v>
      </c>
    </row>
    <row r="38" spans="1:3" x14ac:dyDescent="0.35">
      <c r="A38" s="201">
        <f>5/12</f>
        <v>0.41666666666666669</v>
      </c>
      <c r="B38" s="202">
        <v>0.19</v>
      </c>
      <c r="C38" s="203">
        <v>2.2499999999999999E-2</v>
      </c>
    </row>
    <row r="39" spans="1:3" x14ac:dyDescent="0.35">
      <c r="A39" s="201">
        <f>9/12</f>
        <v>0.75</v>
      </c>
      <c r="B39" s="202">
        <v>0.28000000000000003</v>
      </c>
      <c r="C39" s="203">
        <v>1.444E-2</v>
      </c>
    </row>
    <row r="40" spans="1:3" x14ac:dyDescent="0.35">
      <c r="A40" s="201">
        <f>(1*12+6)/12</f>
        <v>1.5</v>
      </c>
      <c r="B40" s="202">
        <v>0.41</v>
      </c>
      <c r="C40" s="203">
        <v>9.1699999999999993E-3</v>
      </c>
    </row>
    <row r="41" spans="1:3" x14ac:dyDescent="0.35">
      <c r="A41" s="201">
        <f>(2*12+6)/12</f>
        <v>2.5</v>
      </c>
      <c r="B41" s="202">
        <v>0.52</v>
      </c>
      <c r="C41" s="203">
        <v>8.3300000000000006E-3</v>
      </c>
    </row>
    <row r="42" spans="1:3" x14ac:dyDescent="0.35">
      <c r="A42" s="201">
        <f>(3*12+6)/12</f>
        <v>3.5</v>
      </c>
      <c r="B42" s="202">
        <v>0.62</v>
      </c>
      <c r="C42" s="203">
        <v>7.4999999999999997E-3</v>
      </c>
    </row>
    <row r="43" spans="1:3" x14ac:dyDescent="0.35">
      <c r="A43" s="201">
        <f>(4*12+6)/12</f>
        <v>4.5</v>
      </c>
      <c r="B43" s="202">
        <v>0.71</v>
      </c>
      <c r="C43" s="203">
        <v>4.1599999999999996E-3</v>
      </c>
    </row>
    <row r="44" spans="1:3" x14ac:dyDescent="0.35">
      <c r="A44" s="201">
        <f>(5*12+6)/12</f>
        <v>5.5</v>
      </c>
      <c r="B44" s="202">
        <v>0.76</v>
      </c>
      <c r="C44" s="203">
        <v>4.1599999999999996E-3</v>
      </c>
    </row>
    <row r="45" spans="1:3" x14ac:dyDescent="0.35">
      <c r="A45" s="201">
        <f>(6*12+6)/12</f>
        <v>6.5</v>
      </c>
      <c r="B45" s="202">
        <v>0.81</v>
      </c>
      <c r="C45" s="203">
        <v>3.3300000000000001E-3</v>
      </c>
    </row>
    <row r="46" spans="1:3" x14ac:dyDescent="0.35">
      <c r="A46" s="201">
        <f>(7*12+6)/12</f>
        <v>7.5</v>
      </c>
      <c r="B46" s="202">
        <v>0.85</v>
      </c>
      <c r="C46" s="203">
        <v>3.3300000000000001E-3</v>
      </c>
    </row>
    <row r="47" spans="1:3" x14ac:dyDescent="0.35">
      <c r="A47" s="201">
        <f>(8*12+6)/12</f>
        <v>8.5</v>
      </c>
      <c r="B47" s="202">
        <v>0.89</v>
      </c>
      <c r="C47" s="203">
        <v>2.5000000000000001E-3</v>
      </c>
    </row>
    <row r="48" spans="1:3" x14ac:dyDescent="0.35">
      <c r="A48" s="201">
        <f>(9*12+6)/12</f>
        <v>9.5</v>
      </c>
      <c r="B48" s="202">
        <v>0.92</v>
      </c>
      <c r="C48" s="203">
        <v>8.3000000000000001E-4</v>
      </c>
    </row>
  </sheetData>
  <sheetProtection selectLockedCells="1"/>
  <hyperlinks>
    <hyperlink ref="A6" r:id="rId1" xr:uid="{71CA6E33-359D-4D49-8ADC-936DCF0F3582}"/>
    <hyperlink ref="A17" r:id="rId2" xr:uid="{22B9D128-AF8B-40DA-853A-3FCB306F26F5}"/>
  </hyperlinks>
  <pageMargins left="0.7" right="0.7" top="0.75" bottom="0.75" header="0.3" footer="0.3"/>
  <pageSetup paperSize="9"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31960-D886-466B-AC5D-4DB5023223E2}">
  <sheetPr codeName="Sheet4"/>
  <dimension ref="A1:D17"/>
  <sheetViews>
    <sheetView showGridLines="0" workbookViewId="0">
      <selection activeCell="B3" sqref="B3"/>
    </sheetView>
  </sheetViews>
  <sheetFormatPr defaultRowHeight="14.5" x14ac:dyDescent="0.35"/>
  <cols>
    <col min="2" max="2" width="9.1796875" customWidth="1"/>
    <col min="4" max="4" width="9.1796875" customWidth="1"/>
  </cols>
  <sheetData>
    <row r="1" spans="1:4" x14ac:dyDescent="0.35">
      <c r="A1" s="238" t="s">
        <v>152</v>
      </c>
      <c r="B1" s="193" t="s">
        <v>31</v>
      </c>
      <c r="C1" s="194" t="s">
        <v>114</v>
      </c>
      <c r="D1" s="195" t="s">
        <v>9</v>
      </c>
    </row>
    <row r="2" spans="1:4" ht="15" thickBot="1" x14ac:dyDescent="0.4">
      <c r="A2" s="239"/>
      <c r="B2" s="196">
        <v>1</v>
      </c>
      <c r="C2" s="197">
        <v>0.9</v>
      </c>
      <c r="D2" s="198">
        <v>0.5</v>
      </c>
    </row>
    <row r="3" spans="1:4" x14ac:dyDescent="0.35">
      <c r="A3" s="189">
        <v>0</v>
      </c>
      <c r="B3" s="190">
        <v>0</v>
      </c>
      <c r="C3" s="191">
        <f>$B3*C$2</f>
        <v>0</v>
      </c>
      <c r="D3" s="192">
        <f>$B3*D$2</f>
        <v>0</v>
      </c>
    </row>
    <row r="4" spans="1:4" x14ac:dyDescent="0.35">
      <c r="A4" s="170">
        <v>1</v>
      </c>
      <c r="B4" s="173">
        <v>80</v>
      </c>
      <c r="C4" s="174">
        <f t="shared" ref="C4:D17" si="0">$B4*C$2</f>
        <v>72</v>
      </c>
      <c r="D4" s="175">
        <f t="shared" si="0"/>
        <v>40</v>
      </c>
    </row>
    <row r="5" spans="1:4" x14ac:dyDescent="0.35">
      <c r="A5" s="171">
        <v>2</v>
      </c>
      <c r="B5" s="176">
        <v>120</v>
      </c>
      <c r="C5" s="177">
        <f t="shared" si="0"/>
        <v>108</v>
      </c>
      <c r="D5" s="178">
        <f t="shared" si="0"/>
        <v>60</v>
      </c>
    </row>
    <row r="6" spans="1:4" x14ac:dyDescent="0.35">
      <c r="A6" s="171">
        <v>3</v>
      </c>
      <c r="B6" s="176">
        <v>160</v>
      </c>
      <c r="C6" s="177">
        <f t="shared" si="0"/>
        <v>144</v>
      </c>
      <c r="D6" s="178">
        <f t="shared" si="0"/>
        <v>80</v>
      </c>
    </row>
    <row r="7" spans="1:4" x14ac:dyDescent="0.35">
      <c r="A7" s="171">
        <v>4</v>
      </c>
      <c r="B7" s="176">
        <v>200</v>
      </c>
      <c r="C7" s="177">
        <f t="shared" si="0"/>
        <v>180</v>
      </c>
      <c r="D7" s="178">
        <f t="shared" si="0"/>
        <v>100</v>
      </c>
    </row>
    <row r="8" spans="1:4" x14ac:dyDescent="0.35">
      <c r="A8" s="171">
        <v>5</v>
      </c>
      <c r="B8" s="176">
        <v>240</v>
      </c>
      <c r="C8" s="177">
        <f t="shared" si="0"/>
        <v>216</v>
      </c>
      <c r="D8" s="178">
        <f t="shared" si="0"/>
        <v>120</v>
      </c>
    </row>
    <row r="9" spans="1:4" x14ac:dyDescent="0.35">
      <c r="A9" s="171">
        <v>6</v>
      </c>
      <c r="B9" s="176">
        <v>280</v>
      </c>
      <c r="C9" s="177">
        <f t="shared" si="0"/>
        <v>252</v>
      </c>
      <c r="D9" s="178">
        <f t="shared" si="0"/>
        <v>140</v>
      </c>
    </row>
    <row r="10" spans="1:4" x14ac:dyDescent="0.35">
      <c r="A10" s="171">
        <v>7</v>
      </c>
      <c r="B10" s="176">
        <v>320</v>
      </c>
      <c r="C10" s="177">
        <f t="shared" si="0"/>
        <v>288</v>
      </c>
      <c r="D10" s="178">
        <f t="shared" si="0"/>
        <v>160</v>
      </c>
    </row>
    <row r="11" spans="1:4" x14ac:dyDescent="0.35">
      <c r="A11" s="171">
        <v>8</v>
      </c>
      <c r="B11" s="176">
        <v>360</v>
      </c>
      <c r="C11" s="177">
        <f t="shared" si="0"/>
        <v>324</v>
      </c>
      <c r="D11" s="178">
        <f t="shared" si="0"/>
        <v>180</v>
      </c>
    </row>
    <row r="12" spans="1:4" x14ac:dyDescent="0.35">
      <c r="A12" s="171">
        <v>9</v>
      </c>
      <c r="B12" s="176">
        <v>400</v>
      </c>
      <c r="C12" s="177">
        <f t="shared" si="0"/>
        <v>360</v>
      </c>
      <c r="D12" s="178">
        <f t="shared" si="0"/>
        <v>200</v>
      </c>
    </row>
    <row r="13" spans="1:4" x14ac:dyDescent="0.35">
      <c r="A13" s="171">
        <v>10</v>
      </c>
      <c r="B13" s="176">
        <v>440</v>
      </c>
      <c r="C13" s="177">
        <f t="shared" si="0"/>
        <v>396</v>
      </c>
      <c r="D13" s="178">
        <f t="shared" si="0"/>
        <v>220</v>
      </c>
    </row>
    <row r="14" spans="1:4" x14ac:dyDescent="0.35">
      <c r="A14" s="171">
        <v>11</v>
      </c>
      <c r="B14" s="176">
        <v>480</v>
      </c>
      <c r="C14" s="177">
        <f t="shared" si="0"/>
        <v>432</v>
      </c>
      <c r="D14" s="178">
        <f t="shared" si="0"/>
        <v>240</v>
      </c>
    </row>
    <row r="15" spans="1:4" x14ac:dyDescent="0.35">
      <c r="A15" s="171">
        <v>12</v>
      </c>
      <c r="B15" s="176">
        <v>520</v>
      </c>
      <c r="C15" s="177">
        <f t="shared" si="0"/>
        <v>468</v>
      </c>
      <c r="D15" s="178">
        <f t="shared" si="0"/>
        <v>260</v>
      </c>
    </row>
    <row r="16" spans="1:4" x14ac:dyDescent="0.35">
      <c r="A16" s="171">
        <v>13</v>
      </c>
      <c r="B16" s="176">
        <v>560</v>
      </c>
      <c r="C16" s="177">
        <f t="shared" si="0"/>
        <v>504</v>
      </c>
      <c r="D16" s="178">
        <f t="shared" si="0"/>
        <v>280</v>
      </c>
    </row>
    <row r="17" spans="1:4" ht="15" thickBot="1" x14ac:dyDescent="0.4">
      <c r="A17" s="172">
        <v>14</v>
      </c>
      <c r="B17" s="179">
        <v>600</v>
      </c>
      <c r="C17" s="180">
        <f t="shared" si="0"/>
        <v>540</v>
      </c>
      <c r="D17" s="181">
        <f t="shared" si="0"/>
        <v>300</v>
      </c>
    </row>
  </sheetData>
  <sheetProtection sheet="1" objects="1" scenarios="1" selectLockedCells="1"/>
  <mergeCells count="1">
    <mergeCell ref="A1:A2"/>
  </mergeCells>
  <pageMargins left="0.7" right="0.7" top="0.75" bottom="0.75" header="0.3" footer="0.3"/>
  <pageSetup paperSize="9" orientation="portrait" r:id="rId1"/>
  <ignoredErrors>
    <ignoredError sqref="C3:D17" unlocked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73009-8570-49F6-AE93-41DF5A8DF428}">
  <sheetPr codeName="Sheet6"/>
  <dimension ref="A1:BG17"/>
  <sheetViews>
    <sheetView showGridLines="0" workbookViewId="0"/>
  </sheetViews>
  <sheetFormatPr defaultRowHeight="14.5" x14ac:dyDescent="0.35"/>
  <cols>
    <col min="1" max="1" width="11.453125" bestFit="1" customWidth="1"/>
    <col min="2" max="2" width="12.54296875" bestFit="1" customWidth="1"/>
    <col min="3" max="3" width="8.26953125" bestFit="1" customWidth="1"/>
    <col min="4" max="31" width="6.81640625" customWidth="1"/>
    <col min="32" max="34" width="4.81640625" bestFit="1" customWidth="1"/>
    <col min="35" max="45" width="5.26953125" bestFit="1" customWidth="1"/>
    <col min="46" max="48" width="4.81640625" bestFit="1" customWidth="1"/>
    <col min="49" max="59" width="5.26953125" bestFit="1" customWidth="1"/>
  </cols>
  <sheetData>
    <row r="1" spans="1:59" x14ac:dyDescent="0.35">
      <c r="B1" s="242" t="s">
        <v>31</v>
      </c>
      <c r="C1" s="242"/>
      <c r="D1" s="241" t="s">
        <v>114</v>
      </c>
      <c r="E1" s="241"/>
      <c r="F1" s="241"/>
      <c r="G1" s="241"/>
      <c r="H1" s="241"/>
      <c r="I1" s="241"/>
      <c r="J1" s="241"/>
      <c r="K1" s="241"/>
      <c r="L1" s="241"/>
      <c r="M1" s="241"/>
      <c r="N1" s="241"/>
      <c r="O1" s="241"/>
      <c r="P1" s="241"/>
      <c r="Q1" s="241"/>
      <c r="R1" s="240" t="s">
        <v>9</v>
      </c>
      <c r="S1" s="240"/>
      <c r="T1" s="240"/>
      <c r="U1" s="240"/>
      <c r="V1" s="240"/>
      <c r="W1" s="240"/>
      <c r="X1" s="240"/>
      <c r="Y1" s="240"/>
      <c r="Z1" s="240"/>
      <c r="AA1" s="240"/>
      <c r="AB1" s="240"/>
      <c r="AC1" s="240"/>
      <c r="AD1" s="240"/>
      <c r="AE1" s="240"/>
      <c r="AF1" s="241" t="s">
        <v>114</v>
      </c>
      <c r="AG1" s="241"/>
      <c r="AH1" s="241"/>
      <c r="AI1" s="241"/>
      <c r="AJ1" s="241"/>
      <c r="AK1" s="241"/>
      <c r="AL1" s="241"/>
      <c r="AM1" s="241"/>
      <c r="AN1" s="241"/>
      <c r="AO1" s="241"/>
      <c r="AP1" s="241"/>
      <c r="AQ1" s="241"/>
      <c r="AR1" s="241"/>
      <c r="AS1" s="241"/>
      <c r="AT1" s="240" t="s">
        <v>9</v>
      </c>
      <c r="AU1" s="240"/>
      <c r="AV1" s="240"/>
      <c r="AW1" s="240"/>
      <c r="AX1" s="240"/>
      <c r="AY1" s="240"/>
      <c r="AZ1" s="240"/>
      <c r="BA1" s="240"/>
      <c r="BB1" s="240"/>
      <c r="BC1" s="240"/>
      <c r="BD1" s="240"/>
      <c r="BE1" s="240"/>
      <c r="BF1" s="240"/>
      <c r="BG1" s="240"/>
    </row>
    <row r="2" spans="1:59" s="91" customFormat="1" x14ac:dyDescent="0.35">
      <c r="A2" s="102" t="s">
        <v>72</v>
      </c>
      <c r="B2" s="100" t="s">
        <v>112</v>
      </c>
      <c r="C2" s="100" t="s">
        <v>113</v>
      </c>
      <c r="D2" s="98">
        <v>2023</v>
      </c>
      <c r="E2" s="98">
        <v>2024</v>
      </c>
      <c r="F2" s="98">
        <v>2025</v>
      </c>
      <c r="G2" s="98">
        <v>2026</v>
      </c>
      <c r="H2" s="98">
        <v>2027</v>
      </c>
      <c r="I2" s="98">
        <v>2028</v>
      </c>
      <c r="J2" s="98">
        <v>2029</v>
      </c>
      <c r="K2" s="98">
        <v>2030</v>
      </c>
      <c r="L2" s="98">
        <v>2031</v>
      </c>
      <c r="M2" s="98">
        <v>2032</v>
      </c>
      <c r="N2" s="98">
        <v>2033</v>
      </c>
      <c r="O2" s="98">
        <v>2034</v>
      </c>
      <c r="P2" s="98">
        <v>2035</v>
      </c>
      <c r="Q2" s="98">
        <v>2036</v>
      </c>
      <c r="R2" s="99">
        <v>2023</v>
      </c>
      <c r="S2" s="99">
        <v>2024</v>
      </c>
      <c r="T2" s="99">
        <v>2025</v>
      </c>
      <c r="U2" s="99">
        <v>2026</v>
      </c>
      <c r="V2" s="99">
        <v>2027</v>
      </c>
      <c r="W2" s="99">
        <v>2028</v>
      </c>
      <c r="X2" s="99">
        <v>2029</v>
      </c>
      <c r="Y2" s="99">
        <v>2030</v>
      </c>
      <c r="Z2" s="99">
        <v>2031</v>
      </c>
      <c r="AA2" s="99">
        <v>2032</v>
      </c>
      <c r="AB2" s="99">
        <v>2033</v>
      </c>
      <c r="AC2" s="99">
        <v>2034</v>
      </c>
      <c r="AD2" s="99">
        <v>2035</v>
      </c>
      <c r="AE2" s="99">
        <v>2036</v>
      </c>
      <c r="AF2" s="98">
        <v>2023</v>
      </c>
      <c r="AG2" s="98">
        <v>2024</v>
      </c>
      <c r="AH2" s="98">
        <v>2025</v>
      </c>
      <c r="AI2" s="98">
        <v>2026</v>
      </c>
      <c r="AJ2" s="98">
        <v>2027</v>
      </c>
      <c r="AK2" s="98">
        <v>2028</v>
      </c>
      <c r="AL2" s="98">
        <v>2029</v>
      </c>
      <c r="AM2" s="98">
        <v>2030</v>
      </c>
      <c r="AN2" s="98">
        <v>2031</v>
      </c>
      <c r="AO2" s="98">
        <v>2032</v>
      </c>
      <c r="AP2" s="98">
        <v>2033</v>
      </c>
      <c r="AQ2" s="98">
        <v>2034</v>
      </c>
      <c r="AR2" s="98">
        <v>2035</v>
      </c>
      <c r="AS2" s="98">
        <v>2036</v>
      </c>
      <c r="AT2" s="99">
        <v>2023</v>
      </c>
      <c r="AU2" s="99">
        <v>2024</v>
      </c>
      <c r="AV2" s="99">
        <v>2025</v>
      </c>
      <c r="AW2" s="99">
        <v>2026</v>
      </c>
      <c r="AX2" s="99">
        <v>2027</v>
      </c>
      <c r="AY2" s="99">
        <v>2028</v>
      </c>
      <c r="AZ2" s="99">
        <v>2029</v>
      </c>
      <c r="BA2" s="99">
        <v>2030</v>
      </c>
      <c r="BB2" s="99">
        <v>2031</v>
      </c>
      <c r="BC2" s="99">
        <v>2032</v>
      </c>
      <c r="BD2" s="99">
        <v>2033</v>
      </c>
      <c r="BE2" s="99">
        <v>2034</v>
      </c>
      <c r="BF2" s="99">
        <v>2035</v>
      </c>
      <c r="BG2" s="99">
        <v>2036</v>
      </c>
    </row>
    <row r="3" spans="1:59" x14ac:dyDescent="0.35">
      <c r="A3" s="93">
        <v>650</v>
      </c>
      <c r="B3" s="92">
        <v>42</v>
      </c>
      <c r="C3" s="92">
        <f>4*B3</f>
        <v>168</v>
      </c>
      <c r="D3" s="97">
        <f t="shared" ref="D3:D17" si="0">$C3*AF3</f>
        <v>84</v>
      </c>
      <c r="E3" s="97">
        <f t="shared" ref="E3:E17" si="1">$C3*AG3</f>
        <v>84</v>
      </c>
      <c r="F3" s="97">
        <f t="shared" ref="F3:F17" si="2">$C3*AH3</f>
        <v>126</v>
      </c>
      <c r="G3" s="97">
        <f t="shared" ref="G3:G17" si="3">$C3*AI3</f>
        <v>168</v>
      </c>
      <c r="H3" s="97">
        <f t="shared" ref="H3:H17" si="4">$C3*AJ3</f>
        <v>168</v>
      </c>
      <c r="I3" s="97">
        <f t="shared" ref="I3:I17" si="5">$C3*AK3</f>
        <v>168</v>
      </c>
      <c r="J3" s="97">
        <f t="shared" ref="J3:J17" si="6">$C3*AL3</f>
        <v>168</v>
      </c>
      <c r="K3" s="97">
        <f t="shared" ref="K3:K17" si="7">$C3*AM3</f>
        <v>168</v>
      </c>
      <c r="L3" s="97">
        <f t="shared" ref="L3:L17" si="8">$C3*AN3</f>
        <v>168</v>
      </c>
      <c r="M3" s="97">
        <f t="shared" ref="M3:M17" si="9">$C3*AO3</f>
        <v>168</v>
      </c>
      <c r="N3" s="97">
        <f t="shared" ref="N3:N17" si="10">$C3*AP3</f>
        <v>168</v>
      </c>
      <c r="O3" s="97">
        <f t="shared" ref="O3:O17" si="11">$C3*AQ3</f>
        <v>168</v>
      </c>
      <c r="P3" s="97">
        <f t="shared" ref="P3:P17" si="12">$C3*AR3</f>
        <v>168</v>
      </c>
      <c r="Q3" s="97">
        <f t="shared" ref="Q3:Q17" si="13">$C3*AS3</f>
        <v>168</v>
      </c>
      <c r="R3" s="95">
        <f t="shared" ref="R3:R17" si="14">$C3*AT3</f>
        <v>0</v>
      </c>
      <c r="S3" s="95">
        <f t="shared" ref="S3:S17" si="15">$C3*AU3</f>
        <v>0</v>
      </c>
      <c r="T3" s="95">
        <f t="shared" ref="T3:T17" si="16">$C3*AV3</f>
        <v>42</v>
      </c>
      <c r="U3" s="95">
        <f t="shared" ref="U3:U17" si="17">$C3*AW3</f>
        <v>168</v>
      </c>
      <c r="V3" s="95">
        <f t="shared" ref="V3:V17" si="18">$C3*AX3</f>
        <v>168</v>
      </c>
      <c r="W3" s="95">
        <f t="shared" ref="W3:W17" si="19">$C3*AY3</f>
        <v>168</v>
      </c>
      <c r="X3" s="95">
        <f t="shared" ref="X3:X17" si="20">$C3*AZ3</f>
        <v>168</v>
      </c>
      <c r="Y3" s="95">
        <f t="shared" ref="Y3:Y17" si="21">$C3*BA3</f>
        <v>168</v>
      </c>
      <c r="Z3" s="95">
        <f t="shared" ref="Z3:Z17" si="22">$C3*BB3</f>
        <v>168</v>
      </c>
      <c r="AA3" s="95">
        <f t="shared" ref="AA3:AA17" si="23">$C3*BC3</f>
        <v>168</v>
      </c>
      <c r="AB3" s="95">
        <f t="shared" ref="AB3:AB17" si="24">$C3*BD3</f>
        <v>168</v>
      </c>
      <c r="AC3" s="95">
        <f t="shared" ref="AC3:AC17" si="25">$C3*BE3</f>
        <v>168</v>
      </c>
      <c r="AD3" s="95">
        <f t="shared" ref="AD3:AD17" si="26">$C3*BF3</f>
        <v>168</v>
      </c>
      <c r="AE3" s="95">
        <f t="shared" ref="AE3:AE17" si="27">$C3*BG3</f>
        <v>168</v>
      </c>
      <c r="AF3" s="96">
        <v>0.5</v>
      </c>
      <c r="AG3" s="96">
        <v>0.5</v>
      </c>
      <c r="AH3" s="96">
        <v>0.75</v>
      </c>
      <c r="AI3" s="96">
        <v>1</v>
      </c>
      <c r="AJ3" s="96">
        <v>1</v>
      </c>
      <c r="AK3" s="96">
        <v>1</v>
      </c>
      <c r="AL3" s="96">
        <v>1</v>
      </c>
      <c r="AM3" s="96">
        <v>1</v>
      </c>
      <c r="AN3" s="96">
        <v>1</v>
      </c>
      <c r="AO3" s="96">
        <v>1</v>
      </c>
      <c r="AP3" s="96">
        <v>1</v>
      </c>
      <c r="AQ3" s="96">
        <v>1</v>
      </c>
      <c r="AR3" s="96">
        <v>1</v>
      </c>
      <c r="AS3" s="96">
        <v>1</v>
      </c>
      <c r="AT3" s="94">
        <v>0</v>
      </c>
      <c r="AU3" s="94">
        <v>0</v>
      </c>
      <c r="AV3" s="94">
        <v>0.25</v>
      </c>
      <c r="AW3" s="94">
        <v>1</v>
      </c>
      <c r="AX3" s="94">
        <v>1</v>
      </c>
      <c r="AY3" s="94">
        <v>1</v>
      </c>
      <c r="AZ3" s="94">
        <v>1</v>
      </c>
      <c r="BA3" s="94">
        <v>1</v>
      </c>
      <c r="BB3" s="94">
        <v>1</v>
      </c>
      <c r="BC3" s="94">
        <v>1</v>
      </c>
      <c r="BD3" s="94">
        <v>1</v>
      </c>
      <c r="BE3" s="94">
        <v>1</v>
      </c>
      <c r="BF3" s="94">
        <v>1</v>
      </c>
      <c r="BG3" s="94">
        <v>1</v>
      </c>
    </row>
    <row r="4" spans="1:59" x14ac:dyDescent="0.35">
      <c r="A4" s="93">
        <v>750</v>
      </c>
      <c r="B4" s="92">
        <v>51</v>
      </c>
      <c r="C4" s="92">
        <f>4*B4</f>
        <v>204</v>
      </c>
      <c r="D4" s="97">
        <f t="shared" si="0"/>
        <v>102</v>
      </c>
      <c r="E4" s="97">
        <f t="shared" si="1"/>
        <v>102</v>
      </c>
      <c r="F4" s="97">
        <f t="shared" si="2"/>
        <v>153</v>
      </c>
      <c r="G4" s="97">
        <f t="shared" si="3"/>
        <v>204</v>
      </c>
      <c r="H4" s="97">
        <f t="shared" si="4"/>
        <v>204</v>
      </c>
      <c r="I4" s="97">
        <f t="shared" si="5"/>
        <v>204</v>
      </c>
      <c r="J4" s="97">
        <f t="shared" si="6"/>
        <v>204</v>
      </c>
      <c r="K4" s="97">
        <f t="shared" si="7"/>
        <v>204</v>
      </c>
      <c r="L4" s="97">
        <f t="shared" si="8"/>
        <v>204</v>
      </c>
      <c r="M4" s="97">
        <f t="shared" si="9"/>
        <v>204</v>
      </c>
      <c r="N4" s="97">
        <f t="shared" si="10"/>
        <v>204</v>
      </c>
      <c r="O4" s="97">
        <f t="shared" si="11"/>
        <v>204</v>
      </c>
      <c r="P4" s="97">
        <f t="shared" si="12"/>
        <v>204</v>
      </c>
      <c r="Q4" s="97">
        <f t="shared" si="13"/>
        <v>204</v>
      </c>
      <c r="R4" s="95">
        <f t="shared" si="14"/>
        <v>0</v>
      </c>
      <c r="S4" s="95">
        <f t="shared" si="15"/>
        <v>0</v>
      </c>
      <c r="T4" s="95">
        <f t="shared" si="16"/>
        <v>51</v>
      </c>
      <c r="U4" s="95">
        <f t="shared" si="17"/>
        <v>204</v>
      </c>
      <c r="V4" s="95">
        <f t="shared" si="18"/>
        <v>204</v>
      </c>
      <c r="W4" s="95">
        <f t="shared" si="19"/>
        <v>204</v>
      </c>
      <c r="X4" s="95">
        <f t="shared" si="20"/>
        <v>204</v>
      </c>
      <c r="Y4" s="95">
        <f t="shared" si="21"/>
        <v>204</v>
      </c>
      <c r="Z4" s="95">
        <f t="shared" si="22"/>
        <v>204</v>
      </c>
      <c r="AA4" s="95">
        <f t="shared" si="23"/>
        <v>204</v>
      </c>
      <c r="AB4" s="95">
        <f t="shared" si="24"/>
        <v>204</v>
      </c>
      <c r="AC4" s="95">
        <f t="shared" si="25"/>
        <v>204</v>
      </c>
      <c r="AD4" s="95">
        <f t="shared" si="26"/>
        <v>204</v>
      </c>
      <c r="AE4" s="95">
        <f t="shared" si="27"/>
        <v>204</v>
      </c>
      <c r="AF4" s="96">
        <v>0.5</v>
      </c>
      <c r="AG4" s="96">
        <v>0.5</v>
      </c>
      <c r="AH4" s="96">
        <v>0.75</v>
      </c>
      <c r="AI4" s="96">
        <v>1</v>
      </c>
      <c r="AJ4" s="96">
        <v>1</v>
      </c>
      <c r="AK4" s="96">
        <v>1</v>
      </c>
      <c r="AL4" s="96">
        <v>1</v>
      </c>
      <c r="AM4" s="96">
        <v>1</v>
      </c>
      <c r="AN4" s="96">
        <v>1</v>
      </c>
      <c r="AO4" s="96">
        <v>1</v>
      </c>
      <c r="AP4" s="96">
        <v>1</v>
      </c>
      <c r="AQ4" s="96">
        <v>1</v>
      </c>
      <c r="AR4" s="96">
        <v>1</v>
      </c>
      <c r="AS4" s="96">
        <v>1</v>
      </c>
      <c r="AT4" s="94">
        <v>0</v>
      </c>
      <c r="AU4" s="94">
        <v>0</v>
      </c>
      <c r="AV4" s="94">
        <v>0.25</v>
      </c>
      <c r="AW4" s="94">
        <v>1</v>
      </c>
      <c r="AX4" s="94">
        <v>1</v>
      </c>
      <c r="AY4" s="94">
        <v>1</v>
      </c>
      <c r="AZ4" s="94">
        <v>1</v>
      </c>
      <c r="BA4" s="94">
        <v>1</v>
      </c>
      <c r="BB4" s="94">
        <v>1</v>
      </c>
      <c r="BC4" s="94">
        <v>1</v>
      </c>
      <c r="BD4" s="94">
        <v>1</v>
      </c>
      <c r="BE4" s="94">
        <v>1</v>
      </c>
      <c r="BF4" s="94">
        <v>1</v>
      </c>
      <c r="BG4" s="94">
        <v>1</v>
      </c>
    </row>
    <row r="5" spans="1:59" x14ac:dyDescent="0.35">
      <c r="A5" s="93">
        <v>850</v>
      </c>
      <c r="B5" s="92">
        <v>68</v>
      </c>
      <c r="C5" s="92">
        <f>4*B5</f>
        <v>272</v>
      </c>
      <c r="D5" s="97">
        <f t="shared" si="0"/>
        <v>136</v>
      </c>
      <c r="E5" s="97">
        <f t="shared" si="1"/>
        <v>136</v>
      </c>
      <c r="F5" s="97">
        <f t="shared" si="2"/>
        <v>204</v>
      </c>
      <c r="G5" s="97">
        <f t="shared" si="3"/>
        <v>272</v>
      </c>
      <c r="H5" s="97">
        <f t="shared" si="4"/>
        <v>272</v>
      </c>
      <c r="I5" s="97">
        <f t="shared" si="5"/>
        <v>272</v>
      </c>
      <c r="J5" s="97">
        <f t="shared" si="6"/>
        <v>272</v>
      </c>
      <c r="K5" s="97">
        <f t="shared" si="7"/>
        <v>272</v>
      </c>
      <c r="L5" s="97">
        <f t="shared" si="8"/>
        <v>272</v>
      </c>
      <c r="M5" s="97">
        <f t="shared" si="9"/>
        <v>272</v>
      </c>
      <c r="N5" s="97">
        <f t="shared" si="10"/>
        <v>272</v>
      </c>
      <c r="O5" s="97">
        <f t="shared" si="11"/>
        <v>272</v>
      </c>
      <c r="P5" s="97">
        <f t="shared" si="12"/>
        <v>272</v>
      </c>
      <c r="Q5" s="97">
        <f t="shared" si="13"/>
        <v>272</v>
      </c>
      <c r="R5" s="95">
        <f t="shared" si="14"/>
        <v>0</v>
      </c>
      <c r="S5" s="95">
        <f t="shared" si="15"/>
        <v>0</v>
      </c>
      <c r="T5" s="95">
        <f t="shared" si="16"/>
        <v>68</v>
      </c>
      <c r="U5" s="95">
        <f t="shared" si="17"/>
        <v>272</v>
      </c>
      <c r="V5" s="95">
        <f t="shared" si="18"/>
        <v>272</v>
      </c>
      <c r="W5" s="95">
        <f t="shared" si="19"/>
        <v>272</v>
      </c>
      <c r="X5" s="95">
        <f t="shared" si="20"/>
        <v>272</v>
      </c>
      <c r="Y5" s="95">
        <f t="shared" si="21"/>
        <v>272</v>
      </c>
      <c r="Z5" s="95">
        <f t="shared" si="22"/>
        <v>272</v>
      </c>
      <c r="AA5" s="95">
        <f t="shared" si="23"/>
        <v>272</v>
      </c>
      <c r="AB5" s="95">
        <f t="shared" si="24"/>
        <v>272</v>
      </c>
      <c r="AC5" s="95">
        <f t="shared" si="25"/>
        <v>272</v>
      </c>
      <c r="AD5" s="95">
        <f t="shared" si="26"/>
        <v>272</v>
      </c>
      <c r="AE5" s="95">
        <f t="shared" si="27"/>
        <v>272</v>
      </c>
      <c r="AF5" s="96">
        <v>0.5</v>
      </c>
      <c r="AG5" s="96">
        <v>0.5</v>
      </c>
      <c r="AH5" s="96">
        <v>0.75</v>
      </c>
      <c r="AI5" s="96">
        <v>1</v>
      </c>
      <c r="AJ5" s="96">
        <v>1</v>
      </c>
      <c r="AK5" s="96">
        <v>1</v>
      </c>
      <c r="AL5" s="96">
        <v>1</v>
      </c>
      <c r="AM5" s="96">
        <v>1</v>
      </c>
      <c r="AN5" s="96">
        <v>1</v>
      </c>
      <c r="AO5" s="96">
        <v>1</v>
      </c>
      <c r="AP5" s="96">
        <v>1</v>
      </c>
      <c r="AQ5" s="96">
        <v>1</v>
      </c>
      <c r="AR5" s="96">
        <v>1</v>
      </c>
      <c r="AS5" s="96">
        <v>1</v>
      </c>
      <c r="AT5" s="94">
        <v>0</v>
      </c>
      <c r="AU5" s="94">
        <v>0</v>
      </c>
      <c r="AV5" s="94">
        <v>0.25</v>
      </c>
      <c r="AW5" s="94">
        <v>1</v>
      </c>
      <c r="AX5" s="94">
        <v>1</v>
      </c>
      <c r="AY5" s="94">
        <v>1</v>
      </c>
      <c r="AZ5" s="94">
        <v>1</v>
      </c>
      <c r="BA5" s="94">
        <v>1</v>
      </c>
      <c r="BB5" s="94">
        <v>1</v>
      </c>
      <c r="BC5" s="94">
        <v>1</v>
      </c>
      <c r="BD5" s="94">
        <v>1</v>
      </c>
      <c r="BE5" s="94">
        <v>1</v>
      </c>
      <c r="BF5" s="94">
        <v>1</v>
      </c>
      <c r="BG5" s="94">
        <v>1</v>
      </c>
    </row>
    <row r="6" spans="1:59" x14ac:dyDescent="0.35">
      <c r="A6" s="93">
        <v>950</v>
      </c>
      <c r="B6" s="92">
        <v>88</v>
      </c>
      <c r="C6" s="92">
        <f>4*B6</f>
        <v>352</v>
      </c>
      <c r="D6" s="97">
        <f t="shared" si="0"/>
        <v>176</v>
      </c>
      <c r="E6" s="97">
        <f t="shared" si="1"/>
        <v>176</v>
      </c>
      <c r="F6" s="97">
        <f t="shared" si="2"/>
        <v>264</v>
      </c>
      <c r="G6" s="97">
        <f t="shared" si="3"/>
        <v>352</v>
      </c>
      <c r="H6" s="97">
        <f t="shared" si="4"/>
        <v>352</v>
      </c>
      <c r="I6" s="97">
        <f t="shared" si="5"/>
        <v>352</v>
      </c>
      <c r="J6" s="97">
        <f t="shared" si="6"/>
        <v>352</v>
      </c>
      <c r="K6" s="97">
        <f t="shared" si="7"/>
        <v>352</v>
      </c>
      <c r="L6" s="97">
        <f t="shared" si="8"/>
        <v>352</v>
      </c>
      <c r="M6" s="97">
        <f t="shared" si="9"/>
        <v>352</v>
      </c>
      <c r="N6" s="97">
        <f t="shared" si="10"/>
        <v>352</v>
      </c>
      <c r="O6" s="97">
        <f t="shared" si="11"/>
        <v>352</v>
      </c>
      <c r="P6" s="97">
        <f t="shared" si="12"/>
        <v>352</v>
      </c>
      <c r="Q6" s="97">
        <f t="shared" si="13"/>
        <v>352</v>
      </c>
      <c r="R6" s="95">
        <f t="shared" si="14"/>
        <v>0</v>
      </c>
      <c r="S6" s="95">
        <f t="shared" si="15"/>
        <v>0</v>
      </c>
      <c r="T6" s="95">
        <f t="shared" si="16"/>
        <v>88</v>
      </c>
      <c r="U6" s="95">
        <f t="shared" si="17"/>
        <v>352</v>
      </c>
      <c r="V6" s="95">
        <f t="shared" si="18"/>
        <v>352</v>
      </c>
      <c r="W6" s="95">
        <f t="shared" si="19"/>
        <v>352</v>
      </c>
      <c r="X6" s="95">
        <f t="shared" si="20"/>
        <v>352</v>
      </c>
      <c r="Y6" s="95">
        <f t="shared" si="21"/>
        <v>352</v>
      </c>
      <c r="Z6" s="95">
        <f t="shared" si="22"/>
        <v>352</v>
      </c>
      <c r="AA6" s="95">
        <f t="shared" si="23"/>
        <v>352</v>
      </c>
      <c r="AB6" s="95">
        <f t="shared" si="24"/>
        <v>352</v>
      </c>
      <c r="AC6" s="95">
        <f t="shared" si="25"/>
        <v>352</v>
      </c>
      <c r="AD6" s="95">
        <f t="shared" si="26"/>
        <v>352</v>
      </c>
      <c r="AE6" s="95">
        <f t="shared" si="27"/>
        <v>352</v>
      </c>
      <c r="AF6" s="96">
        <v>0.5</v>
      </c>
      <c r="AG6" s="96">
        <v>0.5</v>
      </c>
      <c r="AH6" s="96">
        <v>0.75</v>
      </c>
      <c r="AI6" s="96">
        <v>1</v>
      </c>
      <c r="AJ6" s="96">
        <v>1</v>
      </c>
      <c r="AK6" s="96">
        <v>1</v>
      </c>
      <c r="AL6" s="96">
        <v>1</v>
      </c>
      <c r="AM6" s="96">
        <v>1</v>
      </c>
      <c r="AN6" s="96">
        <v>1</v>
      </c>
      <c r="AO6" s="96">
        <v>1</v>
      </c>
      <c r="AP6" s="96">
        <v>1</v>
      </c>
      <c r="AQ6" s="96">
        <v>1</v>
      </c>
      <c r="AR6" s="96">
        <v>1</v>
      </c>
      <c r="AS6" s="96">
        <v>1</v>
      </c>
      <c r="AT6" s="94">
        <v>0</v>
      </c>
      <c r="AU6" s="94">
        <v>0</v>
      </c>
      <c r="AV6" s="94">
        <v>0.25</v>
      </c>
      <c r="AW6" s="94">
        <v>1</v>
      </c>
      <c r="AX6" s="94">
        <v>1</v>
      </c>
      <c r="AY6" s="94">
        <v>1</v>
      </c>
      <c r="AZ6" s="94">
        <v>1</v>
      </c>
      <c r="BA6" s="94">
        <v>1</v>
      </c>
      <c r="BB6" s="94">
        <v>1</v>
      </c>
      <c r="BC6" s="94">
        <v>1</v>
      </c>
      <c r="BD6" s="94">
        <v>1</v>
      </c>
      <c r="BE6" s="94">
        <v>1</v>
      </c>
      <c r="BF6" s="94">
        <v>1</v>
      </c>
      <c r="BG6" s="94">
        <v>1</v>
      </c>
    </row>
    <row r="7" spans="1:59" x14ac:dyDescent="0.35">
      <c r="A7" s="93">
        <v>1050</v>
      </c>
      <c r="B7" s="92">
        <v>115</v>
      </c>
      <c r="C7" s="92">
        <f t="shared" ref="C7:C17" si="28">4*B7</f>
        <v>460</v>
      </c>
      <c r="D7" s="97">
        <f t="shared" si="0"/>
        <v>230</v>
      </c>
      <c r="E7" s="97">
        <f t="shared" si="1"/>
        <v>230</v>
      </c>
      <c r="F7" s="97">
        <f t="shared" si="2"/>
        <v>345</v>
      </c>
      <c r="G7" s="97">
        <f t="shared" si="3"/>
        <v>460</v>
      </c>
      <c r="H7" s="97">
        <f t="shared" si="4"/>
        <v>460</v>
      </c>
      <c r="I7" s="97">
        <f t="shared" si="5"/>
        <v>460</v>
      </c>
      <c r="J7" s="97">
        <f t="shared" si="6"/>
        <v>460</v>
      </c>
      <c r="K7" s="97">
        <f t="shared" si="7"/>
        <v>460</v>
      </c>
      <c r="L7" s="97">
        <f t="shared" si="8"/>
        <v>460</v>
      </c>
      <c r="M7" s="97">
        <f t="shared" si="9"/>
        <v>460</v>
      </c>
      <c r="N7" s="97">
        <f t="shared" si="10"/>
        <v>460</v>
      </c>
      <c r="O7" s="97">
        <f t="shared" si="11"/>
        <v>460</v>
      </c>
      <c r="P7" s="97">
        <f t="shared" si="12"/>
        <v>460</v>
      </c>
      <c r="Q7" s="97">
        <f t="shared" si="13"/>
        <v>460</v>
      </c>
      <c r="R7" s="95">
        <f t="shared" si="14"/>
        <v>0</v>
      </c>
      <c r="S7" s="95">
        <f t="shared" si="15"/>
        <v>0</v>
      </c>
      <c r="T7" s="95">
        <f t="shared" si="16"/>
        <v>115</v>
      </c>
      <c r="U7" s="95">
        <f t="shared" si="17"/>
        <v>460</v>
      </c>
      <c r="V7" s="95">
        <f t="shared" si="18"/>
        <v>460</v>
      </c>
      <c r="W7" s="95">
        <f t="shared" si="19"/>
        <v>460</v>
      </c>
      <c r="X7" s="95">
        <f t="shared" si="20"/>
        <v>460</v>
      </c>
      <c r="Y7" s="95">
        <f t="shared" si="21"/>
        <v>460</v>
      </c>
      <c r="Z7" s="95">
        <f t="shared" si="22"/>
        <v>460</v>
      </c>
      <c r="AA7" s="95">
        <f t="shared" si="23"/>
        <v>460</v>
      </c>
      <c r="AB7" s="95">
        <f t="shared" si="24"/>
        <v>460</v>
      </c>
      <c r="AC7" s="95">
        <f t="shared" si="25"/>
        <v>460</v>
      </c>
      <c r="AD7" s="95">
        <f t="shared" si="26"/>
        <v>460</v>
      </c>
      <c r="AE7" s="95">
        <f t="shared" si="27"/>
        <v>460</v>
      </c>
      <c r="AF7" s="96">
        <v>0.5</v>
      </c>
      <c r="AG7" s="96">
        <v>0.5</v>
      </c>
      <c r="AH7" s="96">
        <v>0.75</v>
      </c>
      <c r="AI7" s="96">
        <v>1</v>
      </c>
      <c r="AJ7" s="96">
        <v>1</v>
      </c>
      <c r="AK7" s="96">
        <v>1</v>
      </c>
      <c r="AL7" s="96">
        <v>1</v>
      </c>
      <c r="AM7" s="96">
        <v>1</v>
      </c>
      <c r="AN7" s="96">
        <v>1</v>
      </c>
      <c r="AO7" s="96">
        <v>1</v>
      </c>
      <c r="AP7" s="96">
        <v>1</v>
      </c>
      <c r="AQ7" s="96">
        <v>1</v>
      </c>
      <c r="AR7" s="96">
        <v>1</v>
      </c>
      <c r="AS7" s="96">
        <v>1</v>
      </c>
      <c r="AT7" s="94">
        <v>0</v>
      </c>
      <c r="AU7" s="94">
        <v>0</v>
      </c>
      <c r="AV7" s="94">
        <v>0.25</v>
      </c>
      <c r="AW7" s="94">
        <v>1</v>
      </c>
      <c r="AX7" s="94">
        <v>1</v>
      </c>
      <c r="AY7" s="94">
        <v>1</v>
      </c>
      <c r="AZ7" s="94">
        <v>1</v>
      </c>
      <c r="BA7" s="94">
        <v>1</v>
      </c>
      <c r="BB7" s="94">
        <v>1</v>
      </c>
      <c r="BC7" s="94">
        <v>1</v>
      </c>
      <c r="BD7" s="94">
        <v>1</v>
      </c>
      <c r="BE7" s="94">
        <v>1</v>
      </c>
      <c r="BF7" s="94">
        <v>1</v>
      </c>
      <c r="BG7" s="94">
        <v>1</v>
      </c>
    </row>
    <row r="8" spans="1:59" x14ac:dyDescent="0.35">
      <c r="A8" s="93">
        <v>1150</v>
      </c>
      <c r="B8" s="92">
        <v>141</v>
      </c>
      <c r="C8" s="92">
        <f t="shared" si="28"/>
        <v>564</v>
      </c>
      <c r="D8" s="97">
        <f t="shared" si="0"/>
        <v>282</v>
      </c>
      <c r="E8" s="97">
        <f t="shared" si="1"/>
        <v>282</v>
      </c>
      <c r="F8" s="97">
        <f t="shared" si="2"/>
        <v>423</v>
      </c>
      <c r="G8" s="97">
        <f t="shared" si="3"/>
        <v>564</v>
      </c>
      <c r="H8" s="97">
        <f t="shared" si="4"/>
        <v>564</v>
      </c>
      <c r="I8" s="97">
        <f t="shared" si="5"/>
        <v>564</v>
      </c>
      <c r="J8" s="97">
        <f t="shared" si="6"/>
        <v>564</v>
      </c>
      <c r="K8" s="97">
        <f t="shared" si="7"/>
        <v>564</v>
      </c>
      <c r="L8" s="97">
        <f t="shared" si="8"/>
        <v>564</v>
      </c>
      <c r="M8" s="97">
        <f t="shared" si="9"/>
        <v>564</v>
      </c>
      <c r="N8" s="97">
        <f t="shared" si="10"/>
        <v>564</v>
      </c>
      <c r="O8" s="97">
        <f t="shared" si="11"/>
        <v>564</v>
      </c>
      <c r="P8" s="97">
        <f t="shared" si="12"/>
        <v>564</v>
      </c>
      <c r="Q8" s="97">
        <f t="shared" si="13"/>
        <v>564</v>
      </c>
      <c r="R8" s="95">
        <f t="shared" si="14"/>
        <v>0</v>
      </c>
      <c r="S8" s="95">
        <f t="shared" si="15"/>
        <v>0</v>
      </c>
      <c r="T8" s="95">
        <f t="shared" si="16"/>
        <v>141</v>
      </c>
      <c r="U8" s="95">
        <f t="shared" si="17"/>
        <v>564</v>
      </c>
      <c r="V8" s="95">
        <f t="shared" si="18"/>
        <v>564</v>
      </c>
      <c r="W8" s="95">
        <f t="shared" si="19"/>
        <v>564</v>
      </c>
      <c r="X8" s="95">
        <f t="shared" si="20"/>
        <v>564</v>
      </c>
      <c r="Y8" s="95">
        <f t="shared" si="21"/>
        <v>564</v>
      </c>
      <c r="Z8" s="95">
        <f t="shared" si="22"/>
        <v>564</v>
      </c>
      <c r="AA8" s="95">
        <f t="shared" si="23"/>
        <v>564</v>
      </c>
      <c r="AB8" s="95">
        <f t="shared" si="24"/>
        <v>564</v>
      </c>
      <c r="AC8" s="95">
        <f t="shared" si="25"/>
        <v>564</v>
      </c>
      <c r="AD8" s="95">
        <f t="shared" si="26"/>
        <v>564</v>
      </c>
      <c r="AE8" s="95">
        <f t="shared" si="27"/>
        <v>564</v>
      </c>
      <c r="AF8" s="96">
        <v>0.5</v>
      </c>
      <c r="AG8" s="96">
        <v>0.5</v>
      </c>
      <c r="AH8" s="96">
        <v>0.75</v>
      </c>
      <c r="AI8" s="96">
        <v>1</v>
      </c>
      <c r="AJ8" s="96">
        <v>1</v>
      </c>
      <c r="AK8" s="96">
        <v>1</v>
      </c>
      <c r="AL8" s="96">
        <v>1</v>
      </c>
      <c r="AM8" s="96">
        <v>1</v>
      </c>
      <c r="AN8" s="96">
        <v>1</v>
      </c>
      <c r="AO8" s="96">
        <v>1</v>
      </c>
      <c r="AP8" s="96">
        <v>1</v>
      </c>
      <c r="AQ8" s="96">
        <v>1</v>
      </c>
      <c r="AR8" s="96">
        <v>1</v>
      </c>
      <c r="AS8" s="96">
        <v>1</v>
      </c>
      <c r="AT8" s="94">
        <v>0</v>
      </c>
      <c r="AU8" s="94">
        <v>0</v>
      </c>
      <c r="AV8" s="94">
        <v>0.25</v>
      </c>
      <c r="AW8" s="94">
        <v>1</v>
      </c>
      <c r="AX8" s="94">
        <v>1</v>
      </c>
      <c r="AY8" s="94">
        <v>1</v>
      </c>
      <c r="AZ8" s="94">
        <v>1</v>
      </c>
      <c r="BA8" s="94">
        <v>1</v>
      </c>
      <c r="BB8" s="94">
        <v>1</v>
      </c>
      <c r="BC8" s="94">
        <v>1</v>
      </c>
      <c r="BD8" s="94">
        <v>1</v>
      </c>
      <c r="BE8" s="94">
        <v>1</v>
      </c>
      <c r="BF8" s="94">
        <v>1</v>
      </c>
      <c r="BG8" s="94">
        <v>1</v>
      </c>
    </row>
    <row r="9" spans="1:59" x14ac:dyDescent="0.35">
      <c r="A9" s="93">
        <v>1250</v>
      </c>
      <c r="B9" s="92">
        <v>167</v>
      </c>
      <c r="C9" s="92">
        <f t="shared" si="28"/>
        <v>668</v>
      </c>
      <c r="D9" s="97">
        <f t="shared" si="0"/>
        <v>334</v>
      </c>
      <c r="E9" s="97">
        <f t="shared" si="1"/>
        <v>334</v>
      </c>
      <c r="F9" s="97">
        <f t="shared" si="2"/>
        <v>501</v>
      </c>
      <c r="G9" s="97">
        <f t="shared" si="3"/>
        <v>668</v>
      </c>
      <c r="H9" s="97">
        <f t="shared" si="4"/>
        <v>668</v>
      </c>
      <c r="I9" s="97">
        <f t="shared" si="5"/>
        <v>668</v>
      </c>
      <c r="J9" s="97">
        <f t="shared" si="6"/>
        <v>668</v>
      </c>
      <c r="K9" s="97">
        <f t="shared" si="7"/>
        <v>668</v>
      </c>
      <c r="L9" s="97">
        <f t="shared" si="8"/>
        <v>668</v>
      </c>
      <c r="M9" s="97">
        <f t="shared" si="9"/>
        <v>668</v>
      </c>
      <c r="N9" s="97">
        <f t="shared" si="10"/>
        <v>668</v>
      </c>
      <c r="O9" s="97">
        <f t="shared" si="11"/>
        <v>668</v>
      </c>
      <c r="P9" s="97">
        <f t="shared" si="12"/>
        <v>668</v>
      </c>
      <c r="Q9" s="97">
        <f t="shared" si="13"/>
        <v>668</v>
      </c>
      <c r="R9" s="95">
        <f t="shared" si="14"/>
        <v>0</v>
      </c>
      <c r="S9" s="95">
        <f t="shared" si="15"/>
        <v>0</v>
      </c>
      <c r="T9" s="95">
        <f t="shared" si="16"/>
        <v>167</v>
      </c>
      <c r="U9" s="95">
        <f t="shared" si="17"/>
        <v>668</v>
      </c>
      <c r="V9" s="95">
        <f t="shared" si="18"/>
        <v>668</v>
      </c>
      <c r="W9" s="95">
        <f t="shared" si="19"/>
        <v>668</v>
      </c>
      <c r="X9" s="95">
        <f t="shared" si="20"/>
        <v>668</v>
      </c>
      <c r="Y9" s="95">
        <f t="shared" si="21"/>
        <v>668</v>
      </c>
      <c r="Z9" s="95">
        <f t="shared" si="22"/>
        <v>668</v>
      </c>
      <c r="AA9" s="95">
        <f t="shared" si="23"/>
        <v>668</v>
      </c>
      <c r="AB9" s="95">
        <f t="shared" si="24"/>
        <v>668</v>
      </c>
      <c r="AC9" s="95">
        <f t="shared" si="25"/>
        <v>668</v>
      </c>
      <c r="AD9" s="95">
        <f t="shared" si="26"/>
        <v>668</v>
      </c>
      <c r="AE9" s="95">
        <f t="shared" si="27"/>
        <v>668</v>
      </c>
      <c r="AF9" s="96">
        <v>0.5</v>
      </c>
      <c r="AG9" s="96">
        <v>0.5</v>
      </c>
      <c r="AH9" s="96">
        <v>0.75</v>
      </c>
      <c r="AI9" s="96">
        <v>1</v>
      </c>
      <c r="AJ9" s="96">
        <v>1</v>
      </c>
      <c r="AK9" s="96">
        <v>1</v>
      </c>
      <c r="AL9" s="96">
        <v>1</v>
      </c>
      <c r="AM9" s="96">
        <v>1</v>
      </c>
      <c r="AN9" s="96">
        <v>1</v>
      </c>
      <c r="AO9" s="96">
        <v>1</v>
      </c>
      <c r="AP9" s="96">
        <v>1</v>
      </c>
      <c r="AQ9" s="96">
        <v>1</v>
      </c>
      <c r="AR9" s="96">
        <v>1</v>
      </c>
      <c r="AS9" s="96">
        <v>1</v>
      </c>
      <c r="AT9" s="94">
        <v>0</v>
      </c>
      <c r="AU9" s="94">
        <v>0</v>
      </c>
      <c r="AV9" s="94">
        <v>0.25</v>
      </c>
      <c r="AW9" s="94">
        <v>1</v>
      </c>
      <c r="AX9" s="94">
        <v>1</v>
      </c>
      <c r="AY9" s="94">
        <v>1</v>
      </c>
      <c r="AZ9" s="94">
        <v>1</v>
      </c>
      <c r="BA9" s="94">
        <v>1</v>
      </c>
      <c r="BB9" s="94">
        <v>1</v>
      </c>
      <c r="BC9" s="94">
        <v>1</v>
      </c>
      <c r="BD9" s="94">
        <v>1</v>
      </c>
      <c r="BE9" s="94">
        <v>1</v>
      </c>
      <c r="BF9" s="94">
        <v>1</v>
      </c>
      <c r="BG9" s="94">
        <v>1</v>
      </c>
    </row>
    <row r="10" spans="1:59" x14ac:dyDescent="0.35">
      <c r="A10" s="93">
        <v>1350</v>
      </c>
      <c r="B10" s="92">
        <v>193</v>
      </c>
      <c r="C10" s="92">
        <f t="shared" si="28"/>
        <v>772</v>
      </c>
      <c r="D10" s="97">
        <f t="shared" si="0"/>
        <v>386</v>
      </c>
      <c r="E10" s="97">
        <f t="shared" si="1"/>
        <v>386</v>
      </c>
      <c r="F10" s="97">
        <f t="shared" si="2"/>
        <v>579</v>
      </c>
      <c r="G10" s="97">
        <f t="shared" si="3"/>
        <v>772</v>
      </c>
      <c r="H10" s="97">
        <f t="shared" si="4"/>
        <v>772</v>
      </c>
      <c r="I10" s="97">
        <f t="shared" si="5"/>
        <v>772</v>
      </c>
      <c r="J10" s="97">
        <f t="shared" si="6"/>
        <v>772</v>
      </c>
      <c r="K10" s="97">
        <f t="shared" si="7"/>
        <v>772</v>
      </c>
      <c r="L10" s="97">
        <f t="shared" si="8"/>
        <v>772</v>
      </c>
      <c r="M10" s="97">
        <f t="shared" si="9"/>
        <v>772</v>
      </c>
      <c r="N10" s="97">
        <f t="shared" si="10"/>
        <v>772</v>
      </c>
      <c r="O10" s="97">
        <f t="shared" si="11"/>
        <v>772</v>
      </c>
      <c r="P10" s="97">
        <f t="shared" si="12"/>
        <v>772</v>
      </c>
      <c r="Q10" s="97">
        <f t="shared" si="13"/>
        <v>772</v>
      </c>
      <c r="R10" s="95">
        <f t="shared" si="14"/>
        <v>0</v>
      </c>
      <c r="S10" s="95">
        <f t="shared" si="15"/>
        <v>0</v>
      </c>
      <c r="T10" s="95">
        <f t="shared" si="16"/>
        <v>193</v>
      </c>
      <c r="U10" s="95">
        <f t="shared" si="17"/>
        <v>772</v>
      </c>
      <c r="V10" s="95">
        <f t="shared" si="18"/>
        <v>772</v>
      </c>
      <c r="W10" s="95">
        <f t="shared" si="19"/>
        <v>772</v>
      </c>
      <c r="X10" s="95">
        <f t="shared" si="20"/>
        <v>772</v>
      </c>
      <c r="Y10" s="95">
        <f t="shared" si="21"/>
        <v>772</v>
      </c>
      <c r="Z10" s="95">
        <f t="shared" si="22"/>
        <v>772</v>
      </c>
      <c r="AA10" s="95">
        <f t="shared" si="23"/>
        <v>772</v>
      </c>
      <c r="AB10" s="95">
        <f t="shared" si="24"/>
        <v>772</v>
      </c>
      <c r="AC10" s="95">
        <f t="shared" si="25"/>
        <v>772</v>
      </c>
      <c r="AD10" s="95">
        <f t="shared" si="26"/>
        <v>772</v>
      </c>
      <c r="AE10" s="95">
        <f t="shared" si="27"/>
        <v>772</v>
      </c>
      <c r="AF10" s="96">
        <v>0.5</v>
      </c>
      <c r="AG10" s="96">
        <v>0.5</v>
      </c>
      <c r="AH10" s="96">
        <v>0.75</v>
      </c>
      <c r="AI10" s="96">
        <v>1</v>
      </c>
      <c r="AJ10" s="96">
        <v>1</v>
      </c>
      <c r="AK10" s="96">
        <v>1</v>
      </c>
      <c r="AL10" s="96">
        <v>1</v>
      </c>
      <c r="AM10" s="96">
        <v>1</v>
      </c>
      <c r="AN10" s="96">
        <v>1</v>
      </c>
      <c r="AO10" s="96">
        <v>1</v>
      </c>
      <c r="AP10" s="96">
        <v>1</v>
      </c>
      <c r="AQ10" s="96">
        <v>1</v>
      </c>
      <c r="AR10" s="96">
        <v>1</v>
      </c>
      <c r="AS10" s="96">
        <v>1</v>
      </c>
      <c r="AT10" s="94">
        <v>0</v>
      </c>
      <c r="AU10" s="94">
        <v>0</v>
      </c>
      <c r="AV10" s="94">
        <v>0.25</v>
      </c>
      <c r="AW10" s="94">
        <v>1</v>
      </c>
      <c r="AX10" s="94">
        <v>1</v>
      </c>
      <c r="AY10" s="94">
        <v>1</v>
      </c>
      <c r="AZ10" s="94">
        <v>1</v>
      </c>
      <c r="BA10" s="94">
        <v>1</v>
      </c>
      <c r="BB10" s="94">
        <v>1</v>
      </c>
      <c r="BC10" s="94">
        <v>1</v>
      </c>
      <c r="BD10" s="94">
        <v>1</v>
      </c>
      <c r="BE10" s="94">
        <v>1</v>
      </c>
      <c r="BF10" s="94">
        <v>1</v>
      </c>
      <c r="BG10" s="94">
        <v>1</v>
      </c>
    </row>
    <row r="11" spans="1:59" x14ac:dyDescent="0.35">
      <c r="A11" s="93">
        <v>1450</v>
      </c>
      <c r="B11" s="92">
        <v>220</v>
      </c>
      <c r="C11" s="92">
        <f t="shared" si="28"/>
        <v>880</v>
      </c>
      <c r="D11" s="97">
        <f t="shared" si="0"/>
        <v>440</v>
      </c>
      <c r="E11" s="97">
        <f t="shared" si="1"/>
        <v>440</v>
      </c>
      <c r="F11" s="97">
        <f t="shared" si="2"/>
        <v>660</v>
      </c>
      <c r="G11" s="97">
        <f t="shared" si="3"/>
        <v>880</v>
      </c>
      <c r="H11" s="97">
        <f t="shared" si="4"/>
        <v>880</v>
      </c>
      <c r="I11" s="97">
        <f t="shared" si="5"/>
        <v>880</v>
      </c>
      <c r="J11" s="97">
        <f t="shared" si="6"/>
        <v>880</v>
      </c>
      <c r="K11" s="97">
        <f t="shared" si="7"/>
        <v>880</v>
      </c>
      <c r="L11" s="97">
        <f t="shared" si="8"/>
        <v>880</v>
      </c>
      <c r="M11" s="97">
        <f t="shared" si="9"/>
        <v>880</v>
      </c>
      <c r="N11" s="97">
        <f t="shared" si="10"/>
        <v>880</v>
      </c>
      <c r="O11" s="97">
        <f t="shared" si="11"/>
        <v>880</v>
      </c>
      <c r="P11" s="97">
        <f t="shared" si="12"/>
        <v>880</v>
      </c>
      <c r="Q11" s="97">
        <f t="shared" si="13"/>
        <v>880</v>
      </c>
      <c r="R11" s="95">
        <f t="shared" si="14"/>
        <v>0</v>
      </c>
      <c r="S11" s="95">
        <f t="shared" si="15"/>
        <v>0</v>
      </c>
      <c r="T11" s="95">
        <f t="shared" si="16"/>
        <v>220</v>
      </c>
      <c r="U11" s="95">
        <f t="shared" si="17"/>
        <v>880</v>
      </c>
      <c r="V11" s="95">
        <f t="shared" si="18"/>
        <v>880</v>
      </c>
      <c r="W11" s="95">
        <f t="shared" si="19"/>
        <v>880</v>
      </c>
      <c r="X11" s="95">
        <f t="shared" si="20"/>
        <v>880</v>
      </c>
      <c r="Y11" s="95">
        <f t="shared" si="21"/>
        <v>880</v>
      </c>
      <c r="Z11" s="95">
        <f t="shared" si="22"/>
        <v>880</v>
      </c>
      <c r="AA11" s="95">
        <f t="shared" si="23"/>
        <v>880</v>
      </c>
      <c r="AB11" s="95">
        <f t="shared" si="24"/>
        <v>880</v>
      </c>
      <c r="AC11" s="95">
        <f t="shared" si="25"/>
        <v>880</v>
      </c>
      <c r="AD11" s="95">
        <f t="shared" si="26"/>
        <v>880</v>
      </c>
      <c r="AE11" s="95">
        <f t="shared" si="27"/>
        <v>880</v>
      </c>
      <c r="AF11" s="96">
        <v>0.5</v>
      </c>
      <c r="AG11" s="96">
        <v>0.5</v>
      </c>
      <c r="AH11" s="96">
        <v>0.75</v>
      </c>
      <c r="AI11" s="96">
        <v>1</v>
      </c>
      <c r="AJ11" s="96">
        <v>1</v>
      </c>
      <c r="AK11" s="96">
        <v>1</v>
      </c>
      <c r="AL11" s="96">
        <v>1</v>
      </c>
      <c r="AM11" s="96">
        <v>1</v>
      </c>
      <c r="AN11" s="96">
        <v>1</v>
      </c>
      <c r="AO11" s="96">
        <v>1</v>
      </c>
      <c r="AP11" s="96">
        <v>1</v>
      </c>
      <c r="AQ11" s="96">
        <v>1</v>
      </c>
      <c r="AR11" s="96">
        <v>1</v>
      </c>
      <c r="AS11" s="96">
        <v>1</v>
      </c>
      <c r="AT11" s="94">
        <v>0</v>
      </c>
      <c r="AU11" s="94">
        <v>0</v>
      </c>
      <c r="AV11" s="94">
        <v>0.25</v>
      </c>
      <c r="AW11" s="94">
        <v>1</v>
      </c>
      <c r="AX11" s="94">
        <v>1</v>
      </c>
      <c r="AY11" s="94">
        <v>1</v>
      </c>
      <c r="AZ11" s="94">
        <v>1</v>
      </c>
      <c r="BA11" s="94">
        <v>1</v>
      </c>
      <c r="BB11" s="94">
        <v>1</v>
      </c>
      <c r="BC11" s="94">
        <v>1</v>
      </c>
      <c r="BD11" s="94">
        <v>1</v>
      </c>
      <c r="BE11" s="94">
        <v>1</v>
      </c>
      <c r="BF11" s="94">
        <v>1</v>
      </c>
      <c r="BG11" s="94">
        <v>1</v>
      </c>
    </row>
    <row r="12" spans="1:59" x14ac:dyDescent="0.35">
      <c r="A12" s="93">
        <v>1550</v>
      </c>
      <c r="B12" s="92">
        <v>246</v>
      </c>
      <c r="C12" s="92">
        <f t="shared" si="28"/>
        <v>984</v>
      </c>
      <c r="D12" s="97">
        <f t="shared" si="0"/>
        <v>492</v>
      </c>
      <c r="E12" s="97">
        <f t="shared" si="1"/>
        <v>492</v>
      </c>
      <c r="F12" s="97">
        <f t="shared" si="2"/>
        <v>738</v>
      </c>
      <c r="G12" s="97">
        <f t="shared" si="3"/>
        <v>984</v>
      </c>
      <c r="H12" s="97">
        <f t="shared" si="4"/>
        <v>984</v>
      </c>
      <c r="I12" s="97">
        <f t="shared" si="5"/>
        <v>984</v>
      </c>
      <c r="J12" s="97">
        <f t="shared" si="6"/>
        <v>984</v>
      </c>
      <c r="K12" s="97">
        <f t="shared" si="7"/>
        <v>984</v>
      </c>
      <c r="L12" s="97">
        <f t="shared" si="8"/>
        <v>984</v>
      </c>
      <c r="M12" s="97">
        <f t="shared" si="9"/>
        <v>984</v>
      </c>
      <c r="N12" s="97">
        <f t="shared" si="10"/>
        <v>984</v>
      </c>
      <c r="O12" s="97">
        <f t="shared" si="11"/>
        <v>984</v>
      </c>
      <c r="P12" s="97">
        <f t="shared" si="12"/>
        <v>984</v>
      </c>
      <c r="Q12" s="97">
        <f t="shared" si="13"/>
        <v>984</v>
      </c>
      <c r="R12" s="95">
        <f t="shared" si="14"/>
        <v>0</v>
      </c>
      <c r="S12" s="95">
        <f t="shared" si="15"/>
        <v>0</v>
      </c>
      <c r="T12" s="95">
        <f t="shared" si="16"/>
        <v>246</v>
      </c>
      <c r="U12" s="95">
        <f t="shared" si="17"/>
        <v>984</v>
      </c>
      <c r="V12" s="95">
        <f t="shared" si="18"/>
        <v>984</v>
      </c>
      <c r="W12" s="95">
        <f t="shared" si="19"/>
        <v>984</v>
      </c>
      <c r="X12" s="95">
        <f t="shared" si="20"/>
        <v>984</v>
      </c>
      <c r="Y12" s="95">
        <f t="shared" si="21"/>
        <v>984</v>
      </c>
      <c r="Z12" s="95">
        <f t="shared" si="22"/>
        <v>984</v>
      </c>
      <c r="AA12" s="95">
        <f t="shared" si="23"/>
        <v>984</v>
      </c>
      <c r="AB12" s="95">
        <f t="shared" si="24"/>
        <v>984</v>
      </c>
      <c r="AC12" s="95">
        <f t="shared" si="25"/>
        <v>984</v>
      </c>
      <c r="AD12" s="95">
        <f t="shared" si="26"/>
        <v>984</v>
      </c>
      <c r="AE12" s="95">
        <f t="shared" si="27"/>
        <v>984</v>
      </c>
      <c r="AF12" s="96">
        <v>0.5</v>
      </c>
      <c r="AG12" s="96">
        <v>0.5</v>
      </c>
      <c r="AH12" s="96">
        <v>0.75</v>
      </c>
      <c r="AI12" s="96">
        <v>1</v>
      </c>
      <c r="AJ12" s="96">
        <v>1</v>
      </c>
      <c r="AK12" s="96">
        <v>1</v>
      </c>
      <c r="AL12" s="96">
        <v>1</v>
      </c>
      <c r="AM12" s="96">
        <v>1</v>
      </c>
      <c r="AN12" s="96">
        <v>1</v>
      </c>
      <c r="AO12" s="96">
        <v>1</v>
      </c>
      <c r="AP12" s="96">
        <v>1</v>
      </c>
      <c r="AQ12" s="96">
        <v>1</v>
      </c>
      <c r="AR12" s="96">
        <v>1</v>
      </c>
      <c r="AS12" s="96">
        <v>1</v>
      </c>
      <c r="AT12" s="94">
        <v>0</v>
      </c>
      <c r="AU12" s="94">
        <v>0</v>
      </c>
      <c r="AV12" s="94">
        <v>0.25</v>
      </c>
      <c r="AW12" s="94">
        <v>1</v>
      </c>
      <c r="AX12" s="94">
        <v>1</v>
      </c>
      <c r="AY12" s="94">
        <v>1</v>
      </c>
      <c r="AZ12" s="94">
        <v>1</v>
      </c>
      <c r="BA12" s="94">
        <v>1</v>
      </c>
      <c r="BB12" s="94">
        <v>1</v>
      </c>
      <c r="BC12" s="94">
        <v>1</v>
      </c>
      <c r="BD12" s="94">
        <v>1</v>
      </c>
      <c r="BE12" s="94">
        <v>1</v>
      </c>
      <c r="BF12" s="94">
        <v>1</v>
      </c>
      <c r="BG12" s="94">
        <v>1</v>
      </c>
    </row>
    <row r="13" spans="1:59" x14ac:dyDescent="0.35">
      <c r="A13" s="93">
        <v>1650</v>
      </c>
      <c r="B13" s="92">
        <v>272</v>
      </c>
      <c r="C13" s="92">
        <f t="shared" si="28"/>
        <v>1088</v>
      </c>
      <c r="D13" s="97">
        <f t="shared" si="0"/>
        <v>544</v>
      </c>
      <c r="E13" s="97">
        <f t="shared" si="1"/>
        <v>544</v>
      </c>
      <c r="F13" s="97">
        <f t="shared" si="2"/>
        <v>816</v>
      </c>
      <c r="G13" s="97">
        <f t="shared" si="3"/>
        <v>1088</v>
      </c>
      <c r="H13" s="97">
        <f t="shared" si="4"/>
        <v>1088</v>
      </c>
      <c r="I13" s="97">
        <f t="shared" si="5"/>
        <v>1088</v>
      </c>
      <c r="J13" s="97">
        <f t="shared" si="6"/>
        <v>1088</v>
      </c>
      <c r="K13" s="97">
        <f t="shared" si="7"/>
        <v>1088</v>
      </c>
      <c r="L13" s="97">
        <f t="shared" si="8"/>
        <v>1088</v>
      </c>
      <c r="M13" s="97">
        <f t="shared" si="9"/>
        <v>1088</v>
      </c>
      <c r="N13" s="97">
        <f t="shared" si="10"/>
        <v>1088</v>
      </c>
      <c r="O13" s="97">
        <f t="shared" si="11"/>
        <v>1088</v>
      </c>
      <c r="P13" s="97">
        <f t="shared" si="12"/>
        <v>1088</v>
      </c>
      <c r="Q13" s="97">
        <f t="shared" si="13"/>
        <v>1088</v>
      </c>
      <c r="R13" s="95">
        <f t="shared" si="14"/>
        <v>0</v>
      </c>
      <c r="S13" s="95">
        <f t="shared" si="15"/>
        <v>0</v>
      </c>
      <c r="T13" s="95">
        <f t="shared" si="16"/>
        <v>272</v>
      </c>
      <c r="U13" s="95">
        <f t="shared" si="17"/>
        <v>1088</v>
      </c>
      <c r="V13" s="95">
        <f t="shared" si="18"/>
        <v>1088</v>
      </c>
      <c r="W13" s="95">
        <f t="shared" si="19"/>
        <v>1088</v>
      </c>
      <c r="X13" s="95">
        <f t="shared" si="20"/>
        <v>1088</v>
      </c>
      <c r="Y13" s="95">
        <f t="shared" si="21"/>
        <v>1088</v>
      </c>
      <c r="Z13" s="95">
        <f t="shared" si="22"/>
        <v>1088</v>
      </c>
      <c r="AA13" s="95">
        <f t="shared" si="23"/>
        <v>1088</v>
      </c>
      <c r="AB13" s="95">
        <f t="shared" si="24"/>
        <v>1088</v>
      </c>
      <c r="AC13" s="95">
        <f t="shared" si="25"/>
        <v>1088</v>
      </c>
      <c r="AD13" s="95">
        <f t="shared" si="26"/>
        <v>1088</v>
      </c>
      <c r="AE13" s="95">
        <f t="shared" si="27"/>
        <v>1088</v>
      </c>
      <c r="AF13" s="96">
        <v>0.5</v>
      </c>
      <c r="AG13" s="96">
        <v>0.5</v>
      </c>
      <c r="AH13" s="96">
        <v>0.75</v>
      </c>
      <c r="AI13" s="96">
        <v>1</v>
      </c>
      <c r="AJ13" s="96">
        <v>1</v>
      </c>
      <c r="AK13" s="96">
        <v>1</v>
      </c>
      <c r="AL13" s="96">
        <v>1</v>
      </c>
      <c r="AM13" s="96">
        <v>1</v>
      </c>
      <c r="AN13" s="96">
        <v>1</v>
      </c>
      <c r="AO13" s="96">
        <v>1</v>
      </c>
      <c r="AP13" s="96">
        <v>1</v>
      </c>
      <c r="AQ13" s="96">
        <v>1</v>
      </c>
      <c r="AR13" s="96">
        <v>1</v>
      </c>
      <c r="AS13" s="96">
        <v>1</v>
      </c>
      <c r="AT13" s="94">
        <v>0</v>
      </c>
      <c r="AU13" s="94">
        <v>0</v>
      </c>
      <c r="AV13" s="94">
        <v>0.25</v>
      </c>
      <c r="AW13" s="94">
        <v>1</v>
      </c>
      <c r="AX13" s="94">
        <v>1</v>
      </c>
      <c r="AY13" s="94">
        <v>1</v>
      </c>
      <c r="AZ13" s="94">
        <v>1</v>
      </c>
      <c r="BA13" s="94">
        <v>1</v>
      </c>
      <c r="BB13" s="94">
        <v>1</v>
      </c>
      <c r="BC13" s="94">
        <v>1</v>
      </c>
      <c r="BD13" s="94">
        <v>1</v>
      </c>
      <c r="BE13" s="94">
        <v>1</v>
      </c>
      <c r="BF13" s="94">
        <v>1</v>
      </c>
      <c r="BG13" s="94">
        <v>1</v>
      </c>
    </row>
    <row r="14" spans="1:59" x14ac:dyDescent="0.35">
      <c r="A14" s="93">
        <v>1750</v>
      </c>
      <c r="B14" s="92">
        <v>298</v>
      </c>
      <c r="C14" s="92">
        <f t="shared" si="28"/>
        <v>1192</v>
      </c>
      <c r="D14" s="97">
        <f t="shared" si="0"/>
        <v>596</v>
      </c>
      <c r="E14" s="97">
        <f t="shared" si="1"/>
        <v>596</v>
      </c>
      <c r="F14" s="97">
        <f t="shared" si="2"/>
        <v>894</v>
      </c>
      <c r="G14" s="97">
        <f t="shared" si="3"/>
        <v>1192</v>
      </c>
      <c r="H14" s="97">
        <f t="shared" si="4"/>
        <v>1192</v>
      </c>
      <c r="I14" s="97">
        <f t="shared" si="5"/>
        <v>1192</v>
      </c>
      <c r="J14" s="97">
        <f t="shared" si="6"/>
        <v>1192</v>
      </c>
      <c r="K14" s="97">
        <f t="shared" si="7"/>
        <v>1192</v>
      </c>
      <c r="L14" s="97">
        <f t="shared" si="8"/>
        <v>1192</v>
      </c>
      <c r="M14" s="97">
        <f t="shared" si="9"/>
        <v>1192</v>
      </c>
      <c r="N14" s="97">
        <f t="shared" si="10"/>
        <v>1192</v>
      </c>
      <c r="O14" s="97">
        <f t="shared" si="11"/>
        <v>1192</v>
      </c>
      <c r="P14" s="97">
        <f t="shared" si="12"/>
        <v>1192</v>
      </c>
      <c r="Q14" s="97">
        <f t="shared" si="13"/>
        <v>1192</v>
      </c>
      <c r="R14" s="95">
        <f t="shared" si="14"/>
        <v>0</v>
      </c>
      <c r="S14" s="95">
        <f t="shared" si="15"/>
        <v>0</v>
      </c>
      <c r="T14" s="95">
        <f t="shared" si="16"/>
        <v>298</v>
      </c>
      <c r="U14" s="95">
        <f t="shared" si="17"/>
        <v>1192</v>
      </c>
      <c r="V14" s="95">
        <f t="shared" si="18"/>
        <v>1192</v>
      </c>
      <c r="W14" s="95">
        <f t="shared" si="19"/>
        <v>1192</v>
      </c>
      <c r="X14" s="95">
        <f t="shared" si="20"/>
        <v>1192</v>
      </c>
      <c r="Y14" s="95">
        <f t="shared" si="21"/>
        <v>1192</v>
      </c>
      <c r="Z14" s="95">
        <f t="shared" si="22"/>
        <v>1192</v>
      </c>
      <c r="AA14" s="95">
        <f t="shared" si="23"/>
        <v>1192</v>
      </c>
      <c r="AB14" s="95">
        <f t="shared" si="24"/>
        <v>1192</v>
      </c>
      <c r="AC14" s="95">
        <f t="shared" si="25"/>
        <v>1192</v>
      </c>
      <c r="AD14" s="95">
        <f t="shared" si="26"/>
        <v>1192</v>
      </c>
      <c r="AE14" s="95">
        <f t="shared" si="27"/>
        <v>1192</v>
      </c>
      <c r="AF14" s="96">
        <v>0.5</v>
      </c>
      <c r="AG14" s="96">
        <v>0.5</v>
      </c>
      <c r="AH14" s="96">
        <v>0.75</v>
      </c>
      <c r="AI14" s="96">
        <v>1</v>
      </c>
      <c r="AJ14" s="96">
        <v>1</v>
      </c>
      <c r="AK14" s="96">
        <v>1</v>
      </c>
      <c r="AL14" s="96">
        <v>1</v>
      </c>
      <c r="AM14" s="96">
        <v>1</v>
      </c>
      <c r="AN14" s="96">
        <v>1</v>
      </c>
      <c r="AO14" s="96">
        <v>1</v>
      </c>
      <c r="AP14" s="96">
        <v>1</v>
      </c>
      <c r="AQ14" s="96">
        <v>1</v>
      </c>
      <c r="AR14" s="96">
        <v>1</v>
      </c>
      <c r="AS14" s="96">
        <v>1</v>
      </c>
      <c r="AT14" s="94">
        <v>0</v>
      </c>
      <c r="AU14" s="94">
        <v>0</v>
      </c>
      <c r="AV14" s="94">
        <v>0.25</v>
      </c>
      <c r="AW14" s="94">
        <v>1</v>
      </c>
      <c r="AX14" s="94">
        <v>1</v>
      </c>
      <c r="AY14" s="94">
        <v>1</v>
      </c>
      <c r="AZ14" s="94">
        <v>1</v>
      </c>
      <c r="BA14" s="94">
        <v>1</v>
      </c>
      <c r="BB14" s="94">
        <v>1</v>
      </c>
      <c r="BC14" s="94">
        <v>1</v>
      </c>
      <c r="BD14" s="94">
        <v>1</v>
      </c>
      <c r="BE14" s="94">
        <v>1</v>
      </c>
      <c r="BF14" s="94">
        <v>1</v>
      </c>
      <c r="BG14" s="94">
        <v>1</v>
      </c>
    </row>
    <row r="15" spans="1:59" x14ac:dyDescent="0.35">
      <c r="A15" s="93">
        <v>1850</v>
      </c>
      <c r="B15" s="92">
        <v>325</v>
      </c>
      <c r="C15" s="92">
        <f t="shared" si="28"/>
        <v>1300</v>
      </c>
      <c r="D15" s="97">
        <f t="shared" si="0"/>
        <v>650</v>
      </c>
      <c r="E15" s="97">
        <f t="shared" si="1"/>
        <v>650</v>
      </c>
      <c r="F15" s="97">
        <f t="shared" si="2"/>
        <v>975</v>
      </c>
      <c r="G15" s="97">
        <f t="shared" si="3"/>
        <v>1300</v>
      </c>
      <c r="H15" s="97">
        <f t="shared" si="4"/>
        <v>1300</v>
      </c>
      <c r="I15" s="97">
        <f t="shared" si="5"/>
        <v>1300</v>
      </c>
      <c r="J15" s="97">
        <f t="shared" si="6"/>
        <v>1300</v>
      </c>
      <c r="K15" s="97">
        <f t="shared" si="7"/>
        <v>1300</v>
      </c>
      <c r="L15" s="97">
        <f t="shared" si="8"/>
        <v>1300</v>
      </c>
      <c r="M15" s="97">
        <f t="shared" si="9"/>
        <v>1300</v>
      </c>
      <c r="N15" s="97">
        <f t="shared" si="10"/>
        <v>1300</v>
      </c>
      <c r="O15" s="97">
        <f t="shared" si="11"/>
        <v>1300</v>
      </c>
      <c r="P15" s="97">
        <f t="shared" si="12"/>
        <v>1300</v>
      </c>
      <c r="Q15" s="97">
        <f t="shared" si="13"/>
        <v>1300</v>
      </c>
      <c r="R15" s="95">
        <f t="shared" si="14"/>
        <v>0</v>
      </c>
      <c r="S15" s="95">
        <f t="shared" si="15"/>
        <v>0</v>
      </c>
      <c r="T15" s="95">
        <f t="shared" si="16"/>
        <v>325</v>
      </c>
      <c r="U15" s="95">
        <f t="shared" si="17"/>
        <v>1300</v>
      </c>
      <c r="V15" s="95">
        <f t="shared" si="18"/>
        <v>1300</v>
      </c>
      <c r="W15" s="95">
        <f t="shared" si="19"/>
        <v>1300</v>
      </c>
      <c r="X15" s="95">
        <f t="shared" si="20"/>
        <v>1300</v>
      </c>
      <c r="Y15" s="95">
        <f t="shared" si="21"/>
        <v>1300</v>
      </c>
      <c r="Z15" s="95">
        <f t="shared" si="22"/>
        <v>1300</v>
      </c>
      <c r="AA15" s="95">
        <f t="shared" si="23"/>
        <v>1300</v>
      </c>
      <c r="AB15" s="95">
        <f t="shared" si="24"/>
        <v>1300</v>
      </c>
      <c r="AC15" s="95">
        <f t="shared" si="25"/>
        <v>1300</v>
      </c>
      <c r="AD15" s="95">
        <f t="shared" si="26"/>
        <v>1300</v>
      </c>
      <c r="AE15" s="95">
        <f t="shared" si="27"/>
        <v>1300</v>
      </c>
      <c r="AF15" s="96">
        <v>0.5</v>
      </c>
      <c r="AG15" s="96">
        <v>0.5</v>
      </c>
      <c r="AH15" s="96">
        <v>0.75</v>
      </c>
      <c r="AI15" s="96">
        <v>1</v>
      </c>
      <c r="AJ15" s="96">
        <v>1</v>
      </c>
      <c r="AK15" s="96">
        <v>1</v>
      </c>
      <c r="AL15" s="96">
        <v>1</v>
      </c>
      <c r="AM15" s="96">
        <v>1</v>
      </c>
      <c r="AN15" s="96">
        <v>1</v>
      </c>
      <c r="AO15" s="96">
        <v>1</v>
      </c>
      <c r="AP15" s="96">
        <v>1</v>
      </c>
      <c r="AQ15" s="96">
        <v>1</v>
      </c>
      <c r="AR15" s="96">
        <v>1</v>
      </c>
      <c r="AS15" s="96">
        <v>1</v>
      </c>
      <c r="AT15" s="94">
        <v>0</v>
      </c>
      <c r="AU15" s="94">
        <v>0</v>
      </c>
      <c r="AV15" s="94">
        <v>0.25</v>
      </c>
      <c r="AW15" s="94">
        <v>1</v>
      </c>
      <c r="AX15" s="94">
        <v>1</v>
      </c>
      <c r="AY15" s="94">
        <v>1</v>
      </c>
      <c r="AZ15" s="94">
        <v>1</v>
      </c>
      <c r="BA15" s="94">
        <v>1</v>
      </c>
      <c r="BB15" s="94">
        <v>1</v>
      </c>
      <c r="BC15" s="94">
        <v>1</v>
      </c>
      <c r="BD15" s="94">
        <v>1</v>
      </c>
      <c r="BE15" s="94">
        <v>1</v>
      </c>
      <c r="BF15" s="94">
        <v>1</v>
      </c>
      <c r="BG15" s="94">
        <v>1</v>
      </c>
    </row>
    <row r="16" spans="1:59" x14ac:dyDescent="0.35">
      <c r="A16" s="93">
        <v>1950</v>
      </c>
      <c r="B16" s="92">
        <v>351</v>
      </c>
      <c r="C16" s="92">
        <f t="shared" si="28"/>
        <v>1404</v>
      </c>
      <c r="D16" s="97">
        <f t="shared" si="0"/>
        <v>702</v>
      </c>
      <c r="E16" s="97">
        <f t="shared" si="1"/>
        <v>702</v>
      </c>
      <c r="F16" s="97">
        <f t="shared" si="2"/>
        <v>1053</v>
      </c>
      <c r="G16" s="97">
        <f t="shared" si="3"/>
        <v>1404</v>
      </c>
      <c r="H16" s="97">
        <f t="shared" si="4"/>
        <v>1404</v>
      </c>
      <c r="I16" s="97">
        <f t="shared" si="5"/>
        <v>1404</v>
      </c>
      <c r="J16" s="97">
        <f t="shared" si="6"/>
        <v>1404</v>
      </c>
      <c r="K16" s="97">
        <f t="shared" si="7"/>
        <v>1404</v>
      </c>
      <c r="L16" s="97">
        <f t="shared" si="8"/>
        <v>1404</v>
      </c>
      <c r="M16" s="97">
        <f t="shared" si="9"/>
        <v>1404</v>
      </c>
      <c r="N16" s="97">
        <f t="shared" si="10"/>
        <v>1404</v>
      </c>
      <c r="O16" s="97">
        <f t="shared" si="11"/>
        <v>1404</v>
      </c>
      <c r="P16" s="97">
        <f t="shared" si="12"/>
        <v>1404</v>
      </c>
      <c r="Q16" s="97">
        <f t="shared" si="13"/>
        <v>1404</v>
      </c>
      <c r="R16" s="95">
        <f t="shared" si="14"/>
        <v>0</v>
      </c>
      <c r="S16" s="95">
        <f t="shared" si="15"/>
        <v>0</v>
      </c>
      <c r="T16" s="95">
        <f t="shared" si="16"/>
        <v>351</v>
      </c>
      <c r="U16" s="95">
        <f t="shared" si="17"/>
        <v>1404</v>
      </c>
      <c r="V16" s="95">
        <f t="shared" si="18"/>
        <v>1404</v>
      </c>
      <c r="W16" s="95">
        <f t="shared" si="19"/>
        <v>1404</v>
      </c>
      <c r="X16" s="95">
        <f t="shared" si="20"/>
        <v>1404</v>
      </c>
      <c r="Y16" s="95">
        <f t="shared" si="21"/>
        <v>1404</v>
      </c>
      <c r="Z16" s="95">
        <f t="shared" si="22"/>
        <v>1404</v>
      </c>
      <c r="AA16" s="95">
        <f t="shared" si="23"/>
        <v>1404</v>
      </c>
      <c r="AB16" s="95">
        <f t="shared" si="24"/>
        <v>1404</v>
      </c>
      <c r="AC16" s="95">
        <f t="shared" si="25"/>
        <v>1404</v>
      </c>
      <c r="AD16" s="95">
        <f t="shared" si="26"/>
        <v>1404</v>
      </c>
      <c r="AE16" s="95">
        <f t="shared" si="27"/>
        <v>1404</v>
      </c>
      <c r="AF16" s="96">
        <v>0.5</v>
      </c>
      <c r="AG16" s="96">
        <v>0.5</v>
      </c>
      <c r="AH16" s="96">
        <v>0.75</v>
      </c>
      <c r="AI16" s="96">
        <v>1</v>
      </c>
      <c r="AJ16" s="96">
        <v>1</v>
      </c>
      <c r="AK16" s="96">
        <v>1</v>
      </c>
      <c r="AL16" s="96">
        <v>1</v>
      </c>
      <c r="AM16" s="96">
        <v>1</v>
      </c>
      <c r="AN16" s="96">
        <v>1</v>
      </c>
      <c r="AO16" s="96">
        <v>1</v>
      </c>
      <c r="AP16" s="96">
        <v>1</v>
      </c>
      <c r="AQ16" s="96">
        <v>1</v>
      </c>
      <c r="AR16" s="96">
        <v>1</v>
      </c>
      <c r="AS16" s="96">
        <v>1</v>
      </c>
      <c r="AT16" s="94">
        <v>0</v>
      </c>
      <c r="AU16" s="94">
        <v>0</v>
      </c>
      <c r="AV16" s="94">
        <v>0.25</v>
      </c>
      <c r="AW16" s="94">
        <v>1</v>
      </c>
      <c r="AX16" s="94">
        <v>1</v>
      </c>
      <c r="AY16" s="94">
        <v>1</v>
      </c>
      <c r="AZ16" s="94">
        <v>1</v>
      </c>
      <c r="BA16" s="94">
        <v>1</v>
      </c>
      <c r="BB16" s="94">
        <v>1</v>
      </c>
      <c r="BC16" s="94">
        <v>1</v>
      </c>
      <c r="BD16" s="94">
        <v>1</v>
      </c>
      <c r="BE16" s="94">
        <v>1</v>
      </c>
      <c r="BF16" s="94">
        <v>1</v>
      </c>
      <c r="BG16" s="94">
        <v>1</v>
      </c>
    </row>
    <row r="17" spans="1:59" x14ac:dyDescent="0.35">
      <c r="A17" s="93">
        <v>2050</v>
      </c>
      <c r="B17" s="92">
        <v>377</v>
      </c>
      <c r="C17" s="92">
        <f t="shared" si="28"/>
        <v>1508</v>
      </c>
      <c r="D17" s="97">
        <f t="shared" si="0"/>
        <v>754</v>
      </c>
      <c r="E17" s="97">
        <f t="shared" si="1"/>
        <v>754</v>
      </c>
      <c r="F17" s="97">
        <f t="shared" si="2"/>
        <v>1131</v>
      </c>
      <c r="G17" s="97">
        <f t="shared" si="3"/>
        <v>1508</v>
      </c>
      <c r="H17" s="97">
        <f t="shared" si="4"/>
        <v>1508</v>
      </c>
      <c r="I17" s="97">
        <f t="shared" si="5"/>
        <v>1508</v>
      </c>
      <c r="J17" s="97">
        <f t="shared" si="6"/>
        <v>1508</v>
      </c>
      <c r="K17" s="97">
        <f t="shared" si="7"/>
        <v>1508</v>
      </c>
      <c r="L17" s="97">
        <f t="shared" si="8"/>
        <v>1508</v>
      </c>
      <c r="M17" s="97">
        <f t="shared" si="9"/>
        <v>1508</v>
      </c>
      <c r="N17" s="97">
        <f t="shared" si="10"/>
        <v>1508</v>
      </c>
      <c r="O17" s="97">
        <f t="shared" si="11"/>
        <v>1508</v>
      </c>
      <c r="P17" s="97">
        <f t="shared" si="12"/>
        <v>1508</v>
      </c>
      <c r="Q17" s="97">
        <f t="shared" si="13"/>
        <v>1508</v>
      </c>
      <c r="R17" s="95">
        <f t="shared" si="14"/>
        <v>0</v>
      </c>
      <c r="S17" s="95">
        <f t="shared" si="15"/>
        <v>0</v>
      </c>
      <c r="T17" s="95">
        <f t="shared" si="16"/>
        <v>377</v>
      </c>
      <c r="U17" s="95">
        <f t="shared" si="17"/>
        <v>1508</v>
      </c>
      <c r="V17" s="95">
        <f t="shared" si="18"/>
        <v>1508</v>
      </c>
      <c r="W17" s="95">
        <f t="shared" si="19"/>
        <v>1508</v>
      </c>
      <c r="X17" s="95">
        <f t="shared" si="20"/>
        <v>1508</v>
      </c>
      <c r="Y17" s="95">
        <f t="shared" si="21"/>
        <v>1508</v>
      </c>
      <c r="Z17" s="95">
        <f t="shared" si="22"/>
        <v>1508</v>
      </c>
      <c r="AA17" s="95">
        <f t="shared" si="23"/>
        <v>1508</v>
      </c>
      <c r="AB17" s="95">
        <f t="shared" si="24"/>
        <v>1508</v>
      </c>
      <c r="AC17" s="95">
        <f t="shared" si="25"/>
        <v>1508</v>
      </c>
      <c r="AD17" s="95">
        <f t="shared" si="26"/>
        <v>1508</v>
      </c>
      <c r="AE17" s="95">
        <f t="shared" si="27"/>
        <v>1508</v>
      </c>
      <c r="AF17" s="96">
        <v>0.5</v>
      </c>
      <c r="AG17" s="96">
        <v>0.5</v>
      </c>
      <c r="AH17" s="96">
        <v>0.75</v>
      </c>
      <c r="AI17" s="96">
        <v>1</v>
      </c>
      <c r="AJ17" s="96">
        <v>1</v>
      </c>
      <c r="AK17" s="96">
        <v>1</v>
      </c>
      <c r="AL17" s="96">
        <v>1</v>
      </c>
      <c r="AM17" s="96">
        <v>1</v>
      </c>
      <c r="AN17" s="96">
        <v>1</v>
      </c>
      <c r="AO17" s="96">
        <v>1</v>
      </c>
      <c r="AP17" s="96">
        <v>1</v>
      </c>
      <c r="AQ17" s="96">
        <v>1</v>
      </c>
      <c r="AR17" s="96">
        <v>1</v>
      </c>
      <c r="AS17" s="96">
        <v>1</v>
      </c>
      <c r="AT17" s="94">
        <v>0</v>
      </c>
      <c r="AU17" s="94">
        <v>0</v>
      </c>
      <c r="AV17" s="94">
        <v>0.25</v>
      </c>
      <c r="AW17" s="94">
        <v>1</v>
      </c>
      <c r="AX17" s="94">
        <v>1</v>
      </c>
      <c r="AY17" s="94">
        <v>1</v>
      </c>
      <c r="AZ17" s="94">
        <v>1</v>
      </c>
      <c r="BA17" s="94">
        <v>1</v>
      </c>
      <c r="BB17" s="94">
        <v>1</v>
      </c>
      <c r="BC17" s="94">
        <v>1</v>
      </c>
      <c r="BD17" s="94">
        <v>1</v>
      </c>
      <c r="BE17" s="94">
        <v>1</v>
      </c>
      <c r="BF17" s="94">
        <v>1</v>
      </c>
      <c r="BG17" s="94">
        <v>1</v>
      </c>
    </row>
  </sheetData>
  <sheetProtection sheet="1" objects="1" scenarios="1" selectLockedCells="1"/>
  <mergeCells count="5">
    <mergeCell ref="AT1:BG1"/>
    <mergeCell ref="AF1:AS1"/>
    <mergeCell ref="B1:C1"/>
    <mergeCell ref="R1:AE1"/>
    <mergeCell ref="D1:Q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76372-A020-4F20-947E-02308446C25C}">
  <sheetPr codeName="Sheet5"/>
  <dimension ref="A1:B16"/>
  <sheetViews>
    <sheetView showGridLines="0" workbookViewId="0"/>
  </sheetViews>
  <sheetFormatPr defaultRowHeight="14.5" x14ac:dyDescent="0.35"/>
  <cols>
    <col min="2" max="2" width="9.1796875" customWidth="1"/>
  </cols>
  <sheetData>
    <row r="1" spans="1:2" ht="15" thickBot="1" x14ac:dyDescent="0.4">
      <c r="A1" s="169" t="s">
        <v>152</v>
      </c>
      <c r="B1" s="182" t="s">
        <v>153</v>
      </c>
    </row>
    <row r="2" spans="1:2" x14ac:dyDescent="0.35">
      <c r="A2" s="189">
        <v>0</v>
      </c>
      <c r="B2" s="199">
        <v>0</v>
      </c>
    </row>
    <row r="3" spans="1:2" x14ac:dyDescent="0.35">
      <c r="A3" s="170">
        <v>1</v>
      </c>
      <c r="B3" s="183">
        <v>0</v>
      </c>
    </row>
    <row r="4" spans="1:2" x14ac:dyDescent="0.35">
      <c r="A4" s="171">
        <v>2</v>
      </c>
      <c r="B4" s="184">
        <v>0</v>
      </c>
    </row>
    <row r="5" spans="1:2" x14ac:dyDescent="0.35">
      <c r="A5" s="171">
        <v>3</v>
      </c>
      <c r="B5" s="184">
        <v>0</v>
      </c>
    </row>
    <row r="6" spans="1:2" x14ac:dyDescent="0.35">
      <c r="A6" s="171">
        <v>4</v>
      </c>
      <c r="B6" s="184">
        <v>40</v>
      </c>
    </row>
    <row r="7" spans="1:2" x14ac:dyDescent="0.35">
      <c r="A7" s="171">
        <v>5</v>
      </c>
      <c r="B7" s="184">
        <v>0</v>
      </c>
    </row>
    <row r="8" spans="1:2" x14ac:dyDescent="0.35">
      <c r="A8" s="171">
        <v>6</v>
      </c>
      <c r="B8" s="184">
        <v>40</v>
      </c>
    </row>
    <row r="9" spans="1:2" x14ac:dyDescent="0.35">
      <c r="A9" s="171">
        <v>7</v>
      </c>
      <c r="B9" s="184">
        <v>0</v>
      </c>
    </row>
    <row r="10" spans="1:2" x14ac:dyDescent="0.35">
      <c r="A10" s="171">
        <v>8</v>
      </c>
      <c r="B10" s="184">
        <v>40</v>
      </c>
    </row>
    <row r="11" spans="1:2" x14ac:dyDescent="0.35">
      <c r="A11" s="171">
        <v>9</v>
      </c>
      <c r="B11" s="184">
        <v>40</v>
      </c>
    </row>
    <row r="12" spans="1:2" x14ac:dyDescent="0.35">
      <c r="A12" s="171">
        <v>10</v>
      </c>
      <c r="B12" s="184">
        <v>40</v>
      </c>
    </row>
    <row r="13" spans="1:2" x14ac:dyDescent="0.35">
      <c r="A13" s="171">
        <v>11</v>
      </c>
      <c r="B13" s="184">
        <v>40</v>
      </c>
    </row>
    <row r="14" spans="1:2" x14ac:dyDescent="0.35">
      <c r="A14" s="171">
        <v>12</v>
      </c>
      <c r="B14" s="184">
        <v>40</v>
      </c>
    </row>
    <row r="15" spans="1:2" x14ac:dyDescent="0.35">
      <c r="A15" s="171">
        <v>13</v>
      </c>
      <c r="B15" s="184">
        <v>40</v>
      </c>
    </row>
    <row r="16" spans="1:2" ht="15" thickBot="1" x14ac:dyDescent="0.4">
      <c r="A16" s="172">
        <v>14</v>
      </c>
      <c r="B16" s="185">
        <v>40</v>
      </c>
    </row>
  </sheetData>
  <sheetProtection sheet="1" objects="1" scenarios="1" selectLockedCells="1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48009-EF48-4C85-A056-EDDD5F57C85A}">
  <sheetPr codeName="Sheet9"/>
  <dimension ref="A1:B19"/>
  <sheetViews>
    <sheetView showGridLines="0" workbookViewId="0">
      <selection activeCell="B2" sqref="B2"/>
    </sheetView>
  </sheetViews>
  <sheetFormatPr defaultRowHeight="14.5" x14ac:dyDescent="0.35"/>
  <sheetData>
    <row r="1" spans="1:2" ht="15" thickBot="1" x14ac:dyDescent="0.4">
      <c r="A1" s="169" t="s">
        <v>152</v>
      </c>
      <c r="B1" s="182" t="s">
        <v>219</v>
      </c>
    </row>
    <row r="2" spans="1:2" x14ac:dyDescent="0.35">
      <c r="A2" s="206">
        <v>2023</v>
      </c>
      <c r="B2" s="210">
        <v>0.21</v>
      </c>
    </row>
    <row r="3" spans="1:2" x14ac:dyDescent="0.35">
      <c r="A3" s="207">
        <v>2024</v>
      </c>
      <c r="B3" s="211">
        <v>0.22</v>
      </c>
    </row>
    <row r="4" spans="1:2" x14ac:dyDescent="0.35">
      <c r="A4" s="208">
        <v>2025</v>
      </c>
      <c r="B4" s="212">
        <f>B3</f>
        <v>0.22</v>
      </c>
    </row>
    <row r="5" spans="1:2" x14ac:dyDescent="0.35">
      <c r="A5" s="208">
        <v>2026</v>
      </c>
      <c r="B5" s="212">
        <f t="shared" ref="B5:B19" si="0">B4</f>
        <v>0.22</v>
      </c>
    </row>
    <row r="6" spans="1:2" x14ac:dyDescent="0.35">
      <c r="A6" s="208">
        <v>2027</v>
      </c>
      <c r="B6" s="212">
        <f t="shared" si="0"/>
        <v>0.22</v>
      </c>
    </row>
    <row r="7" spans="1:2" x14ac:dyDescent="0.35">
      <c r="A7" s="208">
        <v>2028</v>
      </c>
      <c r="B7" s="212">
        <f t="shared" si="0"/>
        <v>0.22</v>
      </c>
    </row>
    <row r="8" spans="1:2" x14ac:dyDescent="0.35">
      <c r="A8" s="208">
        <v>2029</v>
      </c>
      <c r="B8" s="212">
        <f t="shared" si="0"/>
        <v>0.22</v>
      </c>
    </row>
    <row r="9" spans="1:2" x14ac:dyDescent="0.35">
      <c r="A9" s="208">
        <v>2030</v>
      </c>
      <c r="B9" s="212">
        <f t="shared" si="0"/>
        <v>0.22</v>
      </c>
    </row>
    <row r="10" spans="1:2" x14ac:dyDescent="0.35">
      <c r="A10" s="208">
        <v>2031</v>
      </c>
      <c r="B10" s="212">
        <f t="shared" si="0"/>
        <v>0.22</v>
      </c>
    </row>
    <row r="11" spans="1:2" x14ac:dyDescent="0.35">
      <c r="A11" s="208">
        <v>2032</v>
      </c>
      <c r="B11" s="212">
        <f t="shared" si="0"/>
        <v>0.22</v>
      </c>
    </row>
    <row r="12" spans="1:2" x14ac:dyDescent="0.35">
      <c r="A12" s="208">
        <v>2033</v>
      </c>
      <c r="B12" s="212">
        <f t="shared" si="0"/>
        <v>0.22</v>
      </c>
    </row>
    <row r="13" spans="1:2" x14ac:dyDescent="0.35">
      <c r="A13" s="208">
        <v>2034</v>
      </c>
      <c r="B13" s="212">
        <f t="shared" si="0"/>
        <v>0.22</v>
      </c>
    </row>
    <row r="14" spans="1:2" x14ac:dyDescent="0.35">
      <c r="A14" s="208">
        <v>2035</v>
      </c>
      <c r="B14" s="212">
        <f t="shared" si="0"/>
        <v>0.22</v>
      </c>
    </row>
    <row r="15" spans="1:2" x14ac:dyDescent="0.35">
      <c r="A15" s="208">
        <v>2036</v>
      </c>
      <c r="B15" s="212">
        <f t="shared" si="0"/>
        <v>0.22</v>
      </c>
    </row>
    <row r="16" spans="1:2" x14ac:dyDescent="0.35">
      <c r="A16" s="208">
        <v>2037</v>
      </c>
      <c r="B16" s="212">
        <f t="shared" si="0"/>
        <v>0.22</v>
      </c>
    </row>
    <row r="17" spans="1:2" x14ac:dyDescent="0.35">
      <c r="A17" s="208">
        <v>2038</v>
      </c>
      <c r="B17" s="212">
        <f t="shared" si="0"/>
        <v>0.22</v>
      </c>
    </row>
    <row r="18" spans="1:2" x14ac:dyDescent="0.35">
      <c r="A18" s="208">
        <v>2039</v>
      </c>
      <c r="B18" s="212">
        <f t="shared" si="0"/>
        <v>0.22</v>
      </c>
    </row>
    <row r="19" spans="1:2" ht="15" thickBot="1" x14ac:dyDescent="0.4">
      <c r="A19" s="209">
        <v>2040</v>
      </c>
      <c r="B19" s="213">
        <f t="shared" si="0"/>
        <v>0.22</v>
      </c>
    </row>
  </sheetData>
  <sheetProtection sheet="1" objects="1" scenarios="1" selectLockedCells="1"/>
  <pageMargins left="0.7" right="0.7" top="0.75" bottom="0.75" header="0.3" footer="0.3"/>
  <ignoredErrors>
    <ignoredError sqref="B4:B19" unlocked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7162D-1BE7-4827-AA72-9012D73F19FB}">
  <sheetPr codeName="Sheet7"/>
  <dimension ref="B1:D22"/>
  <sheetViews>
    <sheetView showGridLines="0" workbookViewId="0">
      <selection activeCell="D16" sqref="D16:D20"/>
    </sheetView>
  </sheetViews>
  <sheetFormatPr defaultRowHeight="14.5" x14ac:dyDescent="0.35"/>
  <cols>
    <col min="2" max="2" width="55.453125" bestFit="1" customWidth="1"/>
    <col min="3" max="3" width="29.453125" customWidth="1"/>
    <col min="4" max="4" width="58" bestFit="1" customWidth="1"/>
  </cols>
  <sheetData>
    <row r="1" spans="2:4" ht="15" thickBot="1" x14ac:dyDescent="0.4"/>
    <row r="2" spans="2:4" ht="15" thickBot="1" x14ac:dyDescent="0.4">
      <c r="B2" s="103" t="s">
        <v>120</v>
      </c>
      <c r="C2" s="104" t="s">
        <v>0</v>
      </c>
      <c r="D2" s="105" t="s">
        <v>121</v>
      </c>
    </row>
    <row r="3" spans="2:4" x14ac:dyDescent="0.35">
      <c r="B3" s="109" t="s">
        <v>244</v>
      </c>
      <c r="C3" s="106" t="s">
        <v>10</v>
      </c>
      <c r="D3" s="107" t="s">
        <v>247</v>
      </c>
    </row>
    <row r="4" spans="2:4" x14ac:dyDescent="0.35">
      <c r="B4" s="21" t="s">
        <v>243</v>
      </c>
      <c r="C4" s="106" t="s">
        <v>214</v>
      </c>
      <c r="D4" s="24" t="s">
        <v>246</v>
      </c>
    </row>
    <row r="5" spans="2:4" x14ac:dyDescent="0.35">
      <c r="B5" s="21"/>
      <c r="C5" s="108"/>
      <c r="D5" s="24"/>
    </row>
    <row r="6" spans="2:4" x14ac:dyDescent="0.35">
      <c r="B6" s="21" t="s">
        <v>127</v>
      </c>
      <c r="C6" s="108" t="s">
        <v>126</v>
      </c>
      <c r="D6" s="24" t="s">
        <v>245</v>
      </c>
    </row>
    <row r="7" spans="2:4" x14ac:dyDescent="0.35">
      <c r="B7" s="21" t="s">
        <v>124</v>
      </c>
      <c r="C7" s="108" t="s">
        <v>115</v>
      </c>
      <c r="D7" s="24" t="s">
        <v>248</v>
      </c>
    </row>
    <row r="8" spans="2:4" x14ac:dyDescent="0.35">
      <c r="B8" s="21" t="s">
        <v>125</v>
      </c>
      <c r="C8" s="108" t="s">
        <v>54</v>
      </c>
      <c r="D8" s="24" t="s">
        <v>249</v>
      </c>
    </row>
    <row r="9" spans="2:4" x14ac:dyDescent="0.35">
      <c r="B9" s="21" t="s">
        <v>129</v>
      </c>
      <c r="C9" s="108" t="s">
        <v>128</v>
      </c>
      <c r="D9" s="24" t="s">
        <v>250</v>
      </c>
    </row>
    <row r="10" spans="2:4" x14ac:dyDescent="0.35">
      <c r="B10" s="21" t="s">
        <v>159</v>
      </c>
      <c r="C10" s="108" t="s">
        <v>160</v>
      </c>
      <c r="D10" s="24" t="s">
        <v>251</v>
      </c>
    </row>
    <row r="11" spans="2:4" x14ac:dyDescent="0.35">
      <c r="B11" s="21"/>
      <c r="C11" s="108"/>
      <c r="D11" s="24"/>
    </row>
    <row r="12" spans="2:4" x14ac:dyDescent="0.35">
      <c r="B12" s="21" t="s">
        <v>123</v>
      </c>
      <c r="C12" s="108" t="s">
        <v>122</v>
      </c>
      <c r="D12" s="24" t="s">
        <v>252</v>
      </c>
    </row>
    <row r="13" spans="2:4" x14ac:dyDescent="0.35">
      <c r="B13" s="110"/>
      <c r="C13" s="111"/>
      <c r="D13" s="112"/>
    </row>
    <row r="14" spans="2:4" x14ac:dyDescent="0.35">
      <c r="B14" s="110" t="s">
        <v>255</v>
      </c>
      <c r="C14" s="111" t="s">
        <v>253</v>
      </c>
      <c r="D14" s="112" t="s">
        <v>254</v>
      </c>
    </row>
    <row r="15" spans="2:4" x14ac:dyDescent="0.35">
      <c r="B15" s="110"/>
      <c r="C15" s="111"/>
      <c r="D15" s="112"/>
    </row>
    <row r="16" spans="2:4" x14ac:dyDescent="0.35">
      <c r="B16" s="110" t="s">
        <v>131</v>
      </c>
      <c r="C16" s="111" t="s">
        <v>107</v>
      </c>
      <c r="D16" s="112" t="s">
        <v>256</v>
      </c>
    </row>
    <row r="17" spans="2:4" x14ac:dyDescent="0.35">
      <c r="B17" s="110" t="s">
        <v>130</v>
      </c>
      <c r="C17" s="111" t="s">
        <v>104</v>
      </c>
      <c r="D17" s="112" t="s">
        <v>137</v>
      </c>
    </row>
    <row r="18" spans="2:4" x14ac:dyDescent="0.35">
      <c r="B18" s="110" t="s">
        <v>134</v>
      </c>
      <c r="C18" s="111" t="s">
        <v>109</v>
      </c>
      <c r="D18" s="112" t="s">
        <v>137</v>
      </c>
    </row>
    <row r="19" spans="2:4" x14ac:dyDescent="0.35">
      <c r="B19" s="110" t="s">
        <v>132</v>
      </c>
      <c r="C19" s="111" t="s">
        <v>105</v>
      </c>
      <c r="D19" s="112" t="s">
        <v>137</v>
      </c>
    </row>
    <row r="20" spans="2:4" x14ac:dyDescent="0.35">
      <c r="B20" s="110" t="s">
        <v>136</v>
      </c>
      <c r="C20" s="111" t="s">
        <v>106</v>
      </c>
      <c r="D20" s="112" t="s">
        <v>137</v>
      </c>
    </row>
    <row r="21" spans="2:4" x14ac:dyDescent="0.35">
      <c r="B21" s="110" t="s">
        <v>133</v>
      </c>
      <c r="C21" s="111" t="s">
        <v>108</v>
      </c>
      <c r="D21" s="112" t="s">
        <v>137</v>
      </c>
    </row>
    <row r="22" spans="2:4" ht="15" thickBot="1" x14ac:dyDescent="0.4">
      <c r="B22" s="20" t="s">
        <v>135</v>
      </c>
      <c r="C22" s="219" t="s">
        <v>110</v>
      </c>
      <c r="D22" s="25" t="s">
        <v>137</v>
      </c>
    </row>
  </sheetData>
  <hyperlinks>
    <hyperlink ref="C3" r:id="rId1" xr:uid="{4AF75B00-93C0-4CA4-8ACE-97390F56EBCE}"/>
    <hyperlink ref="C12" r:id="rId2" xr:uid="{08F43B8F-6113-4829-9B8F-EE22201AD472}"/>
    <hyperlink ref="C7" r:id="rId3" xr:uid="{06516EF3-8AC7-44D7-B8D1-451BD5329678}"/>
    <hyperlink ref="C8" r:id="rId4" xr:uid="{3D3C0B9F-185D-4AF0-9974-DEA8F55F763C}"/>
    <hyperlink ref="C6" r:id="rId5" xr:uid="{724B0F3F-31A9-47F0-992A-4D755C451AA4}"/>
    <hyperlink ref="C9" r:id="rId6" xr:uid="{4033181A-3D6D-4197-A1BA-C2E6E4D99E42}"/>
    <hyperlink ref="C20" r:id="rId7" xr:uid="{C2A5564A-8E61-43D1-A794-B84D8F13AE26}"/>
    <hyperlink ref="C14" r:id="rId8" xr:uid="{0C0B53D8-2F1B-42E2-9C0C-EA63C3CAE039}"/>
    <hyperlink ref="C17" r:id="rId9" xr:uid="{D4FD330E-2991-449C-A2B4-AFC77F6DD7D5}"/>
    <hyperlink ref="C16" r:id="rId10" xr:uid="{664F923B-E2A0-4094-9775-C372F3BB9BE5}"/>
    <hyperlink ref="C19" r:id="rId11" xr:uid="{94519E6E-97D4-4960-B455-61F12EADAFE7}"/>
    <hyperlink ref="C21" r:id="rId12" xr:uid="{5DA8A988-D293-4CF5-AFAC-1CD4904FC3E9}"/>
    <hyperlink ref="C18" r:id="rId13" xr:uid="{256F66D3-2432-4EDB-A982-62A923E76594}"/>
    <hyperlink ref="C22" r:id="rId14" xr:uid="{19606D80-05F4-4DAF-B4EB-88B4FF3A1724}"/>
    <hyperlink ref="C10" r:id="rId15" xr:uid="{E127A8A0-95D0-4338-9242-E940917F91D7}"/>
    <hyperlink ref="C4" r:id="rId16" xr:uid="{C40583B3-491A-415D-A264-23D35EE77C88}"/>
  </hyperlinks>
  <pageMargins left="0.7" right="0.7" top="0.75" bottom="0.75" header="0.3" footer="0.3"/>
  <pageSetup paperSize="9" orientation="portrait" r:id="rId17"/>
</worksheet>
</file>

<file path=docMetadata/LabelInfo.xml><?xml version="1.0" encoding="utf-8"?>
<clbl:labelList xmlns:clbl="http://schemas.microsoft.com/office/2020/mipLabelMetadata">
  <clbl:label id="{3976fa30-1907-4356-8241-62ea5e1c0256}" enabled="1" method="Standard" siteId="{9a5cacd0-2bef-4dd7-ac5c-7ebe1f54f495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10</vt:i4>
      </vt:variant>
    </vt:vector>
  </HeadingPairs>
  <TitlesOfParts>
    <vt:vector size="18" baseType="lpstr">
      <vt:lpstr>Usage and energy</vt:lpstr>
      <vt:lpstr>Comparison</vt:lpstr>
      <vt:lpstr>Import</vt:lpstr>
      <vt:lpstr>Maintenance</vt:lpstr>
      <vt:lpstr>MRB</vt:lpstr>
      <vt:lpstr>APK</vt:lpstr>
      <vt:lpstr>Travel allowance</vt:lpstr>
      <vt:lpstr>Links</vt:lpstr>
      <vt:lpstr>At_work_price</vt:lpstr>
      <vt:lpstr>Commuting_km</vt:lpstr>
      <vt:lpstr>Extra_urban_km</vt:lpstr>
      <vt:lpstr>Off_peak_charge</vt:lpstr>
      <vt:lpstr>Off_peak_price</vt:lpstr>
      <vt:lpstr>Parking_permit</vt:lpstr>
      <vt:lpstr>Peak_charge</vt:lpstr>
      <vt:lpstr>Peak_price</vt:lpstr>
      <vt:lpstr>Petrol_price</vt:lpstr>
      <vt:lpstr>Urban_km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Marin</dc:creator>
  <cp:lastModifiedBy>Pablo Marin</cp:lastModifiedBy>
  <dcterms:created xsi:type="dcterms:W3CDTF">2022-04-09T19:01:31Z</dcterms:created>
  <dcterms:modified xsi:type="dcterms:W3CDTF">2023-07-07T07:24:33Z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976fa30-1907-4356-8241-62ea5e1c0256_Enabled">
    <vt:lpwstr>true</vt:lpwstr>
  </property>
  <property fmtid="{D5CDD505-2E9C-101B-9397-08002B2CF9AE}" pid="3" name="MSIP_Label_3976fa30-1907-4356-8241-62ea5e1c0256_SetDate">
    <vt:lpwstr>2022-10-31T14:50:57Z</vt:lpwstr>
  </property>
  <property fmtid="{D5CDD505-2E9C-101B-9397-08002B2CF9AE}" pid="4" name="MSIP_Label_3976fa30-1907-4356-8241-62ea5e1c0256_Method">
    <vt:lpwstr>Standard</vt:lpwstr>
  </property>
  <property fmtid="{D5CDD505-2E9C-101B-9397-08002B2CF9AE}" pid="5" name="MSIP_Label_3976fa30-1907-4356-8241-62ea5e1c0256_Name">
    <vt:lpwstr>ESA UNCLASSIFIED – For ESA Official Use Only</vt:lpwstr>
  </property>
  <property fmtid="{D5CDD505-2E9C-101B-9397-08002B2CF9AE}" pid="6" name="MSIP_Label_3976fa30-1907-4356-8241-62ea5e1c0256_SiteId">
    <vt:lpwstr>9a5cacd0-2bef-4dd7-ac5c-7ebe1f54f495</vt:lpwstr>
  </property>
  <property fmtid="{D5CDD505-2E9C-101B-9397-08002B2CF9AE}" pid="7" name="MSIP_Label_3976fa30-1907-4356-8241-62ea5e1c0256_ActionId">
    <vt:lpwstr>984ea1bd-6a45-4eef-b02e-52ab49c691b9</vt:lpwstr>
  </property>
  <property fmtid="{D5CDD505-2E9C-101B-9397-08002B2CF9AE}" pid="8" name="MSIP_Label_3976fa30-1907-4356-8241-62ea5e1c0256_ContentBits">
    <vt:lpwstr>0</vt:lpwstr>
  </property>
</Properties>
</file>