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C:\Users\Pablo.Marin\Downloads\"/>
    </mc:Choice>
  </mc:AlternateContent>
  <xr:revisionPtr revIDLastSave="0" documentId="13_ncr:1_{F898BEC5-D17F-4BE7-BBF6-4D642A69A96C}" xr6:coauthVersionLast="47" xr6:coauthVersionMax="47" xr10:uidLastSave="{00000000-0000-0000-0000-000000000000}"/>
  <bookViews>
    <workbookView xWindow="1290" yWindow="-110" windowWidth="37220" windowHeight="21820" activeTab="3" xr2:uid="{8FDD10F0-C759-4E27-8885-9746AB5DA979}"/>
  </bookViews>
  <sheets>
    <sheet name="Instructions" sheetId="1" r:id="rId1"/>
    <sheet name="Usage and energy" sheetId="4" r:id="rId2"/>
    <sheet name="Comparison" sheetId="2" r:id="rId3"/>
    <sheet name="Import" sheetId="13" r:id="rId4"/>
    <sheet name="Maintenance" sheetId="9" r:id="rId5"/>
    <sheet name="MRB" sheetId="8" r:id="rId6"/>
    <sheet name="APK" sheetId="10" r:id="rId7"/>
    <sheet name="Travel allowance" sheetId="14" r:id="rId8"/>
    <sheet name="Cost per year" sheetId="11" r:id="rId9"/>
    <sheet name="Links" sheetId="3" r:id="rId10"/>
  </sheets>
  <definedNames>
    <definedName name="At_work_price">'Usage and energy'!$C$12</definedName>
    <definedName name="Commuting_km">'Usage and energy'!$C$3</definedName>
    <definedName name="Diesel_price">'Usage and energy'!#REF!</definedName>
    <definedName name="Extra_urban_km">'Usage and energy'!$C$5</definedName>
    <definedName name="Off_peak_charge">'Usage and energy'!$G$10</definedName>
    <definedName name="Off_peak_price">'Usage and energy'!$C$10</definedName>
    <definedName name="Parking_permit">'Usage and energy'!$C$15</definedName>
    <definedName name="Peak_charge">'Usage and energy'!$G$11</definedName>
    <definedName name="Peak_price">'Usage and energy'!$C$11</definedName>
    <definedName name="Petrol_price">'Usage and energy'!$C$9</definedName>
    <definedName name="Urban_km">'Usage and energy'!$C$4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4" i="13" l="1"/>
  <c r="B4" i="14"/>
  <c r="B5" i="14" s="1"/>
  <c r="B6" i="14" s="1"/>
  <c r="B7" i="14" s="1"/>
  <c r="B8" i="14" s="1"/>
  <c r="B9" i="14" s="1"/>
  <c r="B10" i="14" s="1"/>
  <c r="B11" i="14" s="1"/>
  <c r="B12" i="14" s="1"/>
  <c r="B13" i="14" s="1"/>
  <c r="B14" i="14" s="1"/>
  <c r="B15" i="14" s="1"/>
  <c r="B16" i="14" s="1"/>
  <c r="B17" i="14" s="1"/>
  <c r="B18" i="14" s="1"/>
  <c r="B19" i="14" s="1"/>
  <c r="E48" i="2"/>
  <c r="F48" i="2"/>
  <c r="G48" i="2"/>
  <c r="H48" i="2"/>
  <c r="I48" i="2"/>
  <c r="J48" i="2"/>
  <c r="K48" i="2"/>
  <c r="L48" i="2"/>
  <c r="M48" i="2"/>
  <c r="N48" i="2"/>
  <c r="O48" i="2"/>
  <c r="P48" i="2"/>
  <c r="Q48" i="2"/>
  <c r="R48" i="2"/>
  <c r="S48" i="2"/>
  <c r="T48" i="2"/>
  <c r="U48" i="2"/>
  <c r="D48" i="2"/>
  <c r="D3" i="9"/>
  <c r="D4" i="9"/>
  <c r="D5" i="9"/>
  <c r="D6" i="9"/>
  <c r="D7" i="9"/>
  <c r="D8" i="9"/>
  <c r="D9" i="9"/>
  <c r="D10" i="9"/>
  <c r="D11" i="9"/>
  <c r="D12" i="9"/>
  <c r="D13" i="9"/>
  <c r="D14" i="9"/>
  <c r="D15" i="9"/>
  <c r="D16" i="9"/>
  <c r="D17" i="9"/>
  <c r="C4" i="9"/>
  <c r="C5" i="9"/>
  <c r="C6" i="9"/>
  <c r="C7" i="9"/>
  <c r="C8" i="9"/>
  <c r="C9" i="9"/>
  <c r="C10" i="9"/>
  <c r="C11" i="9"/>
  <c r="C12" i="9"/>
  <c r="C13" i="9"/>
  <c r="C14" i="9"/>
  <c r="C15" i="9"/>
  <c r="C16" i="9"/>
  <c r="C17" i="9"/>
  <c r="C3" i="9"/>
  <c r="U38" i="2"/>
  <c r="T38" i="2"/>
  <c r="S38" i="2"/>
  <c r="R38" i="2"/>
  <c r="Q38" i="2"/>
  <c r="P38" i="2"/>
  <c r="O38" i="2"/>
  <c r="N38" i="2"/>
  <c r="M38" i="2"/>
  <c r="L38" i="2"/>
  <c r="K38" i="2"/>
  <c r="J38" i="2"/>
  <c r="I38" i="2"/>
  <c r="H38" i="2"/>
  <c r="G38" i="2"/>
  <c r="F38" i="2"/>
  <c r="E38" i="2"/>
  <c r="D38" i="2"/>
  <c r="C21" i="11" a="1"/>
  <c r="C21" i="11" l="1"/>
  <c r="A49" i="13"/>
  <c r="A48" i="13"/>
  <c r="A47" i="13"/>
  <c r="A46" i="13"/>
  <c r="A45" i="13"/>
  <c r="A44" i="13"/>
  <c r="A43" i="13"/>
  <c r="A42" i="13"/>
  <c r="A41" i="13"/>
  <c r="A40" i="13"/>
  <c r="A39" i="13"/>
  <c r="A38" i="13"/>
  <c r="A37" i="13"/>
  <c r="C4" i="11" a="1"/>
  <c r="C3" i="11" a="1"/>
  <c r="C4" i="11" l="1"/>
  <c r="C3" i="11"/>
  <c r="B14" i="13"/>
  <c r="P51" i="2"/>
  <c r="P46" i="2"/>
  <c r="P41" i="2"/>
  <c r="P49" i="2" s="1" a="1"/>
  <c r="P49" i="2" s="1"/>
  <c r="P39" i="2"/>
  <c r="O51" i="2"/>
  <c r="O46" i="2"/>
  <c r="O41" i="2"/>
  <c r="O50" i="2" s="1"/>
  <c r="O39" i="2"/>
  <c r="O40" i="2" s="1"/>
  <c r="O43" i="2" s="1"/>
  <c r="G51" i="2"/>
  <c r="F51" i="2"/>
  <c r="G46" i="2"/>
  <c r="F46" i="2"/>
  <c r="G41" i="2"/>
  <c r="F41" i="2"/>
  <c r="G39" i="2"/>
  <c r="F39" i="2"/>
  <c r="E46" i="2"/>
  <c r="D46" i="2"/>
  <c r="U45" i="2"/>
  <c r="C5" i="4"/>
  <c r="C3" i="4"/>
  <c r="K46" i="2"/>
  <c r="L46" i="2"/>
  <c r="M46" i="2"/>
  <c r="M51" i="2"/>
  <c r="M49" i="2" a="1"/>
  <c r="M49" i="2" s="1"/>
  <c r="M41" i="2"/>
  <c r="M47" i="2" s="1"/>
  <c r="M39" i="2"/>
  <c r="M13" i="2"/>
  <c r="J46" i="2"/>
  <c r="I46" i="2"/>
  <c r="P40" i="2" l="1"/>
  <c r="P43" i="2" s="1"/>
  <c r="P44" i="2" s="1"/>
  <c r="P50" i="2"/>
  <c r="F40" i="2"/>
  <c r="F43" i="2" s="1"/>
  <c r="F44" i="2" s="1"/>
  <c r="O49" i="2" a="1"/>
  <c r="O49" i="2" s="1"/>
  <c r="O44" i="2"/>
  <c r="G40" i="2"/>
  <c r="G43" i="2" s="1"/>
  <c r="G44" i="2" s="1"/>
  <c r="F49" i="2" a="1"/>
  <c r="F49" i="2" s="1"/>
  <c r="M40" i="2"/>
  <c r="M43" i="2" s="1"/>
  <c r="M44" i="2" s="1"/>
  <c r="G49" i="2" a="1"/>
  <c r="G49" i="2" s="1"/>
  <c r="F50" i="2"/>
  <c r="G50" i="2"/>
  <c r="M50" i="2"/>
  <c r="E51" i="2"/>
  <c r="E41" i="2"/>
  <c r="E39" i="2"/>
  <c r="H41" i="2"/>
  <c r="K51" i="2"/>
  <c r="L51" i="2"/>
  <c r="S51" i="2"/>
  <c r="T51" i="2"/>
  <c r="D51" i="2"/>
  <c r="H51" i="2"/>
  <c r="Q51" i="2"/>
  <c r="I51" i="2"/>
  <c r="U51" i="2"/>
  <c r="N51" i="2"/>
  <c r="J37" i="2"/>
  <c r="J50" i="2"/>
  <c r="J49" i="2" a="1"/>
  <c r="J49" i="2" s="1"/>
  <c r="J13" i="2"/>
  <c r="J51" i="2" l="1"/>
  <c r="E40" i="2"/>
  <c r="E43" i="2" s="1"/>
  <c r="E44" i="2" s="1"/>
  <c r="E49" i="2" a="1"/>
  <c r="E49" i="2" s="1"/>
  <c r="E50" i="2"/>
  <c r="J39" i="2"/>
  <c r="J41" i="2"/>
  <c r="J47" i="2" s="1"/>
  <c r="J40" i="2" l="1"/>
  <c r="J43" i="2" s="1"/>
  <c r="J44" i="2" s="1"/>
  <c r="U50" i="2" l="1"/>
  <c r="K49" i="2" a="1"/>
  <c r="K49" i="2" s="1"/>
  <c r="L49" i="2" a="1"/>
  <c r="L49" i="2" s="1"/>
  <c r="H49" i="2" a="1"/>
  <c r="H49" i="2" s="1"/>
  <c r="I49" i="2" a="1"/>
  <c r="I49" i="2" s="1"/>
  <c r="U49" i="2" a="1"/>
  <c r="U49" i="2" s="1"/>
  <c r="N49" i="2" a="1"/>
  <c r="N49" i="2" s="1"/>
  <c r="K41" i="2"/>
  <c r="K47" i="2" s="1"/>
  <c r="L41" i="2"/>
  <c r="L47" i="2" s="1"/>
  <c r="S41" i="2"/>
  <c r="T41" i="2"/>
  <c r="D41" i="2"/>
  <c r="H50" i="2"/>
  <c r="Q41" i="2"/>
  <c r="I41" i="2"/>
  <c r="I47" i="2" s="1"/>
  <c r="U41" i="2"/>
  <c r="U47" i="2" s="1"/>
  <c r="N41" i="2"/>
  <c r="N47" i="2" s="1"/>
  <c r="K39" i="2"/>
  <c r="L39" i="2"/>
  <c r="S39" i="2"/>
  <c r="T39" i="2"/>
  <c r="D39" i="2"/>
  <c r="H39" i="2"/>
  <c r="Q39" i="2"/>
  <c r="I39" i="2"/>
  <c r="U39" i="2"/>
  <c r="N39" i="2"/>
  <c r="K40" i="2"/>
  <c r="I40" i="2"/>
  <c r="U40" i="2"/>
  <c r="C3" i="8"/>
  <c r="D3" i="8" s="1"/>
  <c r="C4" i="8"/>
  <c r="V4" i="8" s="1"/>
  <c r="C5" i="8"/>
  <c r="F5" i="8" s="1"/>
  <c r="C6" i="8"/>
  <c r="AB3" i="8"/>
  <c r="AD3" i="8"/>
  <c r="AE3" i="8"/>
  <c r="O3" i="8"/>
  <c r="P3" i="8"/>
  <c r="Q3" i="8"/>
  <c r="Z4" i="8"/>
  <c r="AA4" i="8"/>
  <c r="AB4" i="8"/>
  <c r="F4" i="8"/>
  <c r="G4" i="8"/>
  <c r="H4" i="8"/>
  <c r="Q4" i="8"/>
  <c r="R5" i="8"/>
  <c r="T5" i="8"/>
  <c r="H46" i="2"/>
  <c r="H13" i="2"/>
  <c r="Q47" i="2" l="1"/>
  <c r="O47" i="2"/>
  <c r="D47" i="2"/>
  <c r="G47" i="2"/>
  <c r="F47" i="2"/>
  <c r="E47" i="2"/>
  <c r="T47" i="2"/>
  <c r="P47" i="2"/>
  <c r="S47" i="2"/>
  <c r="I50" i="2"/>
  <c r="S40" i="2"/>
  <c r="D40" i="2"/>
  <c r="L40" i="2"/>
  <c r="D50" i="2"/>
  <c r="K50" i="2"/>
  <c r="Q50" i="2"/>
  <c r="T50" i="2"/>
  <c r="S50" i="2"/>
  <c r="L50" i="2"/>
  <c r="N50" i="2"/>
  <c r="Q49" i="2" a="1"/>
  <c r="Q49" i="2" s="1"/>
  <c r="T49" i="2" a="1"/>
  <c r="T49" i="2" s="1"/>
  <c r="S49" i="2" a="1"/>
  <c r="S49" i="2" s="1"/>
  <c r="D49" i="2" a="1"/>
  <c r="D49" i="2" s="1"/>
  <c r="Q40" i="2"/>
  <c r="H47" i="2"/>
  <c r="H40" i="2"/>
  <c r="H43" i="2" s="1"/>
  <c r="H44" i="2" s="1"/>
  <c r="T40" i="2"/>
  <c r="N40" i="2"/>
  <c r="N5" i="8"/>
  <c r="I5" i="8"/>
  <c r="P4" i="8"/>
  <c r="E4" i="8"/>
  <c r="X4" i="8"/>
  <c r="N3" i="8"/>
  <c r="Z3" i="8"/>
  <c r="Y3" i="8"/>
  <c r="AD5" i="8"/>
  <c r="D4" i="8"/>
  <c r="L3" i="8"/>
  <c r="M4" i="8"/>
  <c r="AE4" i="8"/>
  <c r="T4" i="8"/>
  <c r="J3" i="8"/>
  <c r="V3" i="8"/>
  <c r="X5" i="8"/>
  <c r="J4" i="8"/>
  <c r="AD4" i="8"/>
  <c r="S4" i="8"/>
  <c r="I3" i="8"/>
  <c r="R3" i="8"/>
  <c r="O4" i="8"/>
  <c r="U4" i="8"/>
  <c r="AB5" i="8"/>
  <c r="U5" i="8"/>
  <c r="I4" i="8"/>
  <c r="AC4" i="8"/>
  <c r="R4" i="8"/>
  <c r="F3" i="8"/>
  <c r="S3" i="8"/>
  <c r="K3" i="8"/>
  <c r="AA3" i="8"/>
  <c r="V5" i="8"/>
  <c r="X3" i="8"/>
  <c r="W3" i="8"/>
  <c r="M3" i="8"/>
  <c r="AC3" i="8"/>
  <c r="T3" i="8"/>
  <c r="P5" i="8"/>
  <c r="N4" i="8"/>
  <c r="Y4" i="8"/>
  <c r="H3" i="8"/>
  <c r="W4" i="8"/>
  <c r="L5" i="8"/>
  <c r="L4" i="8"/>
  <c r="E3" i="8"/>
  <c r="G5" i="8"/>
  <c r="H5" i="8"/>
  <c r="S5" i="8"/>
  <c r="E5" i="8"/>
  <c r="D5" i="8"/>
  <c r="AE5" i="8"/>
  <c r="Q5" i="8"/>
  <c r="AC5" i="8"/>
  <c r="U3" i="8"/>
  <c r="O5" i="8"/>
  <c r="AA5" i="8"/>
  <c r="K4" i="8"/>
  <c r="G3" i="8"/>
  <c r="Z5" i="8"/>
  <c r="M5" i="8"/>
  <c r="Y5" i="8"/>
  <c r="K5" i="8"/>
  <c r="W5" i="8"/>
  <c r="J5" i="8"/>
  <c r="L12" i="8"/>
  <c r="C7" i="8"/>
  <c r="C8" i="8"/>
  <c r="C9" i="8"/>
  <c r="C10" i="8"/>
  <c r="W10" i="8" s="1"/>
  <c r="C11" i="8"/>
  <c r="T11" i="8" s="1"/>
  <c r="C12" i="8"/>
  <c r="Y12" i="8" s="1"/>
  <c r="C13" i="8"/>
  <c r="V13" i="8" s="1"/>
  <c r="C14" i="8"/>
  <c r="C15" i="8"/>
  <c r="X15" i="8" s="1"/>
  <c r="C16" i="8"/>
  <c r="C17" i="8"/>
  <c r="Z17" i="8" s="1"/>
  <c r="Q46" i="2"/>
  <c r="T46" i="2"/>
  <c r="R46" i="2"/>
  <c r="N46" i="2"/>
  <c r="S46" i="2"/>
  <c r="H16" i="11" a="1"/>
  <c r="H8" i="11" a="1"/>
  <c r="F9" i="11" a="1"/>
  <c r="C11" i="11" a="1"/>
  <c r="G10" i="11" a="1"/>
  <c r="C15" i="11" a="1"/>
  <c r="G20" i="11" a="1"/>
  <c r="I12" i="11" a="1"/>
  <c r="C13" i="11" a="1"/>
  <c r="J18" i="11" a="1"/>
  <c r="F18" i="11" a="1"/>
  <c r="I9" i="11" a="1"/>
  <c r="G15" i="11" a="1"/>
  <c r="H19" i="11" a="1"/>
  <c r="E13" i="11" a="1"/>
  <c r="E20" i="11" a="1"/>
  <c r="J11" i="11" a="1"/>
  <c r="I18" i="11" a="1"/>
  <c r="G17" i="11" a="1"/>
  <c r="H18" i="11" a="1"/>
  <c r="H15" i="11" a="1"/>
  <c r="E9" i="11" a="1"/>
  <c r="F8" i="11" a="1"/>
  <c r="F10" i="11" a="1"/>
  <c r="C18" i="11" a="1"/>
  <c r="C17" i="11" a="1"/>
  <c r="E16" i="11" a="1"/>
  <c r="J15" i="11" a="1"/>
  <c r="D8" i="11" a="1"/>
  <c r="I20" i="11" a="1"/>
  <c r="C12" i="11" a="1"/>
  <c r="C10" i="11" a="1"/>
  <c r="E18" i="11" a="1"/>
  <c r="I14" i="11" a="1"/>
  <c r="D9" i="11" a="1"/>
  <c r="J17" i="11" a="1"/>
  <c r="C20" i="11" a="1"/>
  <c r="E12" i="11" a="1"/>
  <c r="C14" i="11" a="1"/>
  <c r="H14" i="11" a="1"/>
  <c r="H11" i="11" a="1"/>
  <c r="I11" i="11" a="1"/>
  <c r="G16" i="11" a="1"/>
  <c r="E7" i="11" a="1"/>
  <c r="I10" i="11" a="1"/>
  <c r="J7" i="11" a="1"/>
  <c r="F20" i="11" a="1"/>
  <c r="G19" i="11" a="1"/>
  <c r="E11" i="11" a="1"/>
  <c r="E14" i="11" a="1"/>
  <c r="F15" i="11" a="1"/>
  <c r="I16" i="11" a="1"/>
  <c r="C19" i="11" a="1"/>
  <c r="I15" i="11" a="1"/>
  <c r="J12" i="11" a="1"/>
  <c r="J10" i="11" a="1"/>
  <c r="I7" i="11" a="1"/>
  <c r="C16" i="11" a="1"/>
  <c r="H10" i="11" a="1"/>
  <c r="H7" i="11" a="1"/>
  <c r="F14" i="11" a="1"/>
  <c r="G8" i="11" a="1"/>
  <c r="G7" i="11" a="1"/>
  <c r="E10" i="11" a="1"/>
  <c r="G13" i="11" a="1"/>
  <c r="G14" i="11" a="1"/>
  <c r="F11" i="11" a="1"/>
  <c r="J19" i="11" a="1"/>
  <c r="G11" i="11" a="1"/>
  <c r="J16" i="11" a="1"/>
  <c r="D10" i="11" a="1"/>
  <c r="I17" i="11" a="1"/>
  <c r="F17" i="11" a="1"/>
  <c r="I13" i="11" a="1"/>
  <c r="E15" i="11" a="1"/>
  <c r="G9" i="11" a="1"/>
  <c r="H13" i="11" a="1"/>
  <c r="E19" i="11" a="1"/>
  <c r="F12" i="11" a="1"/>
  <c r="F19" i="11" a="1"/>
  <c r="H17" i="11" a="1"/>
  <c r="H20" i="11" a="1"/>
  <c r="E8" i="11" a="1"/>
  <c r="J14" i="11" a="1"/>
  <c r="E17" i="11" a="1"/>
  <c r="G12" i="11" a="1"/>
  <c r="F7" i="11" a="1"/>
  <c r="I19" i="11" a="1"/>
  <c r="J8" i="11" a="1"/>
  <c r="C8" i="11" a="1"/>
  <c r="F13" i="11" a="1"/>
  <c r="C9" i="11" a="1"/>
  <c r="H9" i="11" a="1"/>
  <c r="J13" i="11" a="1"/>
  <c r="I8" i="11" a="1"/>
  <c r="J20" i="11" a="1"/>
  <c r="J9" i="11" a="1"/>
  <c r="H12" i="11" a="1"/>
  <c r="F16" i="11" a="1"/>
  <c r="G18" i="11" a="1"/>
  <c r="C7" i="11" a="1"/>
  <c r="D7" i="11" a="1"/>
  <c r="H7" i="11" l="1"/>
  <c r="H11" i="11"/>
  <c r="H15" i="11"/>
  <c r="H8" i="11"/>
  <c r="H13" i="11"/>
  <c r="H12" i="11"/>
  <c r="H9" i="11"/>
  <c r="H17" i="11"/>
  <c r="H10" i="11"/>
  <c r="H14" i="11"/>
  <c r="H18" i="11"/>
  <c r="H16" i="11"/>
  <c r="H20" i="11"/>
  <c r="H19" i="11"/>
  <c r="K21" i="11"/>
  <c r="I19" i="11"/>
  <c r="I15" i="11"/>
  <c r="I11" i="11"/>
  <c r="I20" i="11"/>
  <c r="I8" i="11"/>
  <c r="I18" i="11"/>
  <c r="I14" i="11"/>
  <c r="I10" i="11"/>
  <c r="I12" i="11"/>
  <c r="I17" i="11"/>
  <c r="I13" i="11"/>
  <c r="I9" i="11"/>
  <c r="I16" i="11"/>
  <c r="I7" i="11"/>
  <c r="J13" i="11"/>
  <c r="J9" i="11"/>
  <c r="J12" i="11"/>
  <c r="J20" i="11"/>
  <c r="J16" i="11"/>
  <c r="J8" i="11"/>
  <c r="J19" i="11"/>
  <c r="J15" i="11"/>
  <c r="J11" i="11"/>
  <c r="J18" i="11"/>
  <c r="J14" i="11"/>
  <c r="J10" i="11"/>
  <c r="J17" i="11"/>
  <c r="J7" i="11"/>
  <c r="G19" i="11"/>
  <c r="G15" i="11"/>
  <c r="G11" i="11"/>
  <c r="G16" i="11"/>
  <c r="G8" i="11"/>
  <c r="G18" i="11"/>
  <c r="G14" i="11"/>
  <c r="G10" i="11"/>
  <c r="G20" i="11"/>
  <c r="G12" i="11"/>
  <c r="G17" i="11"/>
  <c r="G13" i="11"/>
  <c r="G9" i="11"/>
  <c r="G7" i="11"/>
  <c r="F7" i="11"/>
  <c r="F9" i="11"/>
  <c r="F16" i="11"/>
  <c r="F19" i="11"/>
  <c r="F15" i="11"/>
  <c r="F11" i="11"/>
  <c r="F18" i="11"/>
  <c r="F14" i="11"/>
  <c r="F10" i="11"/>
  <c r="F13" i="11"/>
  <c r="F17" i="11"/>
  <c r="F20" i="11"/>
  <c r="F12" i="11"/>
  <c r="F8" i="11"/>
  <c r="E15" i="11"/>
  <c r="E11" i="11"/>
  <c r="E14" i="11"/>
  <c r="E12" i="11"/>
  <c r="E17" i="11"/>
  <c r="E13" i="11"/>
  <c r="E9" i="11"/>
  <c r="E19" i="11"/>
  <c r="E10" i="11"/>
  <c r="E18" i="11"/>
  <c r="E20" i="11"/>
  <c r="E16" i="11"/>
  <c r="E8" i="11"/>
  <c r="E7" i="11"/>
  <c r="C20" i="11"/>
  <c r="C19" i="11"/>
  <c r="C18" i="11"/>
  <c r="C16" i="11"/>
  <c r="C15" i="11"/>
  <c r="C14" i="11"/>
  <c r="C13" i="11"/>
  <c r="C12" i="11"/>
  <c r="C11" i="11"/>
  <c r="D10" i="11"/>
  <c r="C10" i="11"/>
  <c r="D9" i="11"/>
  <c r="C9" i="11"/>
  <c r="D8" i="11"/>
  <c r="C8" i="11"/>
  <c r="D7" i="11"/>
  <c r="C7" i="11"/>
  <c r="C17" i="11"/>
  <c r="Z9" i="8"/>
  <c r="G11" i="8"/>
  <c r="AA11" i="8"/>
  <c r="S6" i="8"/>
  <c r="N6" i="8"/>
  <c r="K15" i="8"/>
  <c r="AD10" i="8"/>
  <c r="V10" i="8"/>
  <c r="R10" i="8"/>
  <c r="K7" i="8"/>
  <c r="Q13" i="8"/>
  <c r="F6" i="8"/>
  <c r="Y9" i="8"/>
  <c r="R6" i="8"/>
  <c r="E17" i="8"/>
  <c r="AB16" i="8"/>
  <c r="U13" i="8"/>
  <c r="J10" i="8"/>
  <c r="AB8" i="8"/>
  <c r="M17" i="8"/>
  <c r="W17" i="8"/>
  <c r="R17" i="8"/>
  <c r="D17" i="8"/>
  <c r="T16" i="8"/>
  <c r="T8" i="8"/>
  <c r="D12" i="8"/>
  <c r="R9" i="8"/>
  <c r="Y17" i="8"/>
  <c r="AE15" i="8"/>
  <c r="X12" i="8"/>
  <c r="M9" i="8"/>
  <c r="AE7" i="8"/>
  <c r="AE17" i="8"/>
  <c r="R8" i="8"/>
  <c r="X17" i="8"/>
  <c r="W15" i="8"/>
  <c r="O11" i="8"/>
  <c r="E9" i="8"/>
  <c r="W7" i="8"/>
  <c r="L17" i="8"/>
  <c r="P16" i="8"/>
  <c r="I13" i="8"/>
  <c r="P8" i="8"/>
  <c r="K17" i="8"/>
  <c r="H16" i="8"/>
  <c r="AC13" i="8"/>
  <c r="S11" i="8"/>
  <c r="H8" i="8"/>
  <c r="Z6" i="8"/>
  <c r="O16" i="8"/>
  <c r="G16" i="8"/>
  <c r="AA16" i="8"/>
  <c r="S16" i="8"/>
  <c r="J15" i="8"/>
  <c r="AD15" i="8"/>
  <c r="V15" i="8"/>
  <c r="M14" i="8"/>
  <c r="E14" i="8"/>
  <c r="Y14" i="8"/>
  <c r="P13" i="8"/>
  <c r="H13" i="8"/>
  <c r="AB13" i="8"/>
  <c r="T13" i="8"/>
  <c r="K12" i="8"/>
  <c r="AE12" i="8"/>
  <c r="W12" i="8"/>
  <c r="N11" i="8"/>
  <c r="F11" i="8"/>
  <c r="Z11" i="8"/>
  <c r="Q10" i="8"/>
  <c r="I10" i="8"/>
  <c r="AC10" i="8"/>
  <c r="U10" i="8"/>
  <c r="L9" i="8"/>
  <c r="D9" i="8"/>
  <c r="X9" i="8"/>
  <c r="O8" i="8"/>
  <c r="G8" i="8"/>
  <c r="AA8" i="8"/>
  <c r="S8" i="8"/>
  <c r="J7" i="8"/>
  <c r="AD7" i="8"/>
  <c r="V7" i="8"/>
  <c r="M6" i="8"/>
  <c r="E6" i="8"/>
  <c r="Y6" i="8"/>
  <c r="N14" i="8"/>
  <c r="R16" i="8"/>
  <c r="N16" i="8"/>
  <c r="F16" i="8"/>
  <c r="Z16" i="8"/>
  <c r="Q15" i="8"/>
  <c r="I15" i="8"/>
  <c r="AC15" i="8"/>
  <c r="U15" i="8"/>
  <c r="L14" i="8"/>
  <c r="D14" i="8"/>
  <c r="X14" i="8"/>
  <c r="O13" i="8"/>
  <c r="G13" i="8"/>
  <c r="AA13" i="8"/>
  <c r="S13" i="8"/>
  <c r="J12" i="8"/>
  <c r="AD12" i="8"/>
  <c r="V12" i="8"/>
  <c r="M11" i="8"/>
  <c r="E11" i="8"/>
  <c r="Y11" i="8"/>
  <c r="P10" i="8"/>
  <c r="H10" i="8"/>
  <c r="AB10" i="8"/>
  <c r="T10" i="8"/>
  <c r="K9" i="8"/>
  <c r="AE9" i="8"/>
  <c r="W9" i="8"/>
  <c r="N8" i="8"/>
  <c r="F8" i="8"/>
  <c r="Z8" i="8"/>
  <c r="Q7" i="8"/>
  <c r="I7" i="8"/>
  <c r="AC7" i="8"/>
  <c r="U7" i="8"/>
  <c r="L6" i="8"/>
  <c r="D6" i="8"/>
  <c r="X6" i="8"/>
  <c r="R15" i="8"/>
  <c r="R7" i="8"/>
  <c r="J17" i="8"/>
  <c r="AD17" i="8"/>
  <c r="V17" i="8"/>
  <c r="M16" i="8"/>
  <c r="E16" i="8"/>
  <c r="Y16" i="8"/>
  <c r="P15" i="8"/>
  <c r="H15" i="8"/>
  <c r="AB15" i="8"/>
  <c r="T15" i="8"/>
  <c r="K14" i="8"/>
  <c r="AE14" i="8"/>
  <c r="W14" i="8"/>
  <c r="N13" i="8"/>
  <c r="F13" i="8"/>
  <c r="Z13" i="8"/>
  <c r="Q12" i="8"/>
  <c r="I12" i="8"/>
  <c r="AC12" i="8"/>
  <c r="U12" i="8"/>
  <c r="L11" i="8"/>
  <c r="D11" i="8"/>
  <c r="X11" i="8"/>
  <c r="O10" i="8"/>
  <c r="G10" i="8"/>
  <c r="AA10" i="8"/>
  <c r="S10" i="8"/>
  <c r="J9" i="8"/>
  <c r="AD9" i="8"/>
  <c r="V9" i="8"/>
  <c r="M8" i="8"/>
  <c r="E8" i="8"/>
  <c r="Y8" i="8"/>
  <c r="P7" i="8"/>
  <c r="H7" i="8"/>
  <c r="AB7" i="8"/>
  <c r="T7" i="8"/>
  <c r="K6" i="8"/>
  <c r="AE6" i="8"/>
  <c r="W6" i="8"/>
  <c r="Z14" i="8"/>
  <c r="R14" i="8"/>
  <c r="Q17" i="8"/>
  <c r="I17" i="8"/>
  <c r="AC17" i="8"/>
  <c r="U17" i="8"/>
  <c r="L16" i="8"/>
  <c r="D16" i="8"/>
  <c r="X16" i="8"/>
  <c r="O15" i="8"/>
  <c r="G15" i="8"/>
  <c r="AA15" i="8"/>
  <c r="S15" i="8"/>
  <c r="J14" i="8"/>
  <c r="AD14" i="8"/>
  <c r="V14" i="8"/>
  <c r="M13" i="8"/>
  <c r="E13" i="8"/>
  <c r="Y13" i="8"/>
  <c r="P12" i="8"/>
  <c r="H12" i="8"/>
  <c r="AB12" i="8"/>
  <c r="T12" i="8"/>
  <c r="K11" i="8"/>
  <c r="AE11" i="8"/>
  <c r="W11" i="8"/>
  <c r="N10" i="8"/>
  <c r="F10" i="8"/>
  <c r="Z10" i="8"/>
  <c r="Q9" i="8"/>
  <c r="I9" i="8"/>
  <c r="AC9" i="8"/>
  <c r="U9" i="8"/>
  <c r="L8" i="8"/>
  <c r="D8" i="8"/>
  <c r="X8" i="8"/>
  <c r="O7" i="8"/>
  <c r="G7" i="8"/>
  <c r="AA7" i="8"/>
  <c r="S7" i="8"/>
  <c r="J6" i="8"/>
  <c r="AD6" i="8"/>
  <c r="V6" i="8"/>
  <c r="R13" i="8"/>
  <c r="P17" i="8"/>
  <c r="H17" i="8"/>
  <c r="AB17" i="8"/>
  <c r="T17" i="8"/>
  <c r="K16" i="8"/>
  <c r="AE16" i="8"/>
  <c r="W16" i="8"/>
  <c r="N15" i="8"/>
  <c r="F15" i="8"/>
  <c r="Z15" i="8"/>
  <c r="Q14" i="8"/>
  <c r="I14" i="8"/>
  <c r="AC14" i="8"/>
  <c r="U14" i="8"/>
  <c r="L13" i="8"/>
  <c r="D13" i="8"/>
  <c r="X13" i="8"/>
  <c r="O12" i="8"/>
  <c r="G12" i="8"/>
  <c r="AA12" i="8"/>
  <c r="S12" i="8"/>
  <c r="J11" i="8"/>
  <c r="AD11" i="8"/>
  <c r="V11" i="8"/>
  <c r="M10" i="8"/>
  <c r="E10" i="8"/>
  <c r="Y10" i="8"/>
  <c r="P9" i="8"/>
  <c r="H9" i="8"/>
  <c r="AB9" i="8"/>
  <c r="T9" i="8"/>
  <c r="K8" i="8"/>
  <c r="AE8" i="8"/>
  <c r="W8" i="8"/>
  <c r="N7" i="8"/>
  <c r="F7" i="8"/>
  <c r="Z7" i="8"/>
  <c r="Q6" i="8"/>
  <c r="I6" i="8"/>
  <c r="AC6" i="8"/>
  <c r="U6" i="8"/>
  <c r="R12" i="8"/>
  <c r="O17" i="8"/>
  <c r="G17" i="8"/>
  <c r="AA17" i="8"/>
  <c r="S17" i="8"/>
  <c r="J16" i="8"/>
  <c r="AD16" i="8"/>
  <c r="V16" i="8"/>
  <c r="M15" i="8"/>
  <c r="E15" i="8"/>
  <c r="Y15" i="8"/>
  <c r="P14" i="8"/>
  <c r="H14" i="8"/>
  <c r="AB14" i="8"/>
  <c r="T14" i="8"/>
  <c r="K13" i="8"/>
  <c r="AE13" i="8"/>
  <c r="W13" i="8"/>
  <c r="N12" i="8"/>
  <c r="F12" i="8"/>
  <c r="Z12" i="8"/>
  <c r="Q11" i="8"/>
  <c r="I11" i="8"/>
  <c r="AC11" i="8"/>
  <c r="U11" i="8"/>
  <c r="L10" i="8"/>
  <c r="D10" i="8"/>
  <c r="X10" i="8"/>
  <c r="O9" i="8"/>
  <c r="G9" i="8"/>
  <c r="AA9" i="8"/>
  <c r="S9" i="8"/>
  <c r="J8" i="8"/>
  <c r="AD8" i="8"/>
  <c r="V8" i="8"/>
  <c r="M7" i="8"/>
  <c r="E7" i="8"/>
  <c r="Y7" i="8"/>
  <c r="P6" i="8"/>
  <c r="H6" i="8"/>
  <c r="AB6" i="8"/>
  <c r="T6" i="8"/>
  <c r="F14" i="8"/>
  <c r="R11" i="8"/>
  <c r="N17" i="8"/>
  <c r="F17" i="8"/>
  <c r="Q16" i="8"/>
  <c r="I16" i="8"/>
  <c r="AC16" i="8"/>
  <c r="U16" i="8"/>
  <c r="L15" i="8"/>
  <c r="D15" i="8"/>
  <c r="O14" i="8"/>
  <c r="G14" i="8"/>
  <c r="AA14" i="8"/>
  <c r="S14" i="8"/>
  <c r="J13" i="8"/>
  <c r="AD13" i="8"/>
  <c r="M12" i="8"/>
  <c r="E12" i="8"/>
  <c r="P11" i="8"/>
  <c r="H11" i="8"/>
  <c r="AB11" i="8"/>
  <c r="K10" i="8"/>
  <c r="AE10" i="8"/>
  <c r="N9" i="8"/>
  <c r="F9" i="8"/>
  <c r="Q8" i="8"/>
  <c r="I8" i="8"/>
  <c r="AC8" i="8"/>
  <c r="U8" i="8"/>
  <c r="L7" i="8"/>
  <c r="D7" i="8"/>
  <c r="X7" i="8"/>
  <c r="O6" i="8"/>
  <c r="G6" i="8"/>
  <c r="AA6" i="8"/>
  <c r="R37" i="2"/>
  <c r="C4" i="4"/>
  <c r="D45" i="2" s="1"/>
  <c r="K13" i="2"/>
  <c r="L13" i="2"/>
  <c r="I13" i="2"/>
  <c r="U13" i="2"/>
  <c r="N13" i="2"/>
  <c r="U52" i="2"/>
  <c r="U53" i="2"/>
  <c r="U54" i="2"/>
  <c r="U55" i="2"/>
  <c r="I43" i="2"/>
  <c r="I44" i="2" s="1"/>
  <c r="U43" i="2"/>
  <c r="U44" i="2"/>
  <c r="G11" i="4"/>
  <c r="I22" i="11" l="1"/>
  <c r="I23" i="11"/>
  <c r="H23" i="11"/>
  <c r="H22" i="11"/>
  <c r="J22" i="11"/>
  <c r="J23" i="11"/>
  <c r="G23" i="11"/>
  <c r="G22" i="11"/>
  <c r="F22" i="11"/>
  <c r="E22" i="11"/>
  <c r="C22" i="11"/>
  <c r="K8" i="11"/>
  <c r="K9" i="11"/>
  <c r="E23" i="11"/>
  <c r="K7" i="11"/>
  <c r="K10" i="11"/>
  <c r="F23" i="11"/>
  <c r="C23" i="11"/>
  <c r="P45" i="2"/>
  <c r="P52" i="2" s="1"/>
  <c r="G45" i="2"/>
  <c r="G52" i="2" s="1"/>
  <c r="M45" i="2"/>
  <c r="M52" i="2" s="1"/>
  <c r="F45" i="2"/>
  <c r="F52" i="2" s="1"/>
  <c r="N45" i="2"/>
  <c r="R45" i="2"/>
  <c r="Q45" i="2"/>
  <c r="I45" i="2"/>
  <c r="J45" i="2"/>
  <c r="J52" i="2" s="1"/>
  <c r="S45" i="2"/>
  <c r="T45" i="2"/>
  <c r="O45" i="2"/>
  <c r="O52" i="2" s="1"/>
  <c r="K45" i="2"/>
  <c r="H45" i="2"/>
  <c r="H52" i="2" s="1"/>
  <c r="H53" i="2" s="1"/>
  <c r="L45" i="2"/>
  <c r="L52" i="2" s="1"/>
  <c r="E45" i="2"/>
  <c r="E52" i="2" s="1"/>
  <c r="R51" i="2"/>
  <c r="R41" i="2"/>
  <c r="R39" i="2"/>
  <c r="R40" i="2" s="1"/>
  <c r="L43" i="2"/>
  <c r="L44" i="2" s="1"/>
  <c r="Q43" i="2"/>
  <c r="Q44" i="2" s="1"/>
  <c r="N43" i="2"/>
  <c r="N44" i="2" s="1"/>
  <c r="D43" i="2"/>
  <c r="D44" i="2" s="1"/>
  <c r="K43" i="2"/>
  <c r="K44" i="2" s="1"/>
  <c r="T43" i="2"/>
  <c r="T44" i="2" s="1"/>
  <c r="S43" i="2"/>
  <c r="S44" i="2" s="1"/>
  <c r="C6" i="4"/>
  <c r="D14" i="11" a="1"/>
  <c r="D15" i="11" a="1"/>
  <c r="D20" i="11" a="1"/>
  <c r="D17" i="11" a="1"/>
  <c r="D11" i="11" a="1"/>
  <c r="D19" i="11" a="1"/>
  <c r="D13" i="11" a="1"/>
  <c r="D12" i="11" a="1"/>
  <c r="D18" i="11" a="1"/>
  <c r="D16" i="11" a="1"/>
  <c r="D16" i="11" l="1"/>
  <c r="K16" i="11" s="1"/>
  <c r="D15" i="11"/>
  <c r="K15" i="11" s="1"/>
  <c r="D12" i="11"/>
  <c r="K12" i="11" s="1"/>
  <c r="D13" i="11"/>
  <c r="K13" i="11" s="1"/>
  <c r="D19" i="11"/>
  <c r="K19" i="11" s="1"/>
  <c r="D11" i="11"/>
  <c r="D17" i="11"/>
  <c r="K17" i="11" s="1"/>
  <c r="D20" i="11"/>
  <c r="K20" i="11" s="1"/>
  <c r="D18" i="11"/>
  <c r="K18" i="11" s="1"/>
  <c r="D14" i="11"/>
  <c r="K14" i="11" s="1"/>
  <c r="I52" i="2"/>
  <c r="I53" i="2" s="1"/>
  <c r="H10" i="4"/>
  <c r="O53" i="2"/>
  <c r="O54" i="2"/>
  <c r="O55" i="2" s="1"/>
  <c r="F53" i="2"/>
  <c r="F54" i="2"/>
  <c r="F55" i="2" s="1"/>
  <c r="M53" i="2"/>
  <c r="M54" i="2"/>
  <c r="M55" i="2" s="1"/>
  <c r="E53" i="2"/>
  <c r="E54" i="2"/>
  <c r="E55" i="2" s="1"/>
  <c r="J53" i="2"/>
  <c r="J54" i="2"/>
  <c r="J55" i="2" s="1"/>
  <c r="G53" i="2"/>
  <c r="G54" i="2"/>
  <c r="G55" i="2" s="1"/>
  <c r="H54" i="2"/>
  <c r="H55" i="2" s="1"/>
  <c r="P54" i="2"/>
  <c r="P55" i="2" s="1"/>
  <c r="P53" i="2"/>
  <c r="R49" i="2" a="1"/>
  <c r="R49" i="2" s="1"/>
  <c r="R50" i="2"/>
  <c r="R47" i="2"/>
  <c r="R43" i="2"/>
  <c r="R44" i="2" s="1"/>
  <c r="Q52" i="2"/>
  <c r="Q53" i="2" s="1"/>
  <c r="T52" i="2"/>
  <c r="T53" i="2" s="1"/>
  <c r="N52" i="2"/>
  <c r="N53" i="2" s="1"/>
  <c r="L53" i="2"/>
  <c r="L54" i="2"/>
  <c r="L55" i="2" s="1"/>
  <c r="D52" i="2"/>
  <c r="D53" i="2" s="1"/>
  <c r="K52" i="2"/>
  <c r="K54" i="2" s="1"/>
  <c r="K55" i="2" s="1"/>
  <c r="S52" i="2"/>
  <c r="S53" i="2" s="1"/>
  <c r="H11" i="4"/>
  <c r="D22" i="11" l="1"/>
  <c r="D23" i="11"/>
  <c r="K11" i="11"/>
  <c r="I54" i="2"/>
  <c r="I55" i="2" s="1"/>
  <c r="Q54" i="2"/>
  <c r="Q55" i="2" s="1"/>
  <c r="T54" i="2"/>
  <c r="T55" i="2" s="1"/>
  <c r="N54" i="2"/>
  <c r="N55" i="2" s="1"/>
  <c r="R52" i="2"/>
  <c r="R53" i="2" s="1"/>
  <c r="D54" i="2"/>
  <c r="D55" i="2" s="1"/>
  <c r="K53" i="2"/>
  <c r="S54" i="2"/>
  <c r="S55" i="2" s="1"/>
  <c r="K23" i="11" l="1"/>
  <c r="K22" i="11"/>
  <c r="R54" i="2"/>
  <c r="R55"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tc={19C77D1F-A91A-4315-948B-DB8C1542842D}</author>
    <author>tc={5B86D5CA-D76D-4B0E-9BDA-31B5CFFE97AE}</author>
    <author>tc={73E3BE9F-28A2-405D-B45C-5F79AA9C5DB3}</author>
  </authors>
  <commentList>
    <comment ref="B3" authorId="0" shapeId="0" xr:uid="{19C77D1F-A91A-4315-948B-DB8C1542842D}">
      <text>
        <t>[Threaded comment]
Your version of Excel allows you to read this threaded comment; however, any edits to it will get removed if the file is opened in a newer version of Excel. Learn more: https://go.microsoft.com/fwlink/?linkid=870924
Comment:
    Considered as extra-urban (WLTP High)</t>
      </text>
    </comment>
    <comment ref="B4" authorId="1" shapeId="0" xr:uid="{5B86D5CA-D76D-4B0E-9BDA-31B5CFFE97AE}">
      <text>
        <t>[Threaded comment]
Your version of Excel allows you to read this threaded comment; however, any edits to it will get removed if the file is opened in a newer version of Excel. Learn more: https://go.microsoft.com/fwlink/?linkid=870924
Comment:
    WLTP Low (56,5 km/h)</t>
      </text>
    </comment>
    <comment ref="B5" authorId="2" shapeId="0" xr:uid="{73E3BE9F-28A2-405D-B45C-5F79AA9C5DB3}">
      <text>
        <t>[Threaded comment]
Your version of Excel allows you to read this threaded comment; however, any edits to it will get removed if the file is opened in a newer version of Excel. Learn more: https://go.microsoft.com/fwlink/?linkid=870924
Comment:
    WLTP High (97,4 km/h)</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tc={2B9A6EB7-2DE0-443F-905C-666160F8FFB5}</author>
    <author>tc={CB34F4D4-FF01-42CB-A0CA-2AB10BF8CD0C}</author>
    <author>tc={482B1242-19DA-4FA2-A310-C4EFFFDCF903}</author>
    <author>tc={163BEE1F-055F-49BB-B827-6152A634E96C}</author>
    <author>tc={F9CBB0DC-523C-4EBC-BDB4-5FC40B6DFCC9}</author>
    <author>tc={0EA52372-AC07-4B46-AD4E-4FF0BE8A6B26}</author>
    <author>tc={93B7B2EB-1B16-4868-B359-A7BE945499E7}</author>
    <author>tc={40DB1527-DD33-4AE8-8E73-8EE9919D8DE4}</author>
  </authors>
  <commentList>
    <comment ref="C9" authorId="0" shapeId="0" xr:uid="{2B9A6EB7-2DE0-443F-905C-666160F8FFB5}">
      <text>
        <t>[Threaded comment]
Your version of Excel allows you to read this threaded comment; however, any edits to it will get removed if the file is opened in a newer version of Excel. Learn more: https://go.microsoft.com/fwlink/?linkid=870924
Comment:
    WLTP Low (56,5 km/h)</t>
      </text>
    </comment>
    <comment ref="C10" authorId="1" shapeId="0" xr:uid="{CB34F4D4-FF01-42CB-A0CA-2AB10BF8CD0C}">
      <text>
        <t>[Threaded comment]
Your version of Excel allows you to read this threaded comment; however, any edits to it will get removed if the file is opened in a newer version of Excel. Learn more: https://go.microsoft.com/fwlink/?linkid=870924
Comment:
    WLTP High (97,4 km/h)</t>
      </text>
    </comment>
    <comment ref="C13" authorId="2" shapeId="0" xr:uid="{482B1242-19DA-4FA2-A310-C4EFFFDCF903}">
      <text>
        <t>[Threaded comment]
Your version of Excel allows you to read this threaded comment; however, any edits to it will get removed if the file is opened in a newer version of Excel. Learn more: https://go.microsoft.com/fwlink/?linkid=870924
Comment:
    For ICE vehicle use formula, for electric vehicle use https://ev-database.org/ Real Range - Combined - Mild Weather</t>
      </text>
    </comment>
    <comment ref="C38" authorId="3" shapeId="0" xr:uid="{163BEE1F-055F-49BB-B827-6152A634E96C}">
      <text>
        <t>[Threaded comment]
Your version of Excel allows you to read this threaded comment; however, any edits to it will get removed if the file is opened in a newer version of Excel. Learn more: https://go.microsoft.com/fwlink/?linkid=870924
Comment:
    Only EU/EFTA
Sources: check Links sheet
BPM calculated with flat-rate</t>
      </text>
    </comment>
    <comment ref="C39" authorId="4" shapeId="0" xr:uid="{F9CBB0DC-523C-4EBC-BDB4-5FC40B6DFCC9}">
      <text>
        <t>[Threaded comment]
Your version of Excel allows you to read this threaded comment; however, any edits to it will get removed if the file is opened in a newer version of Excel. Learn more: https://go.microsoft.com/fwlink/?linkid=870924
Comment:
    https://www.rvo.nl/subsidies-financiering/sepp</t>
      </text>
    </comment>
    <comment ref="C48" authorId="5" shapeId="0" xr:uid="{0EA52372-AC07-4B46-AD4E-4FF0BE8A6B26}">
      <text>
        <t>[Threaded comment]
Your version of Excel allows you to read this threaded comment; however, any edits to it will get removed if the file is opened in a newer version of Excel. Learn more: https://go.microsoft.com/fwlink/?linkid=870924
Comment:
    https://www.denhaag.nl/en/parking/apply-for-parking-permit/apply-for-parking-permit-for-residents.htm</t>
      </text>
    </comment>
    <comment ref="C49" authorId="6" shapeId="0" xr:uid="{93B7B2EB-1B16-4868-B359-A7BE945499E7}">
      <text>
        <t>[Threaded comment]
Your version of Excel allows you to read this threaded comment; however, any edits to it will get removed if the file is opened in a newer version of Excel. Learn more: https://go.microsoft.com/fwlink/?linkid=870924
Comment:
    https://www.belastingdienst.nl/wps/wcm/connect/nl/auto-en-vervoer/content/hulpmiddel-motorrijtuigenbelasting-berekenen</t>
      </text>
    </comment>
    <comment ref="C50" authorId="7" shapeId="0" xr:uid="{40DB1527-DD33-4AE8-8E73-8EE9919D8DE4}">
      <text>
        <t>[Threaded comment]
Your version of Excel allows you to read this threaded comment; however, any edits to it will get removed if the file is opened in a newer version of Excel. Learn more: https://go.microsoft.com/fwlink/?linkid=870924
Comment:
    https://business.gov.nl/regulation/periodic-motor-vehicle-test-apk/</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<sst xmlns="http://schemas.openxmlformats.org/spreadsheetml/2006/main" count="534" uniqueCount="302">
  <si>
    <t>Comparativa</t>
  </si>
  <si>
    <t>Es la más importante y la que reúne casi todos los datos. Para que esta hoja sea útil debe reunir la mayor información ÚTIL posible, de forma que no haya que revisar los anuncios y ofertas todo el tiempo.
Tiene distintas franjas horizontales para distintos usos.</t>
  </si>
  <si>
    <t>Coche, Motor y Transmisión</t>
  </si>
  <si>
    <t>Información del coche. La fila "Modelo" tiene que ser siempre diferente porque es el que identifica el coche en los gráficos. Los consumos son importantes rellenarlos para obtener el coste anual en combustible y precio a 10 años.</t>
  </si>
  <si>
    <t>Sistemas y equipamiento</t>
  </si>
  <si>
    <t>Este apartado está pensado para comparar rápida y visualmente los sistemas y equipamientos. Deben añadirse y quitarse filas en función de lo que, por gustos y necesidades, uno quiera comparar. Si se incluye la palabra "Sí" en la celda, esta se vuelve verde, si se escribe "-" se vuelve roja. Si el equipamiento no está incluido y debe pagarse, se introduce directamente el precio y este será incluido en la fila "Precio final". Consejo: no meter cosas que ya incluyen todos los coche (por ejemplo aire acondicionado) o cosas que realmente no nos importen.</t>
  </si>
  <si>
    <t>Información</t>
  </si>
  <si>
    <t>Nombre del paquete con ese equipamiento, precio del paquete si no es una oferta, extras destacables, contras (cosas que no nos gusten), si el color cuesta algo meterlo en el precio de los paquetes.</t>
  </si>
  <si>
    <t>Precio inicial</t>
  </si>
  <si>
    <t>Precio básico del coche</t>
  </si>
  <si>
    <t>Precio final</t>
  </si>
  <si>
    <t>Precio básico + Equipamiento extra + Paquetes</t>
  </si>
  <si>
    <t>Combustible anual</t>
  </si>
  <si>
    <t>Estimación del gasto anual en combustible, basada en el consumo del coche, precio del combustible y en el uso que se le da. El uso se define en la pestaña "Uso".</t>
  </si>
  <si>
    <t>Seguro</t>
  </si>
  <si>
    <t>Estimación del coste del seguro. Buscando en internet se encuentra (lo más importante el modelo de coche y edad del conductor).</t>
  </si>
  <si>
    <t>Revisiones</t>
  </si>
  <si>
    <t>Normalmente las primeras revisiones son cada año o 2 años o cada X kilómetros, lo que antes se cumpla.</t>
  </si>
  <si>
    <t>Coste de las revisiones</t>
  </si>
  <si>
    <t>Es más sencilla de obtener en internet que el coste del seguro.</t>
  </si>
  <si>
    <t>Impuestos</t>
  </si>
  <si>
    <t>Normalmente y en España sólo el impuesto de vehículos de tracción mecánica, pero también puede haber impuestos locales, tarjeta de residente, etc. El impuesto de matriculación debería estar ya incluido en el precio inicial para vehículos nuevos.</t>
  </si>
  <si>
    <t>Precio a 10 años</t>
  </si>
  <si>
    <t>Precio final + 10 x (Combustible + Seguro + Impuestos). Es para dar una idea del coste de ese mismo coche, no incluye ni revisiones ni reparaciones.</t>
  </si>
  <si>
    <t>Seminuevo</t>
  </si>
  <si>
    <t>Esta franja tienes 2 formas de uso que no deben mezclarse.
- La primera es usarla para guardar y trazar la información de diferentes modelos de coche que nos interesen.
- La segunda es usándola para comparar el mismo modelo de coche. Esto se hace con las gráficas "Seminuevo €-km" y "Seminuevo €-t".</t>
  </si>
  <si>
    <t>Uso</t>
  </si>
  <si>
    <t>Es para definir el uso que se le da al coche y el precio del combustible.</t>
  </si>
  <si>
    <t>Kilometraje anual</t>
  </si>
  <si>
    <t>Kilómetros que se hacen al año de media o que se van a hacer con ese coche. Hay muchas maneras de estimar esto. Si no tienes ni idea y no puedes calcularlo, dentro de un rango normal, 6.000 km al año sería poco uso y 15.000 km sería bastante.</t>
  </si>
  <si>
    <t>Porcentaje de uso</t>
  </si>
  <si>
    <t>Medido en kilómetros, no en tiempo. Puede resultar y no es nada extraño que aunque pases más tiempo conduciendo en ciudad, la mayoría de los kilómetros se hagan realmente en carretera.</t>
  </si>
  <si>
    <t>Precios del combustible</t>
  </si>
  <si>
    <t>Coste</t>
  </si>
  <si>
    <t>Gráfico con el precio final y el precio a 10 años.</t>
  </si>
  <si>
    <t>Consumo</t>
  </si>
  <si>
    <t>Gráfico con el consumo nominal del coche.</t>
  </si>
  <si>
    <t>Combustible</t>
  </si>
  <si>
    <t>Gráfico del gasto anual en combustible.</t>
  </si>
  <si>
    <t>Seminuevo €-km</t>
  </si>
  <si>
    <t>Gráfico de la devaluación del coche con los kilómetros. La línea discontinua es la línea media de los valores introducidos, cuantos más coches se añadan más correcta será. Permite saber si el coche está por debajo o por encima del precio del mercado. Es importante no mezclar distintos modelos de coches o equipaciones muy distintas al usar este gráfico.</t>
  </si>
  <si>
    <t>Seminuevo €-t</t>
  </si>
  <si>
    <t>Gráfico de la devaluación del coche con el tiempo. La línea discontinua es la línea media de los valores introducidos, cuantos más coches se añadan más correcta será. Permite saber si el coche está por debajo o por encima del precio del mercado. Es importante no mezclar distintos modelos de coches o equipaciones muy distintas al usar este gráfico.</t>
  </si>
  <si>
    <t>Link</t>
  </si>
  <si>
    <t>Type</t>
  </si>
  <si>
    <t>Model</t>
  </si>
  <si>
    <t>Version</t>
  </si>
  <si>
    <t>Vehicle</t>
  </si>
  <si>
    <t>Propulsion</t>
  </si>
  <si>
    <t>Engine</t>
  </si>
  <si>
    <t>Gears</t>
  </si>
  <si>
    <t>Nissan Leaf</t>
  </si>
  <si>
    <t>Electric</t>
  </si>
  <si>
    <t>https://rotterdamexpatcentre.nl/expats/taxes/import-a-car/</t>
  </si>
  <si>
    <t>https://iwcn.nl/newcomers/settling-in/transport/importing-a-motor-vehicle/</t>
  </si>
  <si>
    <t>https://www.rdw.nl/over-rdw/information-in-english/private/import/moving-to-the-netherlands-and-taking-your-vehicle-with-you</t>
  </si>
  <si>
    <t>Capacity (L or kW)</t>
  </si>
  <si>
    <t>Range (km)</t>
  </si>
  <si>
    <t>Comfort equipment</t>
  </si>
  <si>
    <t>Park assistant</t>
  </si>
  <si>
    <t>Emergency braking</t>
  </si>
  <si>
    <t>Others</t>
  </si>
  <si>
    <t>Alarm</t>
  </si>
  <si>
    <t>Rain sensor</t>
  </si>
  <si>
    <t>Light sensor</t>
  </si>
  <si>
    <t>Park sensor</t>
  </si>
  <si>
    <t>Negative aspects</t>
  </si>
  <si>
    <t>Colour</t>
  </si>
  <si>
    <t>km</t>
  </si>
  <si>
    <t>€/L</t>
  </si>
  <si>
    <t>€/kW</t>
  </si>
  <si>
    <t>Commuting</t>
  </si>
  <si>
    <t>Urban</t>
  </si>
  <si>
    <t>Extra-urban</t>
  </si>
  <si>
    <t>Annual use</t>
  </si>
  <si>
    <t>Total</t>
  </si>
  <si>
    <t>Petrol</t>
  </si>
  <si>
    <t>Yes</t>
  </si>
  <si>
    <t>CO2 Emissions (g/km)</t>
  </si>
  <si>
    <t>Infotainment</t>
  </si>
  <si>
    <t>Starting price</t>
  </si>
  <si>
    <t>Insurance</t>
  </si>
  <si>
    <t>Maintenance</t>
  </si>
  <si>
    <t>Second hand</t>
  </si>
  <si>
    <t>Registration date</t>
  </si>
  <si>
    <t>Electrochromic mirrors</t>
  </si>
  <si>
    <t>Price</t>
  </si>
  <si>
    <t>Warranty (years)</t>
  </si>
  <si>
    <t>5-speed</t>
  </si>
  <si>
    <t>Photo</t>
  </si>
  <si>
    <t>Running cost per year</t>
  </si>
  <si>
    <t>Running cost per month</t>
  </si>
  <si>
    <t>Parking permit</t>
  </si>
  <si>
    <t>Lease</t>
  </si>
  <si>
    <t>Buy</t>
  </si>
  <si>
    <t>Spain</t>
  </si>
  <si>
    <t>Total cost per year</t>
  </si>
  <si>
    <t>Total cost per month</t>
  </si>
  <si>
    <t>Motor vehicle tax (MRB)</t>
  </si>
  <si>
    <t>https://www.belastingdienst.nl/wps/wcm/connect/nl/auto-en-vervoer/content/hulpmiddel-motorrijtuigenbelasting-berekenen</t>
  </si>
  <si>
    <t>https://business.gov.nl/regulation/bpm/</t>
  </si>
  <si>
    <t>Acquisition cost</t>
  </si>
  <si>
    <t>Acquisition cost per year</t>
  </si>
  <si>
    <t>Cost</t>
  </si>
  <si>
    <t>Pack name</t>
  </si>
  <si>
    <t>MG4</t>
  </si>
  <si>
    <t>Charging speed (kW)</t>
  </si>
  <si>
    <t>Urban (L/100 km or Wh/km)</t>
  </si>
  <si>
    <t>Extra-urban (L/100 km or Wh/km)</t>
  </si>
  <si>
    <t>Netherlands</t>
  </si>
  <si>
    <t>Final price</t>
  </si>
  <si>
    <t>Electricity charge</t>
  </si>
  <si>
    <t>Mileage (km)</t>
  </si>
  <si>
    <t>Country (purchase)</t>
  </si>
  <si>
    <t>Volkswagen Polo</t>
  </si>
  <si>
    <t>https://www.volkswagen.nl/stocklocator#/voorraad/volkswagen/polo/hatchback/296666880/10-tsi-polo</t>
  </si>
  <si>
    <t>Dark blue</t>
  </si>
  <si>
    <t>Lane sensor with correction, Rear head airbags</t>
  </si>
  <si>
    <t>Weight (kg)</t>
  </si>
  <si>
    <t>70 kW 1.0 TSI</t>
  </si>
  <si>
    <t>Blue</t>
  </si>
  <si>
    <t>71 kW 1.0</t>
  </si>
  <si>
    <t>NF-410-F</t>
  </si>
  <si>
    <t>https://www.autoscout24.nl/aanbod/volkswagen-polo-1-0-bluemotion-edition-executive-parkeersensoren-benzine-blauw-68103ada-b1ce-433e-aac6-f73a6c7d465b</t>
  </si>
  <si>
    <t>-</t>
  </si>
  <si>
    <t>Electrically adjustable exterior mirrors, Hill Hold Control, Tire pressure monitoring system</t>
  </si>
  <si>
    <t>160 kW</t>
  </si>
  <si>
    <t>Reduction gear</t>
  </si>
  <si>
    <t>8" screen</t>
  </si>
  <si>
    <t>360 camera</t>
  </si>
  <si>
    <t>E+ N-CONNECTA</t>
  </si>
  <si>
    <t>Red</t>
  </si>
  <si>
    <t>150 kW</t>
  </si>
  <si>
    <t>Comfort</t>
  </si>
  <si>
    <t>7 years or 150 Mm</t>
  </si>
  <si>
    <t>Government subsidy (SEPP)</t>
  </si>
  <si>
    <t>Tesla Model 3</t>
  </si>
  <si>
    <t>Long range 4x4</t>
  </si>
  <si>
    <t>Black</t>
  </si>
  <si>
    <t>1 year or 20 Mm, Battery 2027</t>
  </si>
  <si>
    <t>Germany</t>
  </si>
  <si>
    <t>35 kW</t>
  </si>
  <si>
    <t>https://www.autoscout24.nl/aanbod/smart-fortwo-eigen-accu-electric-drive-elektrisch-grijs-3bd998d5-079b-47ae-b13f-2211e3e574c9?sort=price&amp;desc=0&amp;lastSeenGuidPresent=true&amp;cldtidx=56&amp;position=56&amp;search_id=ndkds14l6u&amp;source_otp=t10&amp;source=listpage_search-results</t>
  </si>
  <si>
    <t>No</t>
  </si>
  <si>
    <t>White</t>
  </si>
  <si>
    <t>Electric Drive</t>
  </si>
  <si>
    <t>Smart Fortwo</t>
  </si>
  <si>
    <t>Opel Ampera-E</t>
  </si>
  <si>
    <t>Launch executive</t>
  </si>
  <si>
    <t>https://www.autoscout24.nl/aanbod/opel-ampera-e-launch-executive-60-kwh-stoel-stuur-verw-camera-elektrisch-grijs-148fed86-3dfd-42f7-9a60-47f00ecfe030?sort=standard&amp;desc=0&amp;lastSeenGuidPresent=true&amp;cldtidx=9&amp;position=9&amp;search_id=ud92zyhwea&amp;source_otp=t30&amp;source=listpage_search-results</t>
  </si>
  <si>
    <t>Camera</t>
  </si>
  <si>
    <t>https://www.autoscout24.nl/</t>
  </si>
  <si>
    <t>https://www.auto.nl/</t>
  </si>
  <si>
    <t>https://bynco.com/</t>
  </si>
  <si>
    <t>https://www.ooyyo.com/</t>
  </si>
  <si>
    <t>https://www.gebruikteauto.nl/</t>
  </si>
  <si>
    <t>https://www.nederlandmobiel.nl/</t>
  </si>
  <si>
    <t>https://www.eurostocks.com/</t>
  </si>
  <si>
    <t>https://www.abnamro.nl/my-abnamro/insurance/car-insurance/#/request</t>
  </si>
  <si>
    <t>Periodic Technical Inspection (APK)</t>
  </si>
  <si>
    <t>Per 3 months</t>
  </si>
  <si>
    <t>Per year</t>
  </si>
  <si>
    <t>PHEV</t>
  </si>
  <si>
    <t>https://ovi.rdw.nl/</t>
  </si>
  <si>
    <t>Truestyle</t>
  </si>
  <si>
    <t>https://www.autoscout24.com/offers/smart-fortwo-0-7-truestyle-gasoline-black-e437eb8c-6716-4164-9296-4a53142994d3?sort=price&amp;desc=0&amp;lastSeenGuidPresent=true&amp;cldtidx=1&amp;position=1&amp;search_id=1vv6lkvlsrv&amp;source_otp=t10&amp;source=listpage_suggested-results</t>
  </si>
  <si>
    <t>45 kW</t>
  </si>
  <si>
    <t>Automatic</t>
  </si>
  <si>
    <t>Website</t>
  </si>
  <si>
    <t>Description</t>
  </si>
  <si>
    <t>https://ev-database.org/</t>
  </si>
  <si>
    <t>Database with most electric cars, their real range and price.</t>
  </si>
  <si>
    <t>EV Database</t>
  </si>
  <si>
    <t>RDW Kentekencheck</t>
  </si>
  <si>
    <t>RDW Import process</t>
  </si>
  <si>
    <t>Official Dutch website about the process of importing a vehicle.</t>
  </si>
  <si>
    <t>Official Dutch website to check a car's detail with the number plate.</t>
  </si>
  <si>
    <t>Motorrijtuigenbelasting berekenen (MRB)</t>
  </si>
  <si>
    <t>Import vehicle taxes (BPM)</t>
  </si>
  <si>
    <t>https://www.rvo.nl/subsidies-financiering/sepp</t>
  </si>
  <si>
    <t>Subsidieregeling Elektrische Personenauto’s Particulieren (SEPP)</t>
  </si>
  <si>
    <t>Official Dutch website with information about subsidy schemes for electric vehicles</t>
  </si>
  <si>
    <t>Official Dutch motor vehicle tax (MRB) calculator.</t>
  </si>
  <si>
    <t>https://business.gov.nl/regulation/periodic-motor-vehicle-test-apk/</t>
  </si>
  <si>
    <t>Official Dutch website about the periodic technical inspection (APK).</t>
  </si>
  <si>
    <t>Algemene Periodieke Keuring (APK)</t>
  </si>
  <si>
    <t>Import process</t>
  </si>
  <si>
    <t>Import vehicle process by Rotterdam Expat Centre</t>
  </si>
  <si>
    <t>Import vehicle process by International Welcome Center North</t>
  </si>
  <si>
    <t>Insurance calculator</t>
  </si>
  <si>
    <t>Autoscout 24</t>
  </si>
  <si>
    <t>Ooyyo</t>
  </si>
  <si>
    <t>Auto</t>
  </si>
  <si>
    <t>Gebruikteauto</t>
  </si>
  <si>
    <t>Nederlandmobiel</t>
  </si>
  <si>
    <t>Eurostocks</t>
  </si>
  <si>
    <t>Bynco</t>
  </si>
  <si>
    <t>Second hand cars</t>
  </si>
  <si>
    <t>324 kW</t>
  </si>
  <si>
    <t>https://www.cockvanburenautos.nl/Volkswagen/Polo/1.0-TGI-AC-NAVI-MULTI-STUUR-CRUISE-CONTROLE-ELEC-RAMEN-Comfortline-4966933/4451/1/2/details.aspx?zoek=&amp;mrkid=81&amp;mrk=Volkswagen&amp;mdlid=1293&amp;so=gallerij</t>
  </si>
  <si>
    <t>Comfortline</t>
  </si>
  <si>
    <t>7" screen</t>
  </si>
  <si>
    <t>Number plate</t>
  </si>
  <si>
    <t>RP-206-L</t>
  </si>
  <si>
    <t>Climate control</t>
  </si>
  <si>
    <t>Dual-zone</t>
  </si>
  <si>
    <t>Rear head airbags</t>
  </si>
  <si>
    <t>Tesla Germany website</t>
  </si>
  <si>
    <t>MG Spain website</t>
  </si>
  <si>
    <t>Nissan Spain Website</t>
  </si>
  <si>
    <t>Many</t>
  </si>
  <si>
    <t>Life</t>
  </si>
  <si>
    <t>https://www.dasweltauto.nl/</t>
  </si>
  <si>
    <t>Das Welt Auto</t>
  </si>
  <si>
    <t>Year</t>
  </si>
  <si>
    <t>All cars</t>
  </si>
  <si>
    <t>Work commuting subsidy</t>
  </si>
  <si>
    <t>Purchase type</t>
  </si>
  <si>
    <t>If Lease, contract duration (years)</t>
  </si>
  <si>
    <t>Safety equiment</t>
  </si>
  <si>
    <t>Equipment pack</t>
  </si>
  <si>
    <t>Tech. equipment</t>
  </si>
  <si>
    <t>Den Haag parking permit</t>
  </si>
  <si>
    <t>https://www.denhaag.nl/en/parking/apply-for-parking-permit/apply-for-parking-permit-for-residents.htm</t>
  </si>
  <si>
    <t>Official Den Haag website for parking permit.</t>
  </si>
  <si>
    <t>friendje</t>
  </si>
  <si>
    <t>https://www.yourlease.nl/volkswagen/volkswagen-up/</t>
  </si>
  <si>
    <t>Acquisition</t>
  </si>
  <si>
    <t>Column</t>
  </si>
  <si>
    <t>XH-425-R</t>
  </si>
  <si>
    <t>6-ZFG-32</t>
  </si>
  <si>
    <t>Depreciation time until 14 years old</t>
  </si>
  <si>
    <t>Residual value at 14 years old</t>
  </si>
  <si>
    <t>https://www.marktplaats.nl/v/auto-s/smart/m1951091296-smart-fortwo-electric-drive-coupe-2015-wit-apk-13-1-2024</t>
  </si>
  <si>
    <t>Electrically adjustable exterior mirrors</t>
  </si>
  <si>
    <t>Volkswagen Up!</t>
  </si>
  <si>
    <t>S-099-HJ</t>
  </si>
  <si>
    <t>Grey</t>
  </si>
  <si>
    <t>Radio</t>
  </si>
  <si>
    <t>https://voorraad.autobedrijfeb.nl/sa0446b36c5d56662bf8fb788f63ea754/voorraad/stock/6244/vehicles/20/details/33032182/volkswagen-up-1-0-60pk-take-up/</t>
  </si>
  <si>
    <t>44 kW 1.0</t>
  </si>
  <si>
    <t>Take up</t>
  </si>
  <si>
    <t>Comfortline Business</t>
  </si>
  <si>
    <t>https://voorraad.autobedrijfeb.nl/sa0446b36c5d56662bf8fb788f63ea754/voorraad/stock/7866/vehicles/20/details/31682879/volkswagen-polo-1-2-tsi-90pk-comfortline-business-r/</t>
  </si>
  <si>
    <t>66 kW 1.2</t>
  </si>
  <si>
    <t>66 kW 1.0 TGI</t>
  </si>
  <si>
    <t>Heated exterior mirrors, Tire pressure monitoring system, Hill hold function</t>
  </si>
  <si>
    <t>Tire pressure monitoring system, Hill hold function</t>
  </si>
  <si>
    <t>Heated exterior mirrors</t>
  </si>
  <si>
    <t>Second hand cars Volkswagen group</t>
  </si>
  <si>
    <t>BMW i3</t>
  </si>
  <si>
    <t>125 kW</t>
  </si>
  <si>
    <t>60 Ah Range Ext Comfort Advance</t>
  </si>
  <si>
    <t>?</t>
  </si>
  <si>
    <t>9" screen</t>
  </si>
  <si>
    <t>Heated seats</t>
  </si>
  <si>
    <t>https://www.autotijd.nl/aanbod#1427122578-2078578-bmw-i3-range-extender-ecc-airco-navigatie-55dkm-hist-aanw</t>
  </si>
  <si>
    <t>KF-049-T</t>
  </si>
  <si>
    <t>https://www.autozieleman.nl/auto-kopen/bmw/i3/bmw-i3-luxury-range-extender-22-kwh-60ah-navi-leer-camera-led/2770653/</t>
  </si>
  <si>
    <t>JJ-135-J</t>
  </si>
  <si>
    <t>https://www.hoczeeland.nl/aanbod/detail?id=2216</t>
  </si>
  <si>
    <t>Coupe Electric Drive</t>
  </si>
  <si>
    <t>R-568-HK</t>
  </si>
  <si>
    <t>Black and red</t>
  </si>
  <si>
    <t>Sun roof, heated seats</t>
  </si>
  <si>
    <t>Sun roof</t>
  </si>
  <si>
    <t>https://www.nederlandmobiel.nl/tweedehands-auto/smart/fortwo-coupe-electric-drive2000-subsidienap/16837067?auto-model-history=%5B%5D&amp;source=search&amp;merk[]=200&amp;prijs_tot=9000&amp;brandstof[]=electro&amp;p-sort=ingevoerd&amp;i=1</t>
  </si>
  <si>
    <t>https://www.rdw.nl/en/import-export-transit/importing-a-car-from-a-eu-or-efta-country</t>
  </si>
  <si>
    <t>RDW</t>
  </si>
  <si>
    <t>Identification of a light vehicle</t>
  </si>
  <si>
    <t>Registration certificate</t>
  </si>
  <si>
    <t>Registration in a person's name via the RDW</t>
  </si>
  <si>
    <t>Recycling fee</t>
  </si>
  <si>
    <t>BPM</t>
  </si>
  <si>
    <t>PEHV</t>
  </si>
  <si>
    <t>Energy price</t>
  </si>
  <si>
    <t>Off-peak</t>
  </si>
  <si>
    <t>Peak</t>
  </si>
  <si>
    <t>At work</t>
  </si>
  <si>
    <t>Hypothesis</t>
  </si>
  <si>
    <t>Importing from EU/EFTA into the Netherlands</t>
  </si>
  <si>
    <t>Emissions up to (g/km)</t>
  </si>
  <si>
    <t>Fix</t>
  </si>
  <si>
    <t>Variable</t>
  </si>
  <si>
    <t>Import taxes (RDW and BPM)</t>
  </si>
  <si>
    <t>Insurance calculator with number plate.</t>
  </si>
  <si>
    <t>https://www.belastingdienst.nl/wps/wcm/connect/bldcontentnl/belastingdienst/prive/auto_en_vervoer/belastingen_op_auto_en_motor/bpm/</t>
  </si>
  <si>
    <t>Dutch government website for import vehicle taxes.</t>
  </si>
  <si>
    <t>Official Dutch body for import vehicle taxes.</t>
  </si>
  <si>
    <t>Depreciation with flat-rate table (years)</t>
  </si>
  <si>
    <t>Energy</t>
  </si>
  <si>
    <t>D</t>
  </si>
  <si>
    <t>Den Haag Zentrum</t>
  </si>
  <si>
    <t>€</t>
  </si>
  <si>
    <t>Amount</t>
  </si>
  <si>
    <t>Tax-free travel allowance</t>
  </si>
  <si>
    <t>Norway</t>
  </si>
  <si>
    <t>Transfer of registration (change of owner)</t>
  </si>
  <si>
    <t>BMW i3 (approx)</t>
  </si>
  <si>
    <t>NOK</t>
  </si>
  <si>
    <t>EUR</t>
  </si>
  <si>
    <t>https://www.bnh.no/avdelinger/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</si>
</sst>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quot;€&quot;"/>
    <numFmt numFmtId="165" formatCode="#,##0.0"/>
    <numFmt numFmtId="166" formatCode="0.000%"/>
    <numFmt numFmtId="167" formatCode="#,##0.00\ &quot;€&quot;"/>
    <numFmt numFmtId="168" formatCode="0.0"/>
  </numFmts>
  <fonts count="6" x14ac:knownFonts="1">
    <font>
      <sz val="11"/>
      <color theme="1"/>
      <name val="Calibri"/>
      <family val="2"/>
      <scheme val="minor"/>
    </font>
    <font>
      <u/>
      <sz val="11"/>
      <color theme="10"/>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s>
  <fills count="18">
    <fill>
      <patternFill patternType="none"/>
    </fill>
    <fill>
      <patternFill patternType="gray125"/>
    </fill>
    <fill>
      <patternFill patternType="solid">
        <fgColor theme="3" tint="-0.249977111117893"/>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7" tint="-0.499984740745262"/>
        <bgColor indexed="64"/>
      </patternFill>
    </fill>
  </fills>
  <borders count="6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double">
        <color indexed="64"/>
      </bottom>
      <diagonal/>
    </border>
    <border>
      <left/>
      <right style="thin">
        <color indexed="64"/>
      </right>
      <top style="double">
        <color indexed="64"/>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medium">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9" fontId="5" fillId="0" borderId="0" applyFont="0" applyFill="0" applyBorder="0" applyAlignment="0" applyProtection="0"/>
  </cellStyleXfs>
  <cellXfs count="280">
    <xf numFmtId="0" fontId="0" fillId="0" borderId="0" xfId="0"/>
    <xf numFmtId="0" fontId="2" fillId="2" borderId="10" xfId="0" applyFont="1" applyFill="1" applyBorder="1" applyAlignment="1">
      <alignment vertical="center"/>
    </xf>
    <xf numFmtId="0" fontId="0" fillId="4" borderId="11" xfId="0" applyFill="1" applyBorder="1" applyAlignment="1">
      <alignment vertical="center"/>
    </xf>
    <xf numFmtId="0" fontId="0" fillId="4" borderId="7" xfId="0" applyFill="1" applyBorder="1" applyAlignment="1">
      <alignment vertical="center"/>
    </xf>
    <xf numFmtId="164" fontId="0" fillId="4" borderId="1" xfId="0" applyNumberFormat="1" applyFill="1" applyBorder="1" applyAlignment="1">
      <alignment vertical="center"/>
    </xf>
    <xf numFmtId="164" fontId="0" fillId="4" borderId="7" xfId="0" applyNumberFormat="1" applyFill="1" applyBorder="1" applyAlignment="1">
      <alignment vertical="center"/>
    </xf>
    <xf numFmtId="164" fontId="0" fillId="4" borderId="17" xfId="0" applyNumberFormat="1" applyFill="1" applyBorder="1" applyAlignment="1">
      <alignment vertical="center"/>
    </xf>
    <xf numFmtId="0" fontId="2" fillId="2" borderId="20" xfId="0" applyFont="1" applyFill="1" applyBorder="1" applyAlignment="1">
      <alignment vertical="center"/>
    </xf>
    <xf numFmtId="0" fontId="0" fillId="4" borderId="22" xfId="0" applyFill="1" applyBorder="1" applyAlignment="1">
      <alignment vertical="center"/>
    </xf>
    <xf numFmtId="164" fontId="0" fillId="4" borderId="23" xfId="0" applyNumberFormat="1" applyFill="1" applyBorder="1" applyAlignment="1">
      <alignment vertical="center"/>
    </xf>
    <xf numFmtId="164" fontId="0" fillId="4" borderId="24" xfId="0" applyNumberFormat="1" applyFill="1" applyBorder="1" applyAlignment="1">
      <alignment vertical="center"/>
    </xf>
    <xf numFmtId="164" fontId="0" fillId="4" borderId="22" xfId="0" applyNumberFormat="1" applyFill="1" applyBorder="1" applyAlignment="1">
      <alignment vertical="center"/>
    </xf>
    <xf numFmtId="0" fontId="0" fillId="4" borderId="25" xfId="0" applyFill="1" applyBorder="1" applyAlignment="1">
      <alignment vertical="center"/>
    </xf>
    <xf numFmtId="164" fontId="0" fillId="4" borderId="26" xfId="0" applyNumberFormat="1" applyFill="1" applyBorder="1" applyAlignment="1">
      <alignment vertical="center"/>
    </xf>
    <xf numFmtId="164" fontId="0" fillId="4" borderId="27" xfId="0" applyNumberFormat="1" applyFill="1" applyBorder="1" applyAlignment="1">
      <alignment vertical="center"/>
    </xf>
    <xf numFmtId="164" fontId="0" fillId="4" borderId="25" xfId="0" applyNumberFormat="1" applyFill="1" applyBorder="1" applyAlignment="1">
      <alignment vertical="center"/>
    </xf>
    <xf numFmtId="0" fontId="0" fillId="4" borderId="20" xfId="0" applyFill="1" applyBorder="1" applyAlignment="1">
      <alignment vertical="center"/>
    </xf>
    <xf numFmtId="164" fontId="0" fillId="4" borderId="13" xfId="0" applyNumberFormat="1" applyFill="1" applyBorder="1" applyAlignment="1">
      <alignment vertical="center"/>
    </xf>
    <xf numFmtId="164" fontId="0" fillId="4" borderId="2" xfId="0" applyNumberFormat="1" applyFill="1" applyBorder="1" applyAlignment="1">
      <alignment vertical="center"/>
    </xf>
    <xf numFmtId="164" fontId="0" fillId="4" borderId="20" xfId="0" applyNumberFormat="1" applyFill="1" applyBorder="1" applyAlignment="1">
      <alignment vertical="center"/>
    </xf>
    <xf numFmtId="0" fontId="2" fillId="5" borderId="19" xfId="0" applyFont="1" applyFill="1" applyBorder="1"/>
    <xf numFmtId="0" fontId="2" fillId="5" borderId="17" xfId="0" applyFont="1" applyFill="1" applyBorder="1"/>
    <xf numFmtId="164" fontId="0" fillId="4" borderId="5" xfId="0" applyNumberFormat="1" applyFill="1" applyBorder="1"/>
    <xf numFmtId="164" fontId="0" fillId="4" borderId="7" xfId="0" applyNumberFormat="1" applyFill="1" applyBorder="1"/>
    <xf numFmtId="0" fontId="0" fillId="4" borderId="7" xfId="0" applyFill="1" applyBorder="1"/>
    <xf numFmtId="0" fontId="0" fillId="4" borderId="10" xfId="0" applyFill="1" applyBorder="1"/>
    <xf numFmtId="164" fontId="0" fillId="4" borderId="10" xfId="0" applyNumberFormat="1" applyFill="1" applyBorder="1"/>
    <xf numFmtId="0" fontId="2" fillId="5" borderId="19" xfId="0" applyFont="1" applyFill="1" applyBorder="1" applyAlignment="1">
      <alignment horizontal="center"/>
    </xf>
    <xf numFmtId="164" fontId="0" fillId="4" borderId="20" xfId="0" applyNumberFormat="1" applyFill="1" applyBorder="1"/>
    <xf numFmtId="164" fontId="3" fillId="3" borderId="32" xfId="0" applyNumberFormat="1" applyFont="1" applyFill="1" applyBorder="1"/>
    <xf numFmtId="0" fontId="2" fillId="5" borderId="16" xfId="0" applyFont="1" applyFill="1" applyBorder="1" applyAlignment="1">
      <alignment horizontal="center"/>
    </xf>
    <xf numFmtId="0" fontId="2" fillId="5" borderId="17" xfId="0" applyFont="1" applyFill="1" applyBorder="1" applyAlignment="1">
      <alignment horizontal="center"/>
    </xf>
    <xf numFmtId="0" fontId="2" fillId="5" borderId="13" xfId="0" applyFont="1" applyFill="1" applyBorder="1" applyAlignment="1">
      <alignment horizontal="center"/>
    </xf>
    <xf numFmtId="0" fontId="2" fillId="5" borderId="30" xfId="0" applyFont="1" applyFill="1" applyBorder="1" applyAlignment="1">
      <alignment horizontal="center"/>
    </xf>
    <xf numFmtId="3" fontId="3" fillId="3" borderId="31" xfId="0" applyNumberFormat="1" applyFont="1" applyFill="1" applyBorder="1"/>
    <xf numFmtId="0" fontId="2" fillId="5" borderId="12" xfId="0" applyFont="1" applyFill="1" applyBorder="1" applyAlignment="1">
      <alignment horizontal="center"/>
    </xf>
    <xf numFmtId="164" fontId="0" fillId="4" borderId="11" xfId="0" applyNumberFormat="1" applyFill="1" applyBorder="1"/>
    <xf numFmtId="0" fontId="0" fillId="4" borderId="35" xfId="0" applyFill="1" applyBorder="1" applyAlignment="1">
      <alignment vertical="center"/>
    </xf>
    <xf numFmtId="164" fontId="0" fillId="4" borderId="6" xfId="0" applyNumberFormat="1" applyFill="1" applyBorder="1" applyAlignment="1">
      <alignment vertical="center"/>
    </xf>
    <xf numFmtId="164" fontId="0" fillId="4" borderId="34" xfId="0" applyNumberFormat="1" applyFill="1" applyBorder="1" applyAlignment="1">
      <alignment vertical="center"/>
    </xf>
    <xf numFmtId="164" fontId="0" fillId="4" borderId="35" xfId="0" applyNumberFormat="1" applyFill="1" applyBorder="1" applyAlignment="1">
      <alignment vertical="center"/>
    </xf>
    <xf numFmtId="9" fontId="0" fillId="4" borderId="9" xfId="2" applyFont="1" applyFill="1" applyBorder="1"/>
    <xf numFmtId="3" fontId="0" fillId="4" borderId="28" xfId="2" applyNumberFormat="1" applyFont="1" applyFill="1" applyBorder="1"/>
    <xf numFmtId="3" fontId="0" fillId="4" borderId="29" xfId="2" applyNumberFormat="1" applyFont="1" applyFill="1" applyBorder="1"/>
    <xf numFmtId="0" fontId="0" fillId="7" borderId="35" xfId="0" applyFill="1" applyBorder="1" applyAlignment="1">
      <alignment vertical="center"/>
    </xf>
    <xf numFmtId="164" fontId="0" fillId="7" borderId="6" xfId="0" applyNumberFormat="1" applyFill="1" applyBorder="1" applyAlignment="1">
      <alignment vertical="center"/>
    </xf>
    <xf numFmtId="164" fontId="0" fillId="7" borderId="34" xfId="0" applyNumberFormat="1" applyFill="1" applyBorder="1" applyAlignment="1">
      <alignment vertical="center"/>
    </xf>
    <xf numFmtId="164" fontId="0" fillId="7" borderId="35" xfId="0" applyNumberFormat="1" applyFill="1" applyBorder="1" applyAlignment="1">
      <alignment vertical="center"/>
    </xf>
    <xf numFmtId="0" fontId="0" fillId="7" borderId="25" xfId="0" applyFill="1" applyBorder="1" applyAlignment="1">
      <alignment vertical="center"/>
    </xf>
    <xf numFmtId="164" fontId="0" fillId="7" borderId="26" xfId="0" applyNumberFormat="1" applyFill="1" applyBorder="1" applyAlignment="1">
      <alignment vertical="center"/>
    </xf>
    <xf numFmtId="164" fontId="0" fillId="7" borderId="27" xfId="0" applyNumberFormat="1" applyFill="1" applyBorder="1" applyAlignment="1">
      <alignment vertical="center"/>
    </xf>
    <xf numFmtId="164" fontId="0" fillId="7" borderId="25" xfId="0" applyNumberFormat="1" applyFill="1" applyBorder="1" applyAlignment="1">
      <alignment vertical="center"/>
    </xf>
    <xf numFmtId="3" fontId="0" fillId="4" borderId="3" xfId="0" applyNumberFormat="1" applyFill="1" applyBorder="1" applyProtection="1">
      <protection locked="0"/>
    </xf>
    <xf numFmtId="3" fontId="0" fillId="4" borderId="1" xfId="0" applyNumberFormat="1" applyFill="1" applyBorder="1" applyProtection="1">
      <protection locked="0"/>
    </xf>
    <xf numFmtId="3" fontId="0" fillId="4" borderId="2" xfId="0" applyNumberFormat="1" applyFill="1" applyBorder="1" applyProtection="1">
      <protection locked="0"/>
    </xf>
    <xf numFmtId="165" fontId="0" fillId="4" borderId="1" xfId="0" applyNumberFormat="1" applyFill="1" applyBorder="1" applyProtection="1">
      <protection locked="0"/>
    </xf>
    <xf numFmtId="9" fontId="0" fillId="4" borderId="4" xfId="2" applyFont="1" applyFill="1" applyBorder="1" applyProtection="1">
      <protection locked="0"/>
    </xf>
    <xf numFmtId="0" fontId="2" fillId="2" borderId="21" xfId="0" applyFont="1" applyFill="1" applyBorder="1" applyAlignment="1" applyProtection="1">
      <alignment horizontal="center" vertical="center"/>
      <protection locked="0"/>
    </xf>
    <xf numFmtId="0" fontId="2" fillId="2" borderId="2" xfId="0" applyFont="1" applyFill="1" applyBorder="1" applyAlignment="1" applyProtection="1">
      <alignment horizontal="center" vertical="center"/>
      <protection locked="0"/>
    </xf>
    <xf numFmtId="0" fontId="2" fillId="2" borderId="20" xfId="0" applyFont="1" applyFill="1" applyBorder="1" applyAlignment="1" applyProtection="1">
      <alignment horizontal="center" vertical="center"/>
      <protection locked="0"/>
    </xf>
    <xf numFmtId="0" fontId="1" fillId="2" borderId="21" xfId="1" applyFill="1" applyBorder="1" applyAlignment="1" applyProtection="1">
      <alignment vertical="center"/>
      <protection locked="0"/>
    </xf>
    <xf numFmtId="0" fontId="4" fillId="2" borderId="2" xfId="0" applyFont="1" applyFill="1" applyBorder="1" applyAlignment="1" applyProtection="1">
      <alignment vertical="center"/>
      <protection locked="0"/>
    </xf>
    <xf numFmtId="0" fontId="1" fillId="2" borderId="2" xfId="1" applyFill="1" applyBorder="1" applyAlignment="1" applyProtection="1">
      <alignment vertical="center"/>
      <protection locked="0"/>
    </xf>
    <xf numFmtId="0" fontId="4" fillId="2" borderId="20" xfId="0" applyFont="1" applyFill="1" applyBorder="1" applyAlignment="1" applyProtection="1">
      <alignment vertical="center"/>
      <protection locked="0"/>
    </xf>
    <xf numFmtId="0" fontId="0" fillId="4" borderId="16" xfId="0" applyFill="1" applyBorder="1" applyAlignment="1" applyProtection="1">
      <alignment vertical="center"/>
      <protection locked="0"/>
    </xf>
    <xf numFmtId="0" fontId="0" fillId="4" borderId="4" xfId="0" applyFill="1" applyBorder="1" applyAlignment="1" applyProtection="1">
      <alignment vertical="center"/>
      <protection locked="0"/>
    </xf>
    <xf numFmtId="0" fontId="0" fillId="4" borderId="5" xfId="0" applyFill="1" applyBorder="1" applyAlignment="1" applyProtection="1">
      <alignment vertical="center"/>
      <protection locked="0"/>
    </xf>
    <xf numFmtId="0" fontId="0" fillId="4" borderId="17" xfId="0" applyFill="1" applyBorder="1" applyAlignment="1" applyProtection="1">
      <alignment vertical="center"/>
      <protection locked="0"/>
    </xf>
    <xf numFmtId="0" fontId="0" fillId="4" borderId="1" xfId="0" applyFill="1" applyBorder="1" applyAlignment="1" applyProtection="1">
      <alignment vertical="center"/>
      <protection locked="0"/>
    </xf>
    <xf numFmtId="0" fontId="0" fillId="4" borderId="7" xfId="0" applyFill="1" applyBorder="1" applyAlignment="1" applyProtection="1">
      <alignment vertical="center"/>
      <protection locked="0"/>
    </xf>
    <xf numFmtId="164" fontId="0" fillId="4" borderId="17" xfId="0" applyNumberFormat="1" applyFill="1" applyBorder="1" applyAlignment="1" applyProtection="1">
      <alignment vertical="center"/>
      <protection locked="0"/>
    </xf>
    <xf numFmtId="164" fontId="0" fillId="4" borderId="1" xfId="0" applyNumberFormat="1" applyFill="1" applyBorder="1" applyAlignment="1" applyProtection="1">
      <alignment vertical="center"/>
      <protection locked="0"/>
    </xf>
    <xf numFmtId="164" fontId="0" fillId="4" borderId="7" xfId="0" applyNumberFormat="1" applyFill="1" applyBorder="1" applyAlignment="1" applyProtection="1">
      <alignment vertical="center"/>
      <protection locked="0"/>
    </xf>
    <xf numFmtId="3" fontId="0" fillId="4" borderId="17" xfId="0" applyNumberFormat="1" applyFill="1" applyBorder="1" applyAlignment="1" applyProtection="1">
      <alignment vertical="center"/>
      <protection locked="0"/>
    </xf>
    <xf numFmtId="3" fontId="0" fillId="4" borderId="1" xfId="0" applyNumberFormat="1" applyFill="1" applyBorder="1" applyAlignment="1" applyProtection="1">
      <alignment vertical="center"/>
      <protection locked="0"/>
    </xf>
    <xf numFmtId="3" fontId="0" fillId="4" borderId="7" xfId="0" applyNumberFormat="1" applyFill="1" applyBorder="1" applyAlignment="1" applyProtection="1">
      <alignment vertical="center"/>
      <protection locked="0"/>
    </xf>
    <xf numFmtId="0" fontId="2" fillId="2" borderId="15"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0" fontId="0" fillId="0" borderId="0" xfId="0" applyAlignment="1">
      <alignment vertical="center"/>
    </xf>
    <xf numFmtId="4" fontId="0" fillId="4" borderId="4" xfId="0" applyNumberFormat="1" applyFill="1" applyBorder="1" applyProtection="1">
      <protection locked="0"/>
    </xf>
    <xf numFmtId="0" fontId="0" fillId="7" borderId="11" xfId="0" applyFill="1" applyBorder="1" applyAlignment="1">
      <alignment vertical="center"/>
    </xf>
    <xf numFmtId="164" fontId="0" fillId="7" borderId="12" xfId="0" applyNumberFormat="1" applyFill="1" applyBorder="1" applyAlignment="1">
      <alignment vertical="center"/>
    </xf>
    <xf numFmtId="164" fontId="0" fillId="7" borderId="3" xfId="0" applyNumberFormat="1" applyFill="1" applyBorder="1" applyAlignment="1">
      <alignment vertical="center"/>
    </xf>
    <xf numFmtId="164" fontId="0" fillId="7" borderId="11" xfId="0" applyNumberFormat="1" applyFill="1" applyBorder="1" applyAlignment="1">
      <alignment vertical="center"/>
    </xf>
    <xf numFmtId="3" fontId="0" fillId="4" borderId="26" xfId="0" applyNumberFormat="1" applyFill="1" applyBorder="1" applyAlignment="1">
      <alignment vertical="center"/>
    </xf>
    <xf numFmtId="3" fontId="0" fillId="4" borderId="27" xfId="0" applyNumberFormat="1" applyFill="1" applyBorder="1" applyAlignment="1">
      <alignment vertical="center"/>
    </xf>
    <xf numFmtId="3" fontId="0" fillId="4" borderId="25" xfId="0" applyNumberFormat="1" applyFill="1" applyBorder="1" applyAlignment="1">
      <alignment vertical="center"/>
    </xf>
    <xf numFmtId="164" fontId="0" fillId="4" borderId="12" xfId="0" applyNumberFormat="1" applyFill="1" applyBorder="1" applyAlignment="1">
      <alignment vertical="center"/>
    </xf>
    <xf numFmtId="164" fontId="0" fillId="4" borderId="3" xfId="0" applyNumberFormat="1" applyFill="1" applyBorder="1" applyAlignment="1">
      <alignment vertical="center"/>
    </xf>
    <xf numFmtId="164" fontId="0" fillId="4" borderId="11" xfId="0" applyNumberFormat="1" applyFill="1" applyBorder="1" applyAlignment="1">
      <alignment vertical="center"/>
    </xf>
    <xf numFmtId="164" fontId="0" fillId="4" borderId="23" xfId="0" applyNumberFormat="1" applyFill="1" applyBorder="1" applyAlignment="1" applyProtection="1">
      <alignment vertical="center"/>
      <protection locked="0"/>
    </xf>
    <xf numFmtId="164" fontId="0" fillId="4" borderId="24" xfId="0" applyNumberFormat="1" applyFill="1" applyBorder="1" applyAlignment="1" applyProtection="1">
      <alignment vertical="center"/>
      <protection locked="0"/>
    </xf>
    <xf numFmtId="164" fontId="0" fillId="4" borderId="22" xfId="0" applyNumberFormat="1" applyFill="1" applyBorder="1" applyAlignment="1" applyProtection="1">
      <alignment vertical="center"/>
      <protection locked="0"/>
    </xf>
    <xf numFmtId="0" fontId="0" fillId="0" borderId="0" xfId="0" applyAlignment="1">
      <alignment horizontal="center"/>
    </xf>
    <xf numFmtId="164" fontId="0" fillId="8" borderId="1" xfId="0" applyNumberFormat="1" applyFill="1" applyBorder="1"/>
    <xf numFmtId="3" fontId="0" fillId="9" borderId="1" xfId="0" applyNumberFormat="1" applyFill="1" applyBorder="1"/>
    <xf numFmtId="9" fontId="0" fillId="11" borderId="1" xfId="2" applyFont="1" applyFill="1" applyBorder="1"/>
    <xf numFmtId="164" fontId="0" fillId="11" borderId="1" xfId="2" applyNumberFormat="1" applyFont="1" applyFill="1" applyBorder="1"/>
    <xf numFmtId="9" fontId="0" fillId="12" borderId="1" xfId="2" applyFont="1" applyFill="1" applyBorder="1"/>
    <xf numFmtId="164" fontId="0" fillId="12" borderId="1" xfId="2" applyNumberFormat="1" applyFont="1" applyFill="1" applyBorder="1"/>
    <xf numFmtId="0" fontId="2" fillId="13" borderId="1" xfId="0" applyFont="1" applyFill="1" applyBorder="1" applyAlignment="1">
      <alignment horizontal="center"/>
    </xf>
    <xf numFmtId="0" fontId="2" fillId="14" borderId="1" xfId="0" applyFont="1" applyFill="1" applyBorder="1" applyAlignment="1">
      <alignment horizontal="center"/>
    </xf>
    <xf numFmtId="0" fontId="2" fillId="15" borderId="1" xfId="0" applyFont="1" applyFill="1" applyBorder="1" applyAlignment="1">
      <alignment horizontal="center"/>
    </xf>
    <xf numFmtId="3" fontId="0" fillId="0" borderId="0" xfId="0" applyNumberFormat="1" applyAlignment="1">
      <alignment vertical="center"/>
    </xf>
    <xf numFmtId="0" fontId="2" fillId="10" borderId="1" xfId="0" applyFont="1" applyFill="1" applyBorder="1" applyAlignment="1">
      <alignment horizontal="center"/>
    </xf>
    <xf numFmtId="0" fontId="2" fillId="6" borderId="30" xfId="0" applyFont="1" applyFill="1" applyBorder="1" applyAlignment="1">
      <alignment horizontal="center"/>
    </xf>
    <xf numFmtId="0" fontId="2" fillId="6" borderId="31" xfId="0" applyFont="1" applyFill="1" applyBorder="1" applyAlignment="1">
      <alignment horizontal="center"/>
    </xf>
    <xf numFmtId="0" fontId="2" fillId="6" borderId="32" xfId="0" applyFont="1" applyFill="1" applyBorder="1" applyAlignment="1">
      <alignment horizontal="center"/>
    </xf>
    <xf numFmtId="0" fontId="1" fillId="4" borderId="3" xfId="1" applyFill="1" applyBorder="1"/>
    <xf numFmtId="0" fontId="0" fillId="4" borderId="11" xfId="0" applyFill="1" applyBorder="1"/>
    <xf numFmtId="0" fontId="1" fillId="4" borderId="1" xfId="1" applyFill="1" applyBorder="1"/>
    <xf numFmtId="0" fontId="0" fillId="4" borderId="9" xfId="0" applyFill="1" applyBorder="1"/>
    <xf numFmtId="0" fontId="2" fillId="5" borderId="12" xfId="0" applyFont="1" applyFill="1" applyBorder="1"/>
    <xf numFmtId="0" fontId="2" fillId="5" borderId="13" xfId="0" applyFont="1" applyFill="1" applyBorder="1"/>
    <xf numFmtId="0" fontId="1" fillId="4" borderId="2" xfId="1" applyFill="1" applyBorder="1"/>
    <xf numFmtId="0" fontId="0" fillId="4" borderId="20" xfId="0" applyFill="1" applyBorder="1"/>
    <xf numFmtId="0" fontId="0" fillId="3" borderId="7" xfId="0" applyFill="1" applyBorder="1" applyAlignment="1">
      <alignment vertical="center"/>
    </xf>
    <xf numFmtId="0" fontId="0" fillId="3" borderId="17" xfId="0" applyFill="1" applyBorder="1" applyAlignment="1" applyProtection="1">
      <alignment vertical="center"/>
      <protection locked="0"/>
    </xf>
    <xf numFmtId="0" fontId="0" fillId="3" borderId="1" xfId="0" applyFill="1" applyBorder="1" applyAlignment="1" applyProtection="1">
      <alignment vertical="center"/>
      <protection locked="0"/>
    </xf>
    <xf numFmtId="0" fontId="0" fillId="3" borderId="7" xfId="0" applyFill="1" applyBorder="1" applyAlignment="1" applyProtection="1">
      <alignment vertical="center"/>
      <protection locked="0"/>
    </xf>
    <xf numFmtId="3" fontId="0" fillId="3" borderId="17" xfId="0" applyNumberFormat="1" applyFill="1" applyBorder="1" applyAlignment="1" applyProtection="1">
      <alignment vertical="center"/>
      <protection locked="0"/>
    </xf>
    <xf numFmtId="3" fontId="0" fillId="3" borderId="1" xfId="0" applyNumberFormat="1" applyFill="1" applyBorder="1" applyAlignment="1" applyProtection="1">
      <alignment vertical="center"/>
      <protection locked="0"/>
    </xf>
    <xf numFmtId="3" fontId="0" fillId="3" borderId="7" xfId="0" applyNumberFormat="1" applyFill="1" applyBorder="1" applyAlignment="1" applyProtection="1">
      <alignment vertical="center"/>
      <protection locked="0"/>
    </xf>
    <xf numFmtId="3" fontId="0" fillId="3" borderId="14" xfId="0" applyNumberFormat="1" applyFill="1" applyBorder="1" applyAlignment="1" applyProtection="1">
      <alignment vertical="center"/>
      <protection locked="0"/>
    </xf>
    <xf numFmtId="3" fontId="0" fillId="3" borderId="18" xfId="0" applyNumberFormat="1" applyFill="1" applyBorder="1" applyAlignment="1" applyProtection="1">
      <alignment vertical="center"/>
      <protection locked="0"/>
    </xf>
    <xf numFmtId="0" fontId="3" fillId="3" borderId="6" xfId="0" applyFont="1" applyFill="1" applyBorder="1" applyAlignment="1">
      <alignment horizontal="center" vertical="center"/>
    </xf>
    <xf numFmtId="14" fontId="0" fillId="3" borderId="17" xfId="0" applyNumberFormat="1" applyFill="1" applyBorder="1" applyAlignment="1" applyProtection="1">
      <alignment vertical="center"/>
      <protection locked="0"/>
    </xf>
    <xf numFmtId="14" fontId="0" fillId="3" borderId="1" xfId="0" applyNumberFormat="1" applyFill="1" applyBorder="1" applyAlignment="1" applyProtection="1">
      <alignment vertical="center"/>
      <protection locked="0"/>
    </xf>
    <xf numFmtId="14" fontId="0" fillId="3" borderId="7" xfId="0" applyNumberFormat="1" applyFill="1" applyBorder="1" applyAlignment="1" applyProtection="1">
      <alignment vertical="center"/>
      <protection locked="0"/>
    </xf>
    <xf numFmtId="0" fontId="0" fillId="3" borderId="10" xfId="0" applyFill="1" applyBorder="1" applyAlignment="1">
      <alignment vertical="center"/>
    </xf>
    <xf numFmtId="0" fontId="0" fillId="3" borderId="19" xfId="0" applyFill="1" applyBorder="1" applyAlignment="1" applyProtection="1">
      <alignment vertical="center"/>
      <protection locked="0"/>
    </xf>
    <xf numFmtId="0" fontId="0" fillId="3" borderId="9" xfId="0" applyFill="1" applyBorder="1" applyAlignment="1" applyProtection="1">
      <alignment vertical="center"/>
      <protection locked="0"/>
    </xf>
    <xf numFmtId="0" fontId="0" fillId="3" borderId="10" xfId="0" applyFill="1" applyBorder="1" applyAlignment="1" applyProtection="1">
      <alignment vertical="center"/>
      <protection locked="0"/>
    </xf>
    <xf numFmtId="1" fontId="0" fillId="4" borderId="17" xfId="0" applyNumberFormat="1" applyFill="1" applyBorder="1" applyAlignment="1" applyProtection="1">
      <alignment vertical="center"/>
      <protection locked="0"/>
    </xf>
    <xf numFmtId="1" fontId="0" fillId="4" borderId="1" xfId="0" applyNumberFormat="1" applyFill="1" applyBorder="1" applyAlignment="1" applyProtection="1">
      <alignment vertical="center"/>
      <protection locked="0"/>
    </xf>
    <xf numFmtId="1" fontId="0" fillId="4" borderId="7" xfId="0" applyNumberFormat="1" applyFill="1" applyBorder="1" applyAlignment="1" applyProtection="1">
      <alignment vertical="center"/>
      <protection locked="0"/>
    </xf>
    <xf numFmtId="0" fontId="1" fillId="2" borderId="0" xfId="1" applyFill="1" applyBorder="1" applyAlignment="1" applyProtection="1">
      <alignment vertical="center"/>
      <protection locked="0"/>
    </xf>
    <xf numFmtId="0" fontId="1" fillId="2" borderId="0" xfId="1" applyFill="1" applyBorder="1" applyProtection="1">
      <protection locked="0"/>
    </xf>
    <xf numFmtId="0" fontId="2" fillId="2" borderId="5" xfId="0" applyFont="1" applyFill="1" applyBorder="1" applyAlignment="1">
      <alignment vertical="center"/>
    </xf>
    <xf numFmtId="0" fontId="2" fillId="2" borderId="37" xfId="0" applyFont="1" applyFill="1" applyBorder="1" applyAlignment="1" applyProtection="1">
      <alignment horizontal="center" vertical="center"/>
      <protection locked="0"/>
    </xf>
    <xf numFmtId="0" fontId="2" fillId="2" borderId="4" xfId="0" applyFont="1" applyFill="1" applyBorder="1" applyAlignment="1" applyProtection="1">
      <alignment horizontal="center" vertical="center"/>
      <protection locked="0"/>
    </xf>
    <xf numFmtId="0" fontId="2" fillId="2" borderId="4" xfId="0" applyFont="1" applyFill="1" applyBorder="1" applyAlignment="1" applyProtection="1">
      <alignment horizontal="center" vertical="center" wrapText="1"/>
      <protection locked="0"/>
    </xf>
    <xf numFmtId="0" fontId="2" fillId="2" borderId="5" xfId="0" applyFont="1" applyFill="1" applyBorder="1" applyAlignment="1" applyProtection="1">
      <alignment horizontal="center" vertical="center"/>
      <protection locked="0"/>
    </xf>
    <xf numFmtId="0" fontId="0" fillId="4" borderId="37" xfId="0" applyFill="1" applyBorder="1" applyAlignment="1" applyProtection="1">
      <alignment vertical="center"/>
      <protection locked="0"/>
    </xf>
    <xf numFmtId="0" fontId="0" fillId="4" borderId="14" xfId="0" applyFill="1" applyBorder="1" applyAlignment="1" applyProtection="1">
      <alignment vertical="center"/>
      <protection locked="0"/>
    </xf>
    <xf numFmtId="0" fontId="0" fillId="3" borderId="14" xfId="0" applyFill="1" applyBorder="1" applyAlignment="1" applyProtection="1">
      <alignment vertical="center"/>
      <protection locked="0"/>
    </xf>
    <xf numFmtId="164" fontId="0" fillId="4" borderId="14" xfId="0" applyNumberFormat="1" applyFill="1" applyBorder="1" applyAlignment="1" applyProtection="1">
      <alignment vertical="center"/>
      <protection locked="0"/>
    </xf>
    <xf numFmtId="3" fontId="0" fillId="4" borderId="14" xfId="0" applyNumberFormat="1" applyFill="1" applyBorder="1" applyAlignment="1" applyProtection="1">
      <alignment vertical="center"/>
      <protection locked="0"/>
    </xf>
    <xf numFmtId="1" fontId="0" fillId="4" borderId="14" xfId="0" applyNumberFormat="1" applyFill="1" applyBorder="1" applyAlignment="1" applyProtection="1">
      <alignment vertical="center"/>
      <protection locked="0"/>
    </xf>
    <xf numFmtId="164" fontId="0" fillId="4" borderId="21" xfId="0" applyNumberFormat="1" applyFill="1" applyBorder="1" applyAlignment="1">
      <alignment vertical="center"/>
    </xf>
    <xf numFmtId="164" fontId="0" fillId="4" borderId="38" xfId="0" applyNumberFormat="1" applyFill="1" applyBorder="1" applyAlignment="1">
      <alignment vertical="center"/>
    </xf>
    <xf numFmtId="3" fontId="0" fillId="4" borderId="39" xfId="0" applyNumberFormat="1" applyFill="1" applyBorder="1" applyAlignment="1">
      <alignment vertical="center"/>
    </xf>
    <xf numFmtId="164" fontId="0" fillId="4" borderId="38" xfId="0" applyNumberFormat="1" applyFill="1" applyBorder="1" applyAlignment="1" applyProtection="1">
      <alignment vertical="center"/>
      <protection locked="0"/>
    </xf>
    <xf numFmtId="164" fontId="0" fillId="4" borderId="40" xfId="0" applyNumberFormat="1" applyFill="1" applyBorder="1" applyAlignment="1">
      <alignment vertical="center"/>
    </xf>
    <xf numFmtId="164" fontId="0" fillId="7" borderId="41" xfId="0" applyNumberFormat="1" applyFill="1" applyBorder="1" applyAlignment="1">
      <alignment vertical="center"/>
    </xf>
    <xf numFmtId="164" fontId="0" fillId="4" borderId="39" xfId="0" applyNumberFormat="1" applyFill="1" applyBorder="1" applyAlignment="1">
      <alignment vertical="center"/>
    </xf>
    <xf numFmtId="164" fontId="0" fillId="4" borderId="14" xfId="0" applyNumberFormat="1" applyFill="1" applyBorder="1" applyAlignment="1">
      <alignment vertical="center"/>
    </xf>
    <xf numFmtId="164" fontId="0" fillId="4" borderId="41" xfId="0" applyNumberFormat="1" applyFill="1" applyBorder="1" applyAlignment="1">
      <alignment vertical="center"/>
    </xf>
    <xf numFmtId="164" fontId="0" fillId="7" borderId="39" xfId="0" applyNumberFormat="1" applyFill="1" applyBorder="1" applyAlignment="1">
      <alignment vertical="center"/>
    </xf>
    <xf numFmtId="164" fontId="0" fillId="7" borderId="40" xfId="0" applyNumberFormat="1" applyFill="1" applyBorder="1" applyAlignment="1">
      <alignment vertical="center"/>
    </xf>
    <xf numFmtId="14" fontId="0" fillId="3" borderId="14" xfId="0" applyNumberFormat="1" applyFill="1" applyBorder="1" applyAlignment="1" applyProtection="1">
      <alignment vertical="center"/>
      <protection locked="0"/>
    </xf>
    <xf numFmtId="0" fontId="0" fillId="3" borderId="15" xfId="0" applyFill="1" applyBorder="1" applyAlignment="1" applyProtection="1">
      <alignment vertical="center"/>
      <protection locked="0"/>
    </xf>
    <xf numFmtId="0" fontId="2" fillId="2" borderId="16" xfId="0" applyFont="1" applyFill="1" applyBorder="1" applyAlignment="1" applyProtection="1">
      <alignment horizontal="center" vertical="center" wrapText="1"/>
      <protection locked="0"/>
    </xf>
    <xf numFmtId="0" fontId="2" fillId="2" borderId="13" xfId="0" applyFont="1" applyFill="1" applyBorder="1" applyAlignment="1" applyProtection="1">
      <alignment horizontal="center" vertical="center"/>
      <protection locked="0"/>
    </xf>
    <xf numFmtId="0" fontId="2" fillId="2" borderId="19" xfId="0" applyFont="1" applyFill="1" applyBorder="1" applyAlignment="1" applyProtection="1">
      <alignment horizontal="center" vertical="center"/>
      <protection locked="0"/>
    </xf>
    <xf numFmtId="0" fontId="2" fillId="2" borderId="37" xfId="0" applyFont="1" applyFill="1" applyBorder="1" applyAlignment="1" applyProtection="1">
      <alignment horizontal="center" vertical="center" wrapText="1"/>
      <protection locked="0"/>
    </xf>
    <xf numFmtId="0" fontId="1" fillId="2" borderId="13" xfId="1" applyFill="1" applyBorder="1" applyAlignment="1" applyProtection="1">
      <alignment vertical="center"/>
      <protection locked="0"/>
    </xf>
    <xf numFmtId="0" fontId="2" fillId="5" borderId="8" xfId="0" applyFont="1" applyFill="1" applyBorder="1" applyAlignment="1">
      <alignment horizontal="center"/>
    </xf>
    <xf numFmtId="4" fontId="0" fillId="4" borderId="42" xfId="0" applyNumberFormat="1" applyFill="1" applyBorder="1" applyProtection="1">
      <protection locked="0"/>
    </xf>
    <xf numFmtId="164" fontId="0" fillId="4" borderId="43" xfId="0" applyNumberFormat="1" applyFill="1" applyBorder="1"/>
    <xf numFmtId="4" fontId="0" fillId="4" borderId="1" xfId="0" applyNumberFormat="1" applyFill="1" applyBorder="1" applyProtection="1">
      <protection locked="0"/>
    </xf>
    <xf numFmtId="0" fontId="1" fillId="0" borderId="0" xfId="1"/>
    <xf numFmtId="0" fontId="2" fillId="10" borderId="44" xfId="0" applyFont="1" applyFill="1" applyBorder="1" applyAlignment="1">
      <alignment horizontal="center"/>
    </xf>
    <xf numFmtId="3" fontId="0" fillId="9" borderId="46" xfId="0" applyNumberFormat="1" applyFill="1" applyBorder="1"/>
    <xf numFmtId="3" fontId="0" fillId="9" borderId="47" xfId="0" applyNumberFormat="1" applyFill="1" applyBorder="1"/>
    <xf numFmtId="3" fontId="0" fillId="9" borderId="48" xfId="0" applyNumberFormat="1" applyFill="1" applyBorder="1"/>
    <xf numFmtId="164" fontId="0" fillId="8" borderId="40" xfId="0" applyNumberFormat="1" applyFill="1" applyBorder="1" applyProtection="1">
      <protection locked="0"/>
    </xf>
    <xf numFmtId="164" fontId="0" fillId="12" borderId="3" xfId="2" applyNumberFormat="1" applyFont="1" applyFill="1" applyBorder="1" applyProtection="1">
      <protection locked="0"/>
    </xf>
    <xf numFmtId="164" fontId="0" fillId="11" borderId="11" xfId="2" applyNumberFormat="1" applyFont="1" applyFill="1" applyBorder="1" applyProtection="1">
      <protection locked="0"/>
    </xf>
    <xf numFmtId="164" fontId="0" fillId="8" borderId="14" xfId="0" applyNumberFormat="1" applyFill="1" applyBorder="1" applyProtection="1">
      <protection locked="0"/>
    </xf>
    <xf numFmtId="164" fontId="0" fillId="12" borderId="1" xfId="2" applyNumberFormat="1" applyFont="1" applyFill="1" applyBorder="1" applyProtection="1">
      <protection locked="0"/>
    </xf>
    <xf numFmtId="164" fontId="0" fillId="11" borderId="7" xfId="2" applyNumberFormat="1" applyFont="1" applyFill="1" applyBorder="1" applyProtection="1">
      <protection locked="0"/>
    </xf>
    <xf numFmtId="164" fontId="0" fillId="8" borderId="15" xfId="0" applyNumberFormat="1" applyFill="1" applyBorder="1" applyProtection="1">
      <protection locked="0"/>
    </xf>
    <xf numFmtId="164" fontId="0" fillId="12" borderId="9" xfId="2" applyNumberFormat="1" applyFont="1" applyFill="1" applyBorder="1" applyProtection="1">
      <protection locked="0"/>
    </xf>
    <xf numFmtId="164" fontId="0" fillId="11" borderId="10" xfId="2" applyNumberFormat="1" applyFont="1" applyFill="1" applyBorder="1" applyProtection="1">
      <protection locked="0"/>
    </xf>
    <xf numFmtId="0" fontId="2" fillId="17" borderId="49" xfId="0" applyFont="1" applyFill="1" applyBorder="1" applyAlignment="1">
      <alignment horizontal="center"/>
    </xf>
    <xf numFmtId="164" fontId="0" fillId="16" borderId="50" xfId="0" applyNumberFormat="1" applyFill="1" applyBorder="1"/>
    <xf numFmtId="164" fontId="0" fillId="16" borderId="18" xfId="0" applyNumberFormat="1" applyFill="1" applyBorder="1"/>
    <xf numFmtId="164" fontId="0" fillId="16" borderId="51" xfId="0" applyNumberFormat="1" applyFill="1" applyBorder="1"/>
    <xf numFmtId="0" fontId="3" fillId="0" borderId="0" xfId="0" applyFont="1"/>
    <xf numFmtId="0" fontId="0" fillId="0" borderId="1" xfId="0" applyBorder="1"/>
    <xf numFmtId="164" fontId="0" fillId="0" borderId="1" xfId="0" applyNumberFormat="1" applyBorder="1"/>
    <xf numFmtId="0" fontId="2" fillId="2" borderId="46" xfId="0" applyFont="1" applyFill="1" applyBorder="1" applyAlignment="1">
      <alignment horizontal="center"/>
    </xf>
    <xf numFmtId="0" fontId="2" fillId="2" borderId="47" xfId="0" applyFont="1" applyFill="1" applyBorder="1" applyAlignment="1">
      <alignment horizontal="center"/>
    </xf>
    <xf numFmtId="0" fontId="2" fillId="2" borderId="52" xfId="0" applyFont="1" applyFill="1" applyBorder="1" applyAlignment="1">
      <alignment horizontal="center"/>
    </xf>
    <xf numFmtId="164" fontId="2" fillId="5" borderId="46" xfId="0" applyNumberFormat="1" applyFont="1" applyFill="1" applyBorder="1"/>
    <xf numFmtId="164" fontId="2" fillId="5" borderId="47" xfId="0" applyNumberFormat="1" applyFont="1" applyFill="1" applyBorder="1"/>
    <xf numFmtId="164" fontId="2" fillId="5" borderId="52" xfId="0" applyNumberFormat="1" applyFont="1" applyFill="1" applyBorder="1"/>
    <xf numFmtId="164" fontId="2" fillId="5" borderId="53" xfId="0" applyNumberFormat="1" applyFont="1" applyFill="1" applyBorder="1"/>
    <xf numFmtId="164" fontId="2" fillId="5" borderId="48" xfId="0" applyNumberFormat="1" applyFont="1" applyFill="1" applyBorder="1"/>
    <xf numFmtId="164" fontId="2" fillId="5" borderId="37" xfId="0" applyNumberFormat="1" applyFont="1" applyFill="1" applyBorder="1"/>
    <xf numFmtId="164" fontId="2" fillId="5" borderId="4" xfId="0" applyNumberFormat="1" applyFont="1" applyFill="1" applyBorder="1"/>
    <xf numFmtId="164" fontId="2" fillId="5" borderId="28" xfId="0" applyNumberFormat="1" applyFont="1" applyFill="1" applyBorder="1"/>
    <xf numFmtId="164" fontId="2" fillId="5" borderId="15" xfId="0" applyNumberFormat="1" applyFont="1" applyFill="1" applyBorder="1"/>
    <xf numFmtId="164" fontId="2" fillId="5" borderId="9" xfId="0" applyNumberFormat="1" applyFont="1" applyFill="1" applyBorder="1"/>
    <xf numFmtId="164" fontId="2" fillId="5" borderId="29" xfId="0" applyNumberFormat="1" applyFont="1" applyFill="1" applyBorder="1"/>
    <xf numFmtId="0" fontId="2" fillId="5" borderId="53" xfId="0" applyFont="1" applyFill="1" applyBorder="1" applyAlignment="1">
      <alignment horizontal="center"/>
    </xf>
    <xf numFmtId="0" fontId="2" fillId="5" borderId="48" xfId="0" applyFont="1" applyFill="1" applyBorder="1" applyAlignment="1">
      <alignment horizontal="center"/>
    </xf>
    <xf numFmtId="0" fontId="2" fillId="2" borderId="7" xfId="0" applyFont="1" applyFill="1" applyBorder="1" applyAlignment="1">
      <alignment horizontal="center" vertical="center"/>
    </xf>
    <xf numFmtId="0" fontId="2" fillId="2" borderId="20" xfId="0" applyFont="1" applyFill="1" applyBorder="1" applyAlignment="1">
      <alignment horizontal="center" vertical="center"/>
    </xf>
    <xf numFmtId="164" fontId="0" fillId="4" borderId="40" xfId="0" applyNumberFormat="1" applyFill="1" applyBorder="1"/>
    <xf numFmtId="164" fontId="0" fillId="4" borderId="3" xfId="0" applyNumberFormat="1" applyFill="1" applyBorder="1"/>
    <xf numFmtId="164" fontId="0" fillId="4" borderId="54" xfId="0" applyNumberFormat="1" applyFill="1" applyBorder="1"/>
    <xf numFmtId="164" fontId="0" fillId="4" borderId="14" xfId="0" applyNumberFormat="1" applyFill="1" applyBorder="1"/>
    <xf numFmtId="164" fontId="0" fillId="4" borderId="1" xfId="0" applyNumberFormat="1" applyFill="1" applyBorder="1"/>
    <xf numFmtId="164" fontId="0" fillId="4" borderId="55" xfId="0" applyNumberFormat="1" applyFill="1" applyBorder="1"/>
    <xf numFmtId="164" fontId="0" fillId="4" borderId="21" xfId="0" applyNumberFormat="1" applyFill="1" applyBorder="1"/>
    <xf numFmtId="164" fontId="0" fillId="4" borderId="2" xfId="0" applyNumberFormat="1" applyFill="1" applyBorder="1"/>
    <xf numFmtId="164" fontId="0" fillId="4" borderId="56" xfId="0" applyNumberFormat="1" applyFill="1" applyBorder="1"/>
    <xf numFmtId="0" fontId="2" fillId="2" borderId="14" xfId="0" applyFont="1" applyFill="1" applyBorder="1" applyAlignment="1" applyProtection="1">
      <alignment horizontal="center" vertical="center"/>
      <protection locked="0"/>
    </xf>
    <xf numFmtId="3" fontId="0" fillId="9" borderId="53" xfId="0" applyNumberFormat="1" applyFill="1" applyBorder="1"/>
    <xf numFmtId="164" fontId="0" fillId="8" borderId="37" xfId="0" applyNumberFormat="1" applyFill="1" applyBorder="1" applyProtection="1">
      <protection locked="0"/>
    </xf>
    <xf numFmtId="164" fontId="0" fillId="12" borderId="4" xfId="2" applyNumberFormat="1" applyFont="1" applyFill="1" applyBorder="1" applyProtection="1">
      <protection locked="0"/>
    </xf>
    <xf numFmtId="164" fontId="0" fillId="11" borderId="5" xfId="2" applyNumberFormat="1" applyFont="1" applyFill="1" applyBorder="1" applyProtection="1">
      <protection locked="0"/>
    </xf>
    <xf numFmtId="0" fontId="2" fillId="15" borderId="37" xfId="0" applyFont="1" applyFill="1" applyBorder="1" applyAlignment="1">
      <alignment horizontal="center"/>
    </xf>
    <xf numFmtId="0" fontId="2" fillId="13" borderId="4" xfId="0" applyFont="1" applyFill="1" applyBorder="1" applyAlignment="1">
      <alignment horizontal="center"/>
    </xf>
    <xf numFmtId="0" fontId="2" fillId="14" borderId="5" xfId="0" applyFont="1" applyFill="1" applyBorder="1" applyAlignment="1">
      <alignment horizontal="center"/>
    </xf>
    <xf numFmtId="9" fontId="2" fillId="15" borderId="41" xfId="2" applyFont="1" applyFill="1" applyBorder="1" applyAlignment="1" applyProtection="1">
      <alignment horizontal="center"/>
      <protection locked="0"/>
    </xf>
    <xf numFmtId="9" fontId="2" fillId="13" borderId="34" xfId="2" applyFont="1" applyFill="1" applyBorder="1" applyAlignment="1" applyProtection="1">
      <alignment horizontal="center"/>
      <protection locked="0"/>
    </xf>
    <xf numFmtId="9" fontId="2" fillId="14" borderId="35" xfId="2" applyFont="1" applyFill="1" applyBorder="1" applyAlignment="1" applyProtection="1">
      <alignment horizontal="center"/>
      <protection locked="0"/>
    </xf>
    <xf numFmtId="164" fontId="0" fillId="16" borderId="60" xfId="0" applyNumberFormat="1" applyFill="1" applyBorder="1"/>
    <xf numFmtId="0" fontId="2" fillId="2" borderId="44" xfId="0" applyFont="1" applyFill="1" applyBorder="1" applyAlignment="1">
      <alignment horizontal="center" vertical="center"/>
    </xf>
    <xf numFmtId="0" fontId="2" fillId="2" borderId="45" xfId="0" applyFont="1" applyFill="1" applyBorder="1" applyAlignment="1">
      <alignment horizontal="center" vertical="center"/>
    </xf>
    <xf numFmtId="0" fontId="2" fillId="2" borderId="31" xfId="0" applyFont="1" applyFill="1" applyBorder="1" applyAlignment="1">
      <alignment horizontal="center" vertical="center"/>
    </xf>
    <xf numFmtId="0" fontId="2" fillId="5" borderId="44" xfId="0" applyFont="1" applyFill="1" applyBorder="1" applyAlignment="1">
      <alignment horizontal="center" vertical="center"/>
    </xf>
    <xf numFmtId="0" fontId="2" fillId="2" borderId="31" xfId="0" applyFont="1" applyFill="1" applyBorder="1" applyAlignment="1">
      <alignment horizontal="center" vertical="center" wrapText="1"/>
    </xf>
    <xf numFmtId="0" fontId="2" fillId="2" borderId="33" xfId="0" applyFont="1" applyFill="1" applyBorder="1" applyAlignment="1">
      <alignment horizontal="center" vertical="center" wrapText="1"/>
    </xf>
    <xf numFmtId="167" fontId="0" fillId="0" borderId="1" xfId="0" applyNumberFormat="1" applyBorder="1"/>
    <xf numFmtId="168" fontId="0" fillId="0" borderId="1" xfId="0" applyNumberFormat="1" applyBorder="1"/>
    <xf numFmtId="9" fontId="0" fillId="0" borderId="1" xfId="2" applyFont="1" applyBorder="1"/>
    <xf numFmtId="166" fontId="0" fillId="0" borderId="1" xfId="2" applyNumberFormat="1" applyFont="1" applyBorder="1"/>
    <xf numFmtId="4" fontId="0" fillId="4" borderId="31" xfId="2" applyNumberFormat="1" applyFont="1" applyFill="1" applyBorder="1" applyProtection="1">
      <protection locked="0"/>
    </xf>
    <xf numFmtId="0" fontId="0" fillId="4" borderId="32" xfId="2" applyNumberFormat="1" applyFont="1" applyFill="1" applyBorder="1"/>
    <xf numFmtId="1" fontId="0" fillId="9" borderId="53" xfId="0" applyNumberFormat="1" applyFill="1" applyBorder="1"/>
    <xf numFmtId="1" fontId="0" fillId="9" borderId="46" xfId="0" applyNumberFormat="1" applyFill="1" applyBorder="1"/>
    <xf numFmtId="1" fontId="0" fillId="9" borderId="47" xfId="0" applyNumberFormat="1" applyFill="1" applyBorder="1"/>
    <xf numFmtId="1" fontId="0" fillId="9" borderId="48" xfId="0" applyNumberFormat="1" applyFill="1" applyBorder="1"/>
    <xf numFmtId="167" fontId="0" fillId="16" borderId="60" xfId="0" applyNumberFormat="1" applyFill="1" applyBorder="1" applyProtection="1">
      <protection locked="0"/>
    </xf>
    <xf numFmtId="167" fontId="0" fillId="16" borderId="50" xfId="0" applyNumberFormat="1" applyFill="1" applyBorder="1" applyProtection="1">
      <protection locked="0"/>
    </xf>
    <xf numFmtId="167" fontId="0" fillId="16" borderId="18" xfId="0" applyNumberFormat="1" applyFill="1" applyBorder="1" applyProtection="1">
      <protection locked="0"/>
    </xf>
    <xf numFmtId="167" fontId="0" fillId="16" borderId="51" xfId="0" applyNumberFormat="1" applyFill="1" applyBorder="1" applyProtection="1">
      <protection locked="0"/>
    </xf>
    <xf numFmtId="0" fontId="2" fillId="6" borderId="30" xfId="0" applyFont="1" applyFill="1" applyBorder="1" applyAlignment="1">
      <alignment horizontal="center"/>
    </xf>
    <xf numFmtId="0" fontId="2" fillId="6" borderId="31" xfId="0" applyFont="1" applyFill="1" applyBorder="1" applyAlignment="1">
      <alignment horizontal="center"/>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63" xfId="0" applyFont="1" applyFill="1" applyBorder="1" applyAlignment="1">
      <alignment horizontal="center"/>
    </xf>
    <xf numFmtId="0" fontId="2" fillId="6" borderId="64" xfId="0" applyFont="1" applyFill="1" applyBorder="1" applyAlignment="1">
      <alignment horizontal="center"/>
    </xf>
    <xf numFmtId="0" fontId="2" fillId="6" borderId="49" xfId="0" applyFont="1" applyFill="1" applyBorder="1" applyAlignment="1">
      <alignment horizontal="center"/>
    </xf>
    <xf numFmtId="0" fontId="2" fillId="2" borderId="36"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3" fillId="3" borderId="13"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3" fillId="3" borderId="8"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4" borderId="12" xfId="0" applyFont="1" applyFill="1" applyBorder="1" applyAlignment="1">
      <alignment horizontal="center" vertical="center" wrapText="1"/>
    </xf>
    <xf numFmtId="0" fontId="3" fillId="3" borderId="12" xfId="0" applyFont="1" applyFill="1" applyBorder="1" applyAlignment="1">
      <alignment horizontal="center" vertical="center" wrapText="1"/>
    </xf>
    <xf numFmtId="0" fontId="3" fillId="4" borderId="13" xfId="0" applyFont="1" applyFill="1" applyBorder="1" applyAlignment="1">
      <alignment horizontal="center" vertical="center" wrapText="1"/>
    </xf>
    <xf numFmtId="0" fontId="3" fillId="4" borderId="17" xfId="0" applyFont="1" applyFill="1" applyBorder="1" applyAlignment="1">
      <alignment horizontal="center" vertical="center" wrapText="1"/>
    </xf>
    <xf numFmtId="0" fontId="2" fillId="10" borderId="58" xfId="0" applyFont="1" applyFill="1" applyBorder="1" applyAlignment="1">
      <alignment horizontal="center" vertical="center"/>
    </xf>
    <xf numFmtId="0" fontId="2" fillId="10" borderId="59" xfId="0" applyFont="1" applyFill="1" applyBorder="1" applyAlignment="1">
      <alignment horizontal="center" vertical="center"/>
    </xf>
    <xf numFmtId="0" fontId="2" fillId="14" borderId="1" xfId="0" applyFont="1" applyFill="1" applyBorder="1" applyAlignment="1">
      <alignment horizontal="center"/>
    </xf>
    <xf numFmtId="0" fontId="2" fillId="13" borderId="1" xfId="0" applyFont="1" applyFill="1" applyBorder="1" applyAlignment="1">
      <alignment horizontal="center"/>
    </xf>
    <xf numFmtId="0" fontId="2" fillId="15" borderId="1" xfId="0" applyFont="1" applyFill="1" applyBorder="1" applyAlignment="1">
      <alignment horizontal="center"/>
    </xf>
    <xf numFmtId="0" fontId="2" fillId="2" borderId="61" xfId="0" applyFont="1" applyFill="1" applyBorder="1" applyAlignment="1">
      <alignment horizontal="center" vertical="center"/>
    </xf>
    <xf numFmtId="0" fontId="2" fillId="2" borderId="62" xfId="0" applyFont="1" applyFill="1" applyBorder="1" applyAlignment="1">
      <alignment horizontal="center" vertical="center"/>
    </xf>
    <xf numFmtId="0" fontId="2" fillId="2" borderId="57" xfId="0" applyFont="1" applyFill="1" applyBorder="1" applyAlignment="1">
      <alignment horizontal="center" vertical="center"/>
    </xf>
    <xf numFmtId="0" fontId="2" fillId="2" borderId="0" xfId="0" applyFont="1" applyFill="1" applyAlignment="1">
      <alignment horizontal="center" vertical="center"/>
    </xf>
    <xf numFmtId="167" fontId="0" fillId="0" borderId="0" xfId="0" applyNumberFormat="1" applyBorder="1"/>
  </cellXfs>
  <cellStyles count="3">
    <cellStyle name="Hyperlink" xfId="1"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13</xdr:col>
      <xdr:colOff>19051</xdr:colOff>
      <xdr:row>4</xdr:row>
      <xdr:rowOff>21591</xdr:rowOff>
    </xdr:from>
    <xdr:to>
      <xdr:col>13</xdr:col>
      <xdr:colOff>1206305</xdr:colOff>
      <xdr:row>4</xdr:row>
      <xdr:rowOff>692150</xdr:rowOff>
    </xdr:to>
    <xdr:pic>
      <xdr:nvPicPr>
        <xdr:cNvPr id="6" name="Picture 5">
          <a:extLst>
            <a:ext uri="{FF2B5EF4-FFF2-40B4-BE49-F238E27FC236}">
              <a16:creationId xmlns:a16="http://schemas.microsoft.com/office/drawing/2014/main" id="{84A0A600-4EC8-F84A-7063-0ED1690039D2}"/>
            </a:ext>
          </a:extLst>
        </xdr:cNvPr>
        <xdr:cNvPicPr>
          <a:picLocks noChangeAspect="1"/>
        </xdr:cNvPicPr>
      </xdr:nvPicPr>
      <xdr:blipFill>
        <a:blip xmlns:r="http://schemas.openxmlformats.org/officeDocument/2006/relationships" r:embed="rId1"/>
        <a:stretch>
          <a:fillRect/>
        </a:stretch>
      </xdr:blipFill>
      <xdr:spPr>
        <a:xfrm>
          <a:off x="10102851" y="764541"/>
          <a:ext cx="1244404" cy="670559"/>
        </a:xfrm>
        <a:prstGeom prst="rect">
          <a:avLst/>
        </a:prstGeom>
      </xdr:spPr>
    </xdr:pic>
    <xdr:clientData/>
  </xdr:twoCellAnchor>
  <xdr:twoCellAnchor editAs="oneCell">
    <xdr:from>
      <xdr:col>10</xdr:col>
      <xdr:colOff>175261</xdr:colOff>
      <xdr:row>4</xdr:row>
      <xdr:rowOff>22861</xdr:rowOff>
    </xdr:from>
    <xdr:to>
      <xdr:col>10</xdr:col>
      <xdr:colOff>1087503</xdr:colOff>
      <xdr:row>4</xdr:row>
      <xdr:rowOff>701041</xdr:rowOff>
    </xdr:to>
    <xdr:pic>
      <xdr:nvPicPr>
        <xdr:cNvPr id="3" name="Picture 2">
          <a:extLst>
            <a:ext uri="{FF2B5EF4-FFF2-40B4-BE49-F238E27FC236}">
              <a16:creationId xmlns:a16="http://schemas.microsoft.com/office/drawing/2014/main" id="{6B63ED2B-1EBA-8CD6-5811-FE652BE22052}"/>
            </a:ext>
          </a:extLst>
        </xdr:cNvPr>
        <xdr:cNvPicPr>
          <a:picLocks noChangeAspect="1"/>
        </xdr:cNvPicPr>
      </xdr:nvPicPr>
      <xdr:blipFill>
        <a:blip xmlns:r="http://schemas.openxmlformats.org/officeDocument/2006/relationships" r:embed="rId2"/>
        <a:stretch>
          <a:fillRect/>
        </a:stretch>
      </xdr:blipFill>
      <xdr:spPr>
        <a:xfrm>
          <a:off x="4541521" y="754381"/>
          <a:ext cx="912242" cy="678180"/>
        </a:xfrm>
        <a:prstGeom prst="rect">
          <a:avLst/>
        </a:prstGeom>
      </xdr:spPr>
    </xdr:pic>
    <xdr:clientData/>
  </xdr:twoCellAnchor>
  <xdr:twoCellAnchor editAs="oneCell">
    <xdr:from>
      <xdr:col>17</xdr:col>
      <xdr:colOff>15240</xdr:colOff>
      <xdr:row>4</xdr:row>
      <xdr:rowOff>53341</xdr:rowOff>
    </xdr:from>
    <xdr:to>
      <xdr:col>18</xdr:col>
      <xdr:colOff>4795</xdr:colOff>
      <xdr:row>4</xdr:row>
      <xdr:rowOff>654201</xdr:rowOff>
    </xdr:to>
    <xdr:pic>
      <xdr:nvPicPr>
        <xdr:cNvPr id="4" name="Picture 3">
          <a:extLst>
            <a:ext uri="{FF2B5EF4-FFF2-40B4-BE49-F238E27FC236}">
              <a16:creationId xmlns:a16="http://schemas.microsoft.com/office/drawing/2014/main" id="{539892DE-8D45-B33C-16D4-59C438988662}"/>
            </a:ext>
          </a:extLst>
        </xdr:cNvPr>
        <xdr:cNvPicPr>
          <a:picLocks noChangeAspect="1"/>
        </xdr:cNvPicPr>
      </xdr:nvPicPr>
      <xdr:blipFill>
        <a:blip xmlns:r="http://schemas.openxmlformats.org/officeDocument/2006/relationships" r:embed="rId3"/>
        <a:stretch>
          <a:fillRect/>
        </a:stretch>
      </xdr:blipFill>
      <xdr:spPr>
        <a:xfrm>
          <a:off x="8130540" y="784861"/>
          <a:ext cx="1226820" cy="600860"/>
        </a:xfrm>
        <a:prstGeom prst="rect">
          <a:avLst/>
        </a:prstGeom>
      </xdr:spPr>
    </xdr:pic>
    <xdr:clientData/>
  </xdr:twoCellAnchor>
  <xdr:twoCellAnchor editAs="oneCell">
    <xdr:from>
      <xdr:col>18</xdr:col>
      <xdr:colOff>76200</xdr:colOff>
      <xdr:row>4</xdr:row>
      <xdr:rowOff>7620</xdr:rowOff>
    </xdr:from>
    <xdr:to>
      <xdr:col>18</xdr:col>
      <xdr:colOff>1173480</xdr:colOff>
      <xdr:row>5</xdr:row>
      <xdr:rowOff>1908</xdr:rowOff>
    </xdr:to>
    <xdr:pic>
      <xdr:nvPicPr>
        <xdr:cNvPr id="5" name="Picture 4">
          <a:extLst>
            <a:ext uri="{FF2B5EF4-FFF2-40B4-BE49-F238E27FC236}">
              <a16:creationId xmlns:a16="http://schemas.microsoft.com/office/drawing/2014/main" id="{2A827A2D-7124-181E-BE4C-5A8BB655A66A}"/>
            </a:ext>
          </a:extLst>
        </xdr:cNvPr>
        <xdr:cNvPicPr>
          <a:picLocks noChangeAspect="1"/>
        </xdr:cNvPicPr>
      </xdr:nvPicPr>
      <xdr:blipFill>
        <a:blip xmlns:r="http://schemas.openxmlformats.org/officeDocument/2006/relationships" r:embed="rId4"/>
        <a:stretch>
          <a:fillRect/>
        </a:stretch>
      </xdr:blipFill>
      <xdr:spPr>
        <a:xfrm>
          <a:off x="6941820" y="739140"/>
          <a:ext cx="1097280" cy="697167"/>
        </a:xfrm>
        <a:prstGeom prst="rect">
          <a:avLst/>
        </a:prstGeom>
      </xdr:spPr>
    </xdr:pic>
    <xdr:clientData/>
  </xdr:twoCellAnchor>
  <xdr:twoCellAnchor editAs="oneCell">
    <xdr:from>
      <xdr:col>3</xdr:col>
      <xdr:colOff>203201</xdr:colOff>
      <xdr:row>4</xdr:row>
      <xdr:rowOff>12701</xdr:rowOff>
    </xdr:from>
    <xdr:to>
      <xdr:col>3</xdr:col>
      <xdr:colOff>1098550</xdr:colOff>
      <xdr:row>4</xdr:row>
      <xdr:rowOff>685570</xdr:rowOff>
    </xdr:to>
    <xdr:pic>
      <xdr:nvPicPr>
        <xdr:cNvPr id="2" name="Picture 1">
          <a:extLst>
            <a:ext uri="{FF2B5EF4-FFF2-40B4-BE49-F238E27FC236}">
              <a16:creationId xmlns:a16="http://schemas.microsoft.com/office/drawing/2014/main" id="{45ED6634-0847-6249-E697-881D8FF72D08}"/>
            </a:ext>
          </a:extLst>
        </xdr:cNvPr>
        <xdr:cNvPicPr>
          <a:picLocks noChangeAspect="1"/>
        </xdr:cNvPicPr>
      </xdr:nvPicPr>
      <xdr:blipFill>
        <a:blip xmlns:r="http://schemas.openxmlformats.org/officeDocument/2006/relationships" r:embed="rId5"/>
        <a:stretch>
          <a:fillRect/>
        </a:stretch>
      </xdr:blipFill>
      <xdr:spPr>
        <a:xfrm>
          <a:off x="11557001" y="755651"/>
          <a:ext cx="895349" cy="672869"/>
        </a:xfrm>
        <a:prstGeom prst="rect">
          <a:avLst/>
        </a:prstGeom>
      </xdr:spPr>
    </xdr:pic>
    <xdr:clientData/>
  </xdr:twoCellAnchor>
  <xdr:twoCellAnchor editAs="oneCell">
    <xdr:from>
      <xdr:col>16</xdr:col>
      <xdr:colOff>177800</xdr:colOff>
      <xdr:row>4</xdr:row>
      <xdr:rowOff>12701</xdr:rowOff>
    </xdr:from>
    <xdr:to>
      <xdr:col>16</xdr:col>
      <xdr:colOff>1105501</xdr:colOff>
      <xdr:row>4</xdr:row>
      <xdr:rowOff>685800</xdr:rowOff>
    </xdr:to>
    <xdr:pic>
      <xdr:nvPicPr>
        <xdr:cNvPr id="7" name="Picture 6">
          <a:extLst>
            <a:ext uri="{FF2B5EF4-FFF2-40B4-BE49-F238E27FC236}">
              <a16:creationId xmlns:a16="http://schemas.microsoft.com/office/drawing/2014/main" id="{AA59F334-5208-E2BD-A071-C8C7FC5861B4}"/>
            </a:ext>
          </a:extLst>
        </xdr:cNvPr>
        <xdr:cNvPicPr>
          <a:picLocks noChangeAspect="1"/>
        </xdr:cNvPicPr>
      </xdr:nvPicPr>
      <xdr:blipFill>
        <a:blip xmlns:r="http://schemas.openxmlformats.org/officeDocument/2006/relationships" r:embed="rId6"/>
        <a:stretch>
          <a:fillRect/>
        </a:stretch>
      </xdr:blipFill>
      <xdr:spPr>
        <a:xfrm>
          <a:off x="12242800" y="749301"/>
          <a:ext cx="927701" cy="673099"/>
        </a:xfrm>
        <a:prstGeom prst="rect">
          <a:avLst/>
        </a:prstGeom>
      </xdr:spPr>
    </xdr:pic>
    <xdr:clientData/>
  </xdr:twoCellAnchor>
  <xdr:twoCellAnchor editAs="oneCell">
    <xdr:from>
      <xdr:col>7</xdr:col>
      <xdr:colOff>222251</xdr:colOff>
      <xdr:row>4</xdr:row>
      <xdr:rowOff>12701</xdr:rowOff>
    </xdr:from>
    <xdr:to>
      <xdr:col>7</xdr:col>
      <xdr:colOff>1058897</xdr:colOff>
      <xdr:row>4</xdr:row>
      <xdr:rowOff>685801</xdr:rowOff>
    </xdr:to>
    <xdr:pic>
      <xdr:nvPicPr>
        <xdr:cNvPr id="8" name="Picture 7">
          <a:extLst>
            <a:ext uri="{FF2B5EF4-FFF2-40B4-BE49-F238E27FC236}">
              <a16:creationId xmlns:a16="http://schemas.microsoft.com/office/drawing/2014/main" id="{046A3158-D132-277E-8B76-2D408DB9BF81}"/>
            </a:ext>
          </a:extLst>
        </xdr:cNvPr>
        <xdr:cNvPicPr>
          <a:picLocks noChangeAspect="1"/>
        </xdr:cNvPicPr>
      </xdr:nvPicPr>
      <xdr:blipFill>
        <a:blip xmlns:r="http://schemas.openxmlformats.org/officeDocument/2006/relationships" r:embed="rId7"/>
        <a:stretch>
          <a:fillRect/>
        </a:stretch>
      </xdr:blipFill>
      <xdr:spPr>
        <a:xfrm>
          <a:off x="12376151" y="749301"/>
          <a:ext cx="836646" cy="673100"/>
        </a:xfrm>
        <a:prstGeom prst="rect">
          <a:avLst/>
        </a:prstGeom>
      </xdr:spPr>
    </xdr:pic>
    <xdr:clientData/>
  </xdr:twoCellAnchor>
  <xdr:twoCellAnchor editAs="oneCell">
    <xdr:from>
      <xdr:col>11</xdr:col>
      <xdr:colOff>12701</xdr:colOff>
      <xdr:row>4</xdr:row>
      <xdr:rowOff>12700</xdr:rowOff>
    </xdr:from>
    <xdr:to>
      <xdr:col>11</xdr:col>
      <xdr:colOff>1205021</xdr:colOff>
      <xdr:row>4</xdr:row>
      <xdr:rowOff>692150</xdr:rowOff>
    </xdr:to>
    <xdr:pic>
      <xdr:nvPicPr>
        <xdr:cNvPr id="9" name="Picture 8">
          <a:extLst>
            <a:ext uri="{FF2B5EF4-FFF2-40B4-BE49-F238E27FC236}">
              <a16:creationId xmlns:a16="http://schemas.microsoft.com/office/drawing/2014/main" id="{8C3AA96A-D194-B479-0C3D-8916C4388A94}"/>
            </a:ext>
          </a:extLst>
        </xdr:cNvPr>
        <xdr:cNvPicPr>
          <a:picLocks noChangeAspect="1"/>
        </xdr:cNvPicPr>
      </xdr:nvPicPr>
      <xdr:blipFill>
        <a:blip xmlns:r="http://schemas.openxmlformats.org/officeDocument/2006/relationships" r:embed="rId8"/>
        <a:stretch>
          <a:fillRect/>
        </a:stretch>
      </xdr:blipFill>
      <xdr:spPr>
        <a:xfrm>
          <a:off x="5816601" y="749300"/>
          <a:ext cx="1249470" cy="679450"/>
        </a:xfrm>
        <a:prstGeom prst="rect">
          <a:avLst/>
        </a:prstGeom>
      </xdr:spPr>
    </xdr:pic>
    <xdr:clientData/>
  </xdr:twoCellAnchor>
  <xdr:twoCellAnchor editAs="oneCell">
    <xdr:from>
      <xdr:col>4</xdr:col>
      <xdr:colOff>158751</xdr:colOff>
      <xdr:row>4</xdr:row>
      <xdr:rowOff>12700</xdr:rowOff>
    </xdr:from>
    <xdr:to>
      <xdr:col>4</xdr:col>
      <xdr:colOff>1112088</xdr:colOff>
      <xdr:row>4</xdr:row>
      <xdr:rowOff>698500</xdr:rowOff>
    </xdr:to>
    <xdr:pic>
      <xdr:nvPicPr>
        <xdr:cNvPr id="11" name="Picture 10">
          <a:extLst>
            <a:ext uri="{FF2B5EF4-FFF2-40B4-BE49-F238E27FC236}">
              <a16:creationId xmlns:a16="http://schemas.microsoft.com/office/drawing/2014/main" id="{FC9588D2-780F-B4E0-D3D9-5B7EBD83A676}"/>
            </a:ext>
          </a:extLst>
        </xdr:cNvPr>
        <xdr:cNvPicPr>
          <a:picLocks noChangeAspect="1"/>
        </xdr:cNvPicPr>
      </xdr:nvPicPr>
      <xdr:blipFill>
        <a:blip xmlns:r="http://schemas.openxmlformats.org/officeDocument/2006/relationships" r:embed="rId9"/>
        <a:stretch>
          <a:fillRect/>
        </a:stretch>
      </xdr:blipFill>
      <xdr:spPr>
        <a:xfrm>
          <a:off x="12782551" y="755650"/>
          <a:ext cx="953337" cy="685800"/>
        </a:xfrm>
        <a:prstGeom prst="rect">
          <a:avLst/>
        </a:prstGeom>
      </xdr:spPr>
    </xdr:pic>
    <xdr:clientData/>
  </xdr:twoCellAnchor>
  <xdr:twoCellAnchor editAs="oneCell">
    <xdr:from>
      <xdr:col>8</xdr:col>
      <xdr:colOff>166689</xdr:colOff>
      <xdr:row>4</xdr:row>
      <xdr:rowOff>7938</xdr:rowOff>
    </xdr:from>
    <xdr:to>
      <xdr:col>8</xdr:col>
      <xdr:colOff>1112413</xdr:colOff>
      <xdr:row>4</xdr:row>
      <xdr:rowOff>693738</xdr:rowOff>
    </xdr:to>
    <xdr:pic>
      <xdr:nvPicPr>
        <xdr:cNvPr id="13" name="Picture 12">
          <a:extLst>
            <a:ext uri="{FF2B5EF4-FFF2-40B4-BE49-F238E27FC236}">
              <a16:creationId xmlns:a16="http://schemas.microsoft.com/office/drawing/2014/main" id="{18206234-AA69-0394-03AA-7B7641CD7DBC}"/>
            </a:ext>
          </a:extLst>
        </xdr:cNvPr>
        <xdr:cNvPicPr>
          <a:picLocks noChangeAspect="1"/>
        </xdr:cNvPicPr>
      </xdr:nvPicPr>
      <xdr:blipFill>
        <a:blip xmlns:r="http://schemas.openxmlformats.org/officeDocument/2006/relationships" r:embed="rId10"/>
        <a:stretch>
          <a:fillRect/>
        </a:stretch>
      </xdr:blipFill>
      <xdr:spPr>
        <a:xfrm>
          <a:off x="19137314" y="746126"/>
          <a:ext cx="945724" cy="685800"/>
        </a:xfrm>
        <a:prstGeom prst="rect">
          <a:avLst/>
        </a:prstGeom>
      </xdr:spPr>
    </xdr:pic>
    <xdr:clientData/>
  </xdr:twoCellAnchor>
  <xdr:twoCellAnchor editAs="oneCell">
    <xdr:from>
      <xdr:col>12</xdr:col>
      <xdr:colOff>184151</xdr:colOff>
      <xdr:row>4</xdr:row>
      <xdr:rowOff>12701</xdr:rowOff>
    </xdr:from>
    <xdr:to>
      <xdr:col>12</xdr:col>
      <xdr:colOff>1081387</xdr:colOff>
      <xdr:row>4</xdr:row>
      <xdr:rowOff>692150</xdr:rowOff>
    </xdr:to>
    <xdr:pic>
      <xdr:nvPicPr>
        <xdr:cNvPr id="15" name="Picture 14">
          <a:extLst>
            <a:ext uri="{FF2B5EF4-FFF2-40B4-BE49-F238E27FC236}">
              <a16:creationId xmlns:a16="http://schemas.microsoft.com/office/drawing/2014/main" id="{BC3F6CAC-547C-EAC7-2F6F-6696B17020E0}"/>
            </a:ext>
          </a:extLst>
        </xdr:cNvPr>
        <xdr:cNvPicPr>
          <a:picLocks noChangeAspect="1"/>
        </xdr:cNvPicPr>
      </xdr:nvPicPr>
      <xdr:blipFill>
        <a:blip xmlns:r="http://schemas.openxmlformats.org/officeDocument/2006/relationships" r:embed="rId11"/>
        <a:stretch>
          <a:fillRect/>
        </a:stretch>
      </xdr:blipFill>
      <xdr:spPr>
        <a:xfrm>
          <a:off x="7727951" y="755651"/>
          <a:ext cx="897236" cy="679449"/>
        </a:xfrm>
        <a:prstGeom prst="rect">
          <a:avLst/>
        </a:prstGeom>
      </xdr:spPr>
    </xdr:pic>
    <xdr:clientData/>
  </xdr:twoCellAnchor>
  <xdr:twoCellAnchor editAs="oneCell">
    <xdr:from>
      <xdr:col>14</xdr:col>
      <xdr:colOff>139702</xdr:colOff>
      <xdr:row>4</xdr:row>
      <xdr:rowOff>12701</xdr:rowOff>
    </xdr:from>
    <xdr:to>
      <xdr:col>14</xdr:col>
      <xdr:colOff>1166782</xdr:colOff>
      <xdr:row>4</xdr:row>
      <xdr:rowOff>698501</xdr:rowOff>
    </xdr:to>
    <xdr:pic>
      <xdr:nvPicPr>
        <xdr:cNvPr id="12" name="Picture 11">
          <a:extLst>
            <a:ext uri="{FF2B5EF4-FFF2-40B4-BE49-F238E27FC236}">
              <a16:creationId xmlns:a16="http://schemas.microsoft.com/office/drawing/2014/main" id="{3710B896-42CB-132A-A894-61A8A781D1FD}"/>
            </a:ext>
          </a:extLst>
        </xdr:cNvPr>
        <xdr:cNvPicPr>
          <a:picLocks noChangeAspect="1"/>
        </xdr:cNvPicPr>
      </xdr:nvPicPr>
      <xdr:blipFill>
        <a:blip xmlns:r="http://schemas.openxmlformats.org/officeDocument/2006/relationships" r:embed="rId12"/>
        <a:stretch>
          <a:fillRect/>
        </a:stretch>
      </xdr:blipFill>
      <xdr:spPr>
        <a:xfrm>
          <a:off x="19113502" y="755651"/>
          <a:ext cx="1027080" cy="685800"/>
        </a:xfrm>
        <a:prstGeom prst="rect">
          <a:avLst/>
        </a:prstGeom>
      </xdr:spPr>
    </xdr:pic>
    <xdr:clientData/>
  </xdr:twoCellAnchor>
  <xdr:twoCellAnchor editAs="oneCell">
    <xdr:from>
      <xdr:col>15</xdr:col>
      <xdr:colOff>12700</xdr:colOff>
      <xdr:row>4</xdr:row>
      <xdr:rowOff>25400</xdr:rowOff>
    </xdr:from>
    <xdr:to>
      <xdr:col>15</xdr:col>
      <xdr:colOff>1204937</xdr:colOff>
      <xdr:row>4</xdr:row>
      <xdr:rowOff>692150</xdr:rowOff>
    </xdr:to>
    <xdr:pic>
      <xdr:nvPicPr>
        <xdr:cNvPr id="16" name="Picture 15">
          <a:extLst>
            <a:ext uri="{FF2B5EF4-FFF2-40B4-BE49-F238E27FC236}">
              <a16:creationId xmlns:a16="http://schemas.microsoft.com/office/drawing/2014/main" id="{BE4AFCC3-0863-D71B-F4EE-B3F6C1F9FC2C}"/>
            </a:ext>
          </a:extLst>
        </xdr:cNvPr>
        <xdr:cNvPicPr>
          <a:picLocks noChangeAspect="1"/>
        </xdr:cNvPicPr>
      </xdr:nvPicPr>
      <xdr:blipFill>
        <a:blip xmlns:r="http://schemas.openxmlformats.org/officeDocument/2006/relationships" r:embed="rId13"/>
        <a:stretch>
          <a:fillRect/>
        </a:stretch>
      </xdr:blipFill>
      <xdr:spPr>
        <a:xfrm>
          <a:off x="20256500" y="768350"/>
          <a:ext cx="1249387" cy="666750"/>
        </a:xfrm>
        <a:prstGeom prst="rect">
          <a:avLst/>
        </a:prstGeom>
      </xdr:spPr>
    </xdr:pic>
    <xdr:clientData/>
  </xdr:twoCellAnchor>
  <xdr:twoCellAnchor editAs="oneCell">
    <xdr:from>
      <xdr:col>5</xdr:col>
      <xdr:colOff>44450</xdr:colOff>
      <xdr:row>4</xdr:row>
      <xdr:rowOff>12700</xdr:rowOff>
    </xdr:from>
    <xdr:to>
      <xdr:col>6</xdr:col>
      <xdr:colOff>579</xdr:colOff>
      <xdr:row>4</xdr:row>
      <xdr:rowOff>692150</xdr:rowOff>
    </xdr:to>
    <xdr:pic>
      <xdr:nvPicPr>
        <xdr:cNvPr id="10" name="Picture 9">
          <a:extLst>
            <a:ext uri="{FF2B5EF4-FFF2-40B4-BE49-F238E27FC236}">
              <a16:creationId xmlns:a16="http://schemas.microsoft.com/office/drawing/2014/main" id="{43833B1A-AA8A-3FE5-C6BF-C5B7B390B468}"/>
            </a:ext>
          </a:extLst>
        </xdr:cNvPr>
        <xdr:cNvPicPr>
          <a:picLocks noChangeAspect="1"/>
        </xdr:cNvPicPr>
      </xdr:nvPicPr>
      <xdr:blipFill>
        <a:blip xmlns:r="http://schemas.openxmlformats.org/officeDocument/2006/relationships" r:embed="rId14"/>
        <a:stretch>
          <a:fillRect/>
        </a:stretch>
      </xdr:blipFill>
      <xdr:spPr>
        <a:xfrm>
          <a:off x="6318250" y="755650"/>
          <a:ext cx="1194379" cy="6794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Pablo Marin" id="{E80CCBB5-E84E-46AC-B970-2730B3D6D023}" userId="Pablo Marin" providerId="None"/>
  <person displayName="Pablo Marin" id="{4C311A25-91CE-4427-8CA4-B219854DD9B4}" userId="7bb354efe4256362"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3" dT="2023-03-20T10:17:36.00" personId="{E80CCBB5-E84E-46AC-B970-2730B3D6D023}" id="{19C77D1F-A91A-4315-948B-DB8C1542842D}">
    <text>Considered as extra-urban (WLTP High)</text>
  </threadedComment>
  <threadedComment ref="B4" dT="2023-03-20T10:17:05.19" personId="{E80CCBB5-E84E-46AC-B970-2730B3D6D023}" id="{5B86D5CA-D76D-4B0E-9BDA-31B5CFFE97AE}">
    <text>WLTP Low (56,5 km/h)</text>
  </threadedComment>
  <threadedComment ref="B5" dT="2023-03-20T10:17:57.85" personId="{E80CCBB5-E84E-46AC-B970-2730B3D6D023}" id="{73E3BE9F-28A2-405D-B45C-5F79AA9C5DB3}">
    <text>WLTP High (97,4 km/h)</text>
  </threadedComment>
</ThreadedComments>
</file>

<file path=xl/threadedComments/threadedComment2.xml><?xml version="1.0" encoding="utf-8"?>
<ThreadedComments xmlns="http://schemas.microsoft.com/office/spreadsheetml/2018/threadedcomments" xmlns:x="http://schemas.openxmlformats.org/spreadsheetml/2006/main">
  <threadedComment ref="C9" dT="2023-01-19T11:08:33.21" personId="{E80CCBB5-E84E-46AC-B970-2730B3D6D023}" id="{2B9A6EB7-2DE0-443F-905C-666160F8FFB5}">
    <text>WLTP Low (56,5 km/h)</text>
  </threadedComment>
  <threadedComment ref="C10" dT="2023-01-19T11:08:55.45" personId="{E80CCBB5-E84E-46AC-B970-2730B3D6D023}" id="{CB34F4D4-FF01-42CB-A0CA-2AB10BF8CD0C}">
    <text>WLTP High (97,4 km/h)</text>
  </threadedComment>
  <threadedComment ref="C13" dT="2023-01-17T16:27:34.67" personId="{E80CCBB5-E84E-46AC-B970-2730B3D6D023}" id="{482B1242-19DA-4FA2-A310-C4EFFFDCF903}">
    <text>For ICE vehicle use formula, for electric vehicle use https://ev-database.org/ Real Range - Combined - Mild Weather</text>
  </threadedComment>
  <threadedComment ref="C38" dT="2023-03-23T12:22:54.16" personId="{E80CCBB5-E84E-46AC-B970-2730B3D6D023}" id="{163BEE1F-055F-49BB-B827-6152A634E96C}">
    <text>Only EU/EFTA
Sources: check Links sheet
BPM calculated with flat-rate</text>
  </threadedComment>
  <threadedComment ref="C39" dT="2022-12-26T22:11:04.52" personId="{4C311A25-91CE-4427-8CA4-B219854DD9B4}" id="{F9CBB0DC-523C-4EBC-BDB4-5FC40B6DFCC9}">
    <text>https://www.rvo.nl/subsidies-financiering/sepp</text>
  </threadedComment>
  <threadedComment ref="C48" dT="2023-02-06T10:43:55.18" personId="{E80CCBB5-E84E-46AC-B970-2730B3D6D023}" id="{0EA52372-AC07-4B46-AD4E-4FF0BE8A6B26}">
    <text>https://www.denhaag.nl/en/parking/apply-for-parking-permit/apply-for-parking-permit-for-residents.htm</text>
  </threadedComment>
  <threadedComment ref="C49" dT="2022-12-26T00:01:07.41" personId="{4C311A25-91CE-4427-8CA4-B219854DD9B4}" id="{93B7B2EB-1B16-4868-B359-A7BE945499E7}">
    <text>https://www.belastingdienst.nl/wps/wcm/connect/nl/auto-en-vervoer/content/hulpmiddel-motorrijtuigenbelasting-berekenen</text>
  </threadedComment>
  <threadedComment ref="C50" dT="2023-01-05T00:55:11.16" personId="{E80CCBB5-E84E-46AC-B970-2730B3D6D023}" id="{40DB1527-DD33-4AE8-8E73-8EE9919D8DE4}">
    <text>https://business.gov.nl/regulation/periodic-motor-vehicle-test-apk/</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marktplaats.nl/v/auto-s/smart/m1951091296-smart-fortwo-electric-drive-coupe-2015-wit-apk-13-1-2024" TargetMode="External"/><Relationship Id="rId13" Type="http://schemas.openxmlformats.org/officeDocument/2006/relationships/hyperlink" Target="https://www.hoczeeland.nl/aanbod/detail?id=2216" TargetMode="External"/><Relationship Id="rId18" Type="http://schemas.openxmlformats.org/officeDocument/2006/relationships/comments" Target="../comments2.xml"/><Relationship Id="rId3" Type="http://schemas.openxmlformats.org/officeDocument/2006/relationships/hyperlink" Target="https://www.autoscout24.nl/aanbod/smart-fortwo-eigen-accu-electric-drive-elektrisch-grijs-3bd998d5-079b-47ae-b13f-2211e3e574c9?sort=price&amp;desc=0&amp;lastSeenGuidPresent=true&amp;cldtidx=56&amp;position=56&amp;search_id=ndkds14l6u&amp;source_otp=t10&amp;source=listpage_search-results" TargetMode="External"/><Relationship Id="rId7" Type="http://schemas.openxmlformats.org/officeDocument/2006/relationships/hyperlink" Target="https://www.yourlease.nl/volkswagen/volkswagen-up/" TargetMode="External"/><Relationship Id="rId12" Type="http://schemas.openxmlformats.org/officeDocument/2006/relationships/hyperlink" Target="https://www.autozieleman.nl/auto-kopen/bmw/i3/bmw-i3-luxury-range-extender-22-kwh-60ah-navi-leer-camera-led/2770653/" TargetMode="External"/><Relationship Id="rId17" Type="http://schemas.openxmlformats.org/officeDocument/2006/relationships/vmlDrawing" Target="../drawings/vmlDrawing2.vml"/><Relationship Id="rId2" Type="http://schemas.openxmlformats.org/officeDocument/2006/relationships/hyperlink" Target="https://www.autoscout24.nl/aanbod/volkswagen-polo-1-0-bluemotion-edition-executive-parkeersensoren-benzine-blauw-68103ada-b1ce-433e-aac6-f73a6c7d465b" TargetMode="External"/><Relationship Id="rId16" Type="http://schemas.openxmlformats.org/officeDocument/2006/relationships/drawing" Target="../drawings/drawing1.xml"/><Relationship Id="rId1" Type="http://schemas.openxmlformats.org/officeDocument/2006/relationships/hyperlink" Target="https://www.volkswagen.nl/stocklocator" TargetMode="External"/><Relationship Id="rId6" Type="http://schemas.openxmlformats.org/officeDocument/2006/relationships/hyperlink" Target="https://www.cockvanburenautos.nl/Volkswagen/Polo/1.0-TGI-AC-NAVI-MULTI-STUUR-CRUISE-CONTROLE-ELEC-RAMEN-Comfortline-4966933/4451/1/2/details.aspx?zoek=&amp;mrkid=81&amp;mrk=Volkswagen&amp;mdlid=1293&amp;so=gallerij" TargetMode="External"/><Relationship Id="rId11" Type="http://schemas.openxmlformats.org/officeDocument/2006/relationships/hyperlink" Target="https://www.autotijd.nl/aanbod" TargetMode="External"/><Relationship Id="rId5" Type="http://schemas.openxmlformats.org/officeDocument/2006/relationships/hyperlink" Target="https://www.autoscout24.com/offers/smart-fortwo-0-7-truestyle-gasoline-black-e437eb8c-6716-4164-9296-4a53142994d3?sort=price&amp;desc=0&amp;lastSeenGuidPresent=true&amp;cldtidx=1&amp;position=1&amp;search_id=1vv6lkvlsrv&amp;source_otp=t10&amp;source=listpage_suggested-results" TargetMode="External"/><Relationship Id="rId15" Type="http://schemas.openxmlformats.org/officeDocument/2006/relationships/printerSettings" Target="../printerSettings/printerSettings3.bin"/><Relationship Id="rId10" Type="http://schemas.openxmlformats.org/officeDocument/2006/relationships/hyperlink" Target="https://voorraad.autobedrijfeb.nl/sa0446b36c5d56662bf8fb788f63ea754/voorraad/stock/7866/vehicles/20/details/31682879/volkswagen-polo-1-2-tsi-90pk-comfortline-business-r/" TargetMode="External"/><Relationship Id="rId19" Type="http://schemas.microsoft.com/office/2017/10/relationships/threadedComment" Target="../threadedComments/threadedComment2.xml"/><Relationship Id="rId4" Type="http://schemas.openxmlformats.org/officeDocument/2006/relationships/hyperlink" Target="https://www.autoscout24.nl/aanbod/opel-ampera-e-launch-executive-60-kwh-stoel-stuur-verw-camera-elektrisch-grijs-148fed86-3dfd-42f7-9a60-47f00ecfe030?sort=standard&amp;desc=0&amp;lastSeenGuidPresent=true&amp;cldtidx=9&amp;position=9&amp;search_id=ud92zyhwea&amp;source_otp=t30&amp;source=listpage_search-results" TargetMode="External"/><Relationship Id="rId9" Type="http://schemas.openxmlformats.org/officeDocument/2006/relationships/hyperlink" Target="https://voorraad.autobedrijfeb.nl/sa0446b36c5d56662bf8fb788f63ea754/voorraad/stock/6244/vehicles/20/details/33032182/volkswagen-up-1-0-60pk-take-up/" TargetMode="External"/><Relationship Id="rId14" Type="http://schemas.openxmlformats.org/officeDocument/2006/relationships/hyperlink" Target="https://www.nederlandmobiel.nl/tweedehands-auto/smart/fortwo-coupe-electric-drive2000-subsidienap/16837067?auto-model-history=%5B%5D&amp;source=search&amp;merk%5b%5d=200&amp;prijs_tot=9000&amp;brandstof%5b%5d=electro&amp;p-sort=ingevoerd&amp;i=1"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bnh.no/avdelinger/" TargetMode="External"/><Relationship Id="rId2" Type="http://schemas.openxmlformats.org/officeDocument/2006/relationships/hyperlink" Target="https://www.belastingdienst.nl/wps/wcm/connect/bldcontentnl/belastingdienst/prive/auto_en_vervoer/belastingen_op_auto_en_motor/bpm/" TargetMode="External"/><Relationship Id="rId1" Type="http://schemas.openxmlformats.org/officeDocument/2006/relationships/hyperlink" Target="https://www.rdw.nl/en/import-export-transit/importing-a-car-from-a-eu-or-efta-country"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iwcn.nl/newcomers/settling-in/transport/importing-a-motor-vehicle/" TargetMode="External"/><Relationship Id="rId13" Type="http://schemas.openxmlformats.org/officeDocument/2006/relationships/hyperlink" Target="https://www.ooyyo.com/" TargetMode="External"/><Relationship Id="rId18" Type="http://schemas.openxmlformats.org/officeDocument/2006/relationships/hyperlink" Target="https://www.dasweltauto.nl/" TargetMode="External"/><Relationship Id="rId3" Type="http://schemas.openxmlformats.org/officeDocument/2006/relationships/hyperlink" Target="https://ovi.rdw.nl/" TargetMode="External"/><Relationship Id="rId21" Type="http://schemas.openxmlformats.org/officeDocument/2006/relationships/printerSettings" Target="../printerSettings/printerSettings9.bin"/><Relationship Id="rId7" Type="http://schemas.openxmlformats.org/officeDocument/2006/relationships/hyperlink" Target="https://business.gov.nl/regulation/periodic-motor-vehicle-test-apk/" TargetMode="External"/><Relationship Id="rId12" Type="http://schemas.openxmlformats.org/officeDocument/2006/relationships/hyperlink" Target="https://www.autoscout24.nl/" TargetMode="External"/><Relationship Id="rId17" Type="http://schemas.openxmlformats.org/officeDocument/2006/relationships/hyperlink" Target="https://www.eurostocks.com/" TargetMode="External"/><Relationship Id="rId2" Type="http://schemas.openxmlformats.org/officeDocument/2006/relationships/hyperlink" Target="https://ev-database.org/" TargetMode="External"/><Relationship Id="rId16" Type="http://schemas.openxmlformats.org/officeDocument/2006/relationships/hyperlink" Target="https://www.nederlandmobiel.nl/" TargetMode="External"/><Relationship Id="rId20" Type="http://schemas.openxmlformats.org/officeDocument/2006/relationships/hyperlink" Target="https://www.belastingdienst.nl/wps/wcm/connect/bldcontentnl/belastingdienst/prive/auto_en_vervoer/belastingen_op_auto_en_motor/bpm/" TargetMode="External"/><Relationship Id="rId1" Type="http://schemas.openxmlformats.org/officeDocument/2006/relationships/hyperlink" Target="https://www.rdw.nl/over-rdw/information-in-english/private/import/moving-to-the-netherlands-and-taking-your-vehicle-with-you" TargetMode="External"/><Relationship Id="rId6" Type="http://schemas.openxmlformats.org/officeDocument/2006/relationships/hyperlink" Target="https://www.rvo.nl/subsidies-financiering/sepp" TargetMode="External"/><Relationship Id="rId11" Type="http://schemas.openxmlformats.org/officeDocument/2006/relationships/hyperlink" Target="https://www.abnamro.nl/my-abnamro/insurance/car-insurance/" TargetMode="External"/><Relationship Id="rId5" Type="http://schemas.openxmlformats.org/officeDocument/2006/relationships/hyperlink" Target="https://business.gov.nl/regulation/bpm/" TargetMode="External"/><Relationship Id="rId15" Type="http://schemas.openxmlformats.org/officeDocument/2006/relationships/hyperlink" Target="https://www.gebruikteauto.nl/" TargetMode="External"/><Relationship Id="rId10" Type="http://schemas.openxmlformats.org/officeDocument/2006/relationships/hyperlink" Target="https://rotterdamexpatcentre.nl/expats/taxes/import-a-car/" TargetMode="External"/><Relationship Id="rId19" Type="http://schemas.openxmlformats.org/officeDocument/2006/relationships/hyperlink" Target="https://www.denhaag.nl/en/parking/apply-for-parking-permit/apply-for-parking-permit-for-residents.htm" TargetMode="External"/><Relationship Id="rId4" Type="http://schemas.openxmlformats.org/officeDocument/2006/relationships/hyperlink" Target="https://www.belastingdienst.nl/wps/wcm/connect/nl/auto-en-vervoer/content/hulpmiddel-motorrijtuigenbelasting-berekenen" TargetMode="External"/><Relationship Id="rId9" Type="http://schemas.openxmlformats.org/officeDocument/2006/relationships/hyperlink" Target="https://bynco.com/" TargetMode="External"/><Relationship Id="rId14" Type="http://schemas.openxmlformats.org/officeDocument/2006/relationships/hyperlink" Target="https://www.auto.n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B02FB-88C3-47C3-B557-F76A77900DBA}">
  <sheetPr codeName="Sheet1"/>
  <dimension ref="B4:D28"/>
  <sheetViews>
    <sheetView workbookViewId="0"/>
  </sheetViews>
  <sheetFormatPr defaultRowHeight="14.5" x14ac:dyDescent="0.35"/>
  <cols>
    <col min="3" max="3" width="40.81640625" customWidth="1"/>
  </cols>
  <sheetData>
    <row r="4" spans="2:4" x14ac:dyDescent="0.35">
      <c r="B4" t="s">
        <v>0</v>
      </c>
      <c r="D4" t="s">
        <v>1</v>
      </c>
    </row>
    <row r="5" spans="2:4" x14ac:dyDescent="0.35">
      <c r="C5" t="s">
        <v>2</v>
      </c>
      <c r="D5" t="s">
        <v>3</v>
      </c>
    </row>
    <row r="6" spans="2:4" x14ac:dyDescent="0.35">
      <c r="C6" t="s">
        <v>4</v>
      </c>
      <c r="D6" t="s">
        <v>5</v>
      </c>
    </row>
    <row r="7" spans="2:4" x14ac:dyDescent="0.35">
      <c r="C7" t="s">
        <v>6</v>
      </c>
      <c r="D7" t="s">
        <v>7</v>
      </c>
    </row>
    <row r="8" spans="2:4" x14ac:dyDescent="0.35">
      <c r="C8" t="s">
        <v>8</v>
      </c>
      <c r="D8" t="s">
        <v>9</v>
      </c>
    </row>
    <row r="9" spans="2:4" x14ac:dyDescent="0.35">
      <c r="C9" t="s">
        <v>10</v>
      </c>
      <c r="D9" t="s">
        <v>11</v>
      </c>
    </row>
    <row r="10" spans="2:4" x14ac:dyDescent="0.35">
      <c r="C10" t="s">
        <v>12</v>
      </c>
      <c r="D10" t="s">
        <v>13</v>
      </c>
    </row>
    <row r="11" spans="2:4" x14ac:dyDescent="0.35">
      <c r="C11" t="s">
        <v>14</v>
      </c>
      <c r="D11" t="s">
        <v>15</v>
      </c>
    </row>
    <row r="12" spans="2:4" x14ac:dyDescent="0.35">
      <c r="C12" t="s">
        <v>16</v>
      </c>
      <c r="D12" t="s">
        <v>17</v>
      </c>
    </row>
    <row r="13" spans="2:4" x14ac:dyDescent="0.35">
      <c r="C13" t="s">
        <v>18</v>
      </c>
      <c r="D13" t="s">
        <v>19</v>
      </c>
    </row>
    <row r="14" spans="2:4" x14ac:dyDescent="0.35">
      <c r="C14" t="s">
        <v>20</v>
      </c>
      <c r="D14" t="s">
        <v>21</v>
      </c>
    </row>
    <row r="15" spans="2:4" x14ac:dyDescent="0.35">
      <c r="C15" t="s">
        <v>22</v>
      </c>
      <c r="D15" t="s">
        <v>23</v>
      </c>
    </row>
    <row r="16" spans="2:4" x14ac:dyDescent="0.35">
      <c r="C16" t="s">
        <v>24</v>
      </c>
      <c r="D16" t="s">
        <v>25</v>
      </c>
    </row>
    <row r="18" spans="2:4" x14ac:dyDescent="0.35">
      <c r="B18" t="s">
        <v>26</v>
      </c>
      <c r="C18" t="s">
        <v>27</v>
      </c>
    </row>
    <row r="19" spans="2:4" x14ac:dyDescent="0.35">
      <c r="C19" t="s">
        <v>28</v>
      </c>
      <c r="D19" t="s">
        <v>29</v>
      </c>
    </row>
    <row r="20" spans="2:4" x14ac:dyDescent="0.35">
      <c r="C20" t="s">
        <v>30</v>
      </c>
      <c r="D20" t="s">
        <v>31</v>
      </c>
    </row>
    <row r="21" spans="2:4" x14ac:dyDescent="0.35">
      <c r="C21" t="s">
        <v>32</v>
      </c>
    </row>
    <row r="23" spans="2:4" x14ac:dyDescent="0.35">
      <c r="B23" t="s">
        <v>33</v>
      </c>
      <c r="C23" t="s">
        <v>34</v>
      </c>
    </row>
    <row r="24" spans="2:4" x14ac:dyDescent="0.35">
      <c r="B24" t="s">
        <v>35</v>
      </c>
      <c r="C24" t="s">
        <v>36</v>
      </c>
    </row>
    <row r="25" spans="2:4" x14ac:dyDescent="0.35">
      <c r="B25" t="s">
        <v>37</v>
      </c>
      <c r="C25" t="s">
        <v>38</v>
      </c>
    </row>
    <row r="27" spans="2:4" x14ac:dyDescent="0.35">
      <c r="B27" t="s">
        <v>39</v>
      </c>
      <c r="D27" t="s">
        <v>40</v>
      </c>
    </row>
    <row r="28" spans="2:4" x14ac:dyDescent="0.35">
      <c r="B28" t="s">
        <v>41</v>
      </c>
      <c r="D28" t="s">
        <v>42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DAE14-7A2C-4783-8079-57B1C8C96C3A}">
  <sheetPr codeName="Sheet2"/>
  <dimension ref="B1:I15"/>
  <sheetViews>
    <sheetView showGridLines="0" workbookViewId="0">
      <selection activeCell="C3" sqref="C3"/>
    </sheetView>
  </sheetViews>
  <sheetFormatPr defaultRowHeight="14.5" x14ac:dyDescent="0.35"/>
  <cols>
    <col min="2" max="2" width="17.1796875" bestFit="1" customWidth="1"/>
    <col min="6" max="6" width="14.54296875" bestFit="1" customWidth="1"/>
  </cols>
  <sheetData>
    <row r="1" spans="2:9" ht="15" thickBot="1" x14ac:dyDescent="0.4"/>
    <row r="2" spans="2:9" ht="15" thickBot="1" x14ac:dyDescent="0.4">
      <c r="B2" s="252" t="s">
        <v>74</v>
      </c>
      <c r="C2" s="253"/>
      <c r="D2" s="254"/>
    </row>
    <row r="3" spans="2:9" x14ac:dyDescent="0.35">
      <c r="B3" s="35" t="s">
        <v>71</v>
      </c>
      <c r="C3" s="52">
        <f>22*2*3*30/7*10.5</f>
        <v>5939.9999999999991</v>
      </c>
      <c r="D3" s="36" t="s">
        <v>68</v>
      </c>
    </row>
    <row r="4" spans="2:9" x14ac:dyDescent="0.35">
      <c r="B4" s="31" t="s">
        <v>72</v>
      </c>
      <c r="C4" s="53">
        <f>50*12</f>
        <v>600</v>
      </c>
      <c r="D4" s="23" t="s">
        <v>68</v>
      </c>
    </row>
    <row r="5" spans="2:9" ht="15" thickBot="1" x14ac:dyDescent="0.4">
      <c r="B5" s="32" t="s">
        <v>73</v>
      </c>
      <c r="C5" s="54">
        <f>1600*3</f>
        <v>4800</v>
      </c>
      <c r="D5" s="28" t="s">
        <v>68</v>
      </c>
    </row>
    <row r="6" spans="2:9" ht="15" thickBot="1" x14ac:dyDescent="0.4">
      <c r="B6" s="33" t="s">
        <v>75</v>
      </c>
      <c r="C6" s="34">
        <f>Commuting_km+Urban_km+Extra_urban_km</f>
        <v>11340</v>
      </c>
      <c r="D6" s="29" t="s">
        <v>68</v>
      </c>
    </row>
    <row r="7" spans="2:9" ht="15" thickBot="1" x14ac:dyDescent="0.4"/>
    <row r="8" spans="2:9" ht="15" thickBot="1" x14ac:dyDescent="0.4">
      <c r="B8" s="252" t="s">
        <v>275</v>
      </c>
      <c r="C8" s="253"/>
      <c r="D8" s="254"/>
    </row>
    <row r="9" spans="2:9" ht="15" thickBot="1" x14ac:dyDescent="0.4">
      <c r="B9" s="31" t="s">
        <v>76</v>
      </c>
      <c r="C9" s="55">
        <v>1.7</v>
      </c>
      <c r="D9" s="23" t="s">
        <v>69</v>
      </c>
      <c r="F9" s="252" t="s">
        <v>111</v>
      </c>
      <c r="G9" s="253"/>
      <c r="H9" s="255"/>
      <c r="I9" s="254"/>
    </row>
    <row r="10" spans="2:9" x14ac:dyDescent="0.35">
      <c r="B10" s="30" t="s">
        <v>276</v>
      </c>
      <c r="C10" s="80">
        <v>0.08</v>
      </c>
      <c r="D10" s="22" t="s">
        <v>70</v>
      </c>
      <c r="F10" s="30" t="s">
        <v>276</v>
      </c>
      <c r="G10" s="56">
        <v>0.65</v>
      </c>
      <c r="H10" s="42">
        <f>G10*$C$6</f>
        <v>7371</v>
      </c>
      <c r="I10" s="22" t="s">
        <v>68</v>
      </c>
    </row>
    <row r="11" spans="2:9" ht="15" thickBot="1" x14ac:dyDescent="0.4">
      <c r="B11" s="31" t="s">
        <v>277</v>
      </c>
      <c r="C11" s="171">
        <v>0.4</v>
      </c>
      <c r="D11" s="23" t="s">
        <v>70</v>
      </c>
      <c r="F11" s="27" t="s">
        <v>277</v>
      </c>
      <c r="G11" s="41">
        <f>1-G10</f>
        <v>0.35</v>
      </c>
      <c r="H11" s="43">
        <f>G11*$C$6</f>
        <v>3968.9999999999995</v>
      </c>
      <c r="I11" s="26" t="s">
        <v>68</v>
      </c>
    </row>
    <row r="12" spans="2:9" ht="15" thickBot="1" x14ac:dyDescent="0.4">
      <c r="B12" s="168" t="s">
        <v>278</v>
      </c>
      <c r="C12" s="169">
        <v>0</v>
      </c>
      <c r="D12" s="170" t="s">
        <v>70</v>
      </c>
    </row>
    <row r="13" spans="2:9" ht="15" thickBot="1" x14ac:dyDescent="0.4"/>
    <row r="14" spans="2:9" ht="15" thickBot="1" x14ac:dyDescent="0.4">
      <c r="B14" s="256" t="s">
        <v>92</v>
      </c>
      <c r="C14" s="257"/>
      <c r="D14" s="258"/>
    </row>
    <row r="15" spans="2:9" ht="15" thickBot="1" x14ac:dyDescent="0.4">
      <c r="B15" s="33" t="s">
        <v>292</v>
      </c>
      <c r="C15" s="242">
        <v>90</v>
      </c>
      <c r="D15" s="243" t="s">
        <v>293</v>
      </c>
    </row>
  </sheetData>
  <sheetProtection sheet="1" objects="1" scenarios="1" selectLockedCells="1"/>
  <mergeCells count="4">
    <mergeCell ref="B2:D2"/>
    <mergeCell ref="B8:D8"/>
    <mergeCell ref="F9:I9"/>
    <mergeCell ref="B14:D14"/>
  </mergeCells>
  <pageMargins left="0.7" right="0.7" top="0.75" bottom="0.75" header="0.3" footer="0.3"/>
  <pageSetup paperSize="9" orientation="portrait" r:id="rId1"/>
  <ignoredErrors>
    <ignoredError sqref="C3:C5" unlockedFormula="1"/>
  </ignoredError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39218-BD72-4916-B529-E06C5AE5279D}">
  <sheetPr codeName="Sheet3"/>
  <dimension ref="B1:U60"/>
  <sheetViews>
    <sheetView showGridLines="0" zoomScaleNormal="100" workbookViewId="0">
      <pane xSplit="3" ySplit="3" topLeftCell="D4" activePane="bottomRight" state="frozen"/>
      <selection pane="topRight" activeCell="C1" sqref="C1"/>
      <selection pane="bottomLeft" activeCell="A4" sqref="A4"/>
      <selection pane="bottomRight" activeCell="C52" sqref="C52"/>
    </sheetView>
  </sheetViews>
  <sheetFormatPr defaultColWidth="8.81640625" defaultRowHeight="14.5" x14ac:dyDescent="0.35"/>
  <cols>
    <col min="1" max="1" width="2.54296875" style="79" customWidth="1"/>
    <col min="2" max="2" width="18.81640625" style="79" bestFit="1" customWidth="1"/>
    <col min="3" max="3" width="32" style="79" customWidth="1"/>
    <col min="4" max="21" width="18.1796875" style="79" customWidth="1"/>
    <col min="22" max="16384" width="8.81640625" style="79"/>
  </cols>
  <sheetData>
    <row r="1" spans="2:21" ht="15" thickBot="1" x14ac:dyDescent="0.4"/>
    <row r="2" spans="2:21" x14ac:dyDescent="0.35">
      <c r="B2" s="259" t="s">
        <v>47</v>
      </c>
      <c r="C2" s="139" t="s">
        <v>45</v>
      </c>
      <c r="D2" s="163" t="s">
        <v>146</v>
      </c>
      <c r="E2" s="142" t="s">
        <v>146</v>
      </c>
      <c r="F2" s="166" t="s">
        <v>146</v>
      </c>
      <c r="G2" s="142" t="s">
        <v>146</v>
      </c>
      <c r="H2" s="142" t="s">
        <v>146</v>
      </c>
      <c r="I2" s="141" t="s">
        <v>235</v>
      </c>
      <c r="J2" s="166" t="s">
        <v>235</v>
      </c>
      <c r="K2" s="141" t="s">
        <v>114</v>
      </c>
      <c r="L2" s="141" t="s">
        <v>114</v>
      </c>
      <c r="M2" s="141" t="s">
        <v>114</v>
      </c>
      <c r="N2" s="140" t="s">
        <v>114</v>
      </c>
      <c r="O2" s="142" t="s">
        <v>250</v>
      </c>
      <c r="P2" s="142" t="s">
        <v>250</v>
      </c>
      <c r="Q2" s="142" t="s">
        <v>147</v>
      </c>
      <c r="R2" s="141" t="s">
        <v>105</v>
      </c>
      <c r="S2" s="141" t="s">
        <v>51</v>
      </c>
      <c r="T2" s="141" t="s">
        <v>136</v>
      </c>
      <c r="U2" s="143"/>
    </row>
    <row r="3" spans="2:21" x14ac:dyDescent="0.35">
      <c r="B3" s="260"/>
      <c r="C3" s="7" t="s">
        <v>46</v>
      </c>
      <c r="D3" s="164" t="s">
        <v>145</v>
      </c>
      <c r="E3" s="58" t="s">
        <v>145</v>
      </c>
      <c r="F3" s="57" t="s">
        <v>261</v>
      </c>
      <c r="G3" s="58" t="s">
        <v>145</v>
      </c>
      <c r="H3" s="58" t="s">
        <v>164</v>
      </c>
      <c r="I3" s="58" t="s">
        <v>241</v>
      </c>
      <c r="J3" s="57" t="s">
        <v>225</v>
      </c>
      <c r="K3" s="58"/>
      <c r="L3" s="58" t="s">
        <v>200</v>
      </c>
      <c r="M3" s="58" t="s">
        <v>242</v>
      </c>
      <c r="N3" s="57" t="s">
        <v>211</v>
      </c>
      <c r="O3" s="58" t="s">
        <v>252</v>
      </c>
      <c r="P3" s="58" t="s">
        <v>252</v>
      </c>
      <c r="Q3" s="58" t="s">
        <v>148</v>
      </c>
      <c r="R3" s="58" t="s">
        <v>133</v>
      </c>
      <c r="S3" s="58" t="s">
        <v>130</v>
      </c>
      <c r="T3" s="58" t="s">
        <v>137</v>
      </c>
      <c r="U3" s="59"/>
    </row>
    <row r="4" spans="2:21" x14ac:dyDescent="0.35">
      <c r="B4" s="260"/>
      <c r="C4" s="7" t="s">
        <v>43</v>
      </c>
      <c r="D4" s="167" t="s">
        <v>142</v>
      </c>
      <c r="E4" s="62" t="s">
        <v>233</v>
      </c>
      <c r="F4" s="60" t="s">
        <v>260</v>
      </c>
      <c r="G4" s="62" t="s">
        <v>266</v>
      </c>
      <c r="H4" s="62" t="s">
        <v>165</v>
      </c>
      <c r="I4" s="62" t="s">
        <v>239</v>
      </c>
      <c r="J4" s="138" t="s">
        <v>226</v>
      </c>
      <c r="K4" s="62" t="s">
        <v>123</v>
      </c>
      <c r="L4" s="137" t="s">
        <v>199</v>
      </c>
      <c r="M4" s="137" t="s">
        <v>243</v>
      </c>
      <c r="N4" s="60" t="s">
        <v>115</v>
      </c>
      <c r="O4" s="62" t="s">
        <v>256</v>
      </c>
      <c r="P4" s="62" t="s">
        <v>258</v>
      </c>
      <c r="Q4" s="62" t="s">
        <v>149</v>
      </c>
      <c r="R4" s="61" t="s">
        <v>208</v>
      </c>
      <c r="S4" s="61" t="s">
        <v>209</v>
      </c>
      <c r="T4" s="61" t="s">
        <v>207</v>
      </c>
      <c r="U4" s="63" t="s">
        <v>124</v>
      </c>
    </row>
    <row r="5" spans="2:21" ht="55.75" customHeight="1" thickBot="1" x14ac:dyDescent="0.4">
      <c r="B5" s="261"/>
      <c r="C5" s="1" t="s">
        <v>89</v>
      </c>
      <c r="D5" s="165"/>
      <c r="E5" s="77"/>
      <c r="F5" s="76"/>
      <c r="G5" s="77"/>
      <c r="H5" s="77"/>
      <c r="I5" s="77"/>
      <c r="J5" s="76"/>
      <c r="K5" s="77"/>
      <c r="L5" s="77"/>
      <c r="M5" s="77"/>
      <c r="N5" s="76"/>
      <c r="O5" s="77"/>
      <c r="P5" s="77"/>
      <c r="Q5" s="77"/>
      <c r="R5" s="77"/>
      <c r="S5" s="77"/>
      <c r="T5" s="77"/>
      <c r="U5" s="78"/>
    </row>
    <row r="6" spans="2:21" x14ac:dyDescent="0.35">
      <c r="B6" s="265" t="s">
        <v>48</v>
      </c>
      <c r="C6" s="2" t="s">
        <v>49</v>
      </c>
      <c r="D6" s="64" t="s">
        <v>141</v>
      </c>
      <c r="E6" s="65" t="s">
        <v>141</v>
      </c>
      <c r="F6" s="144" t="s">
        <v>141</v>
      </c>
      <c r="G6" s="65" t="s">
        <v>141</v>
      </c>
      <c r="H6" s="65" t="s">
        <v>166</v>
      </c>
      <c r="I6" s="65" t="s">
        <v>240</v>
      </c>
      <c r="J6" s="144"/>
      <c r="K6" s="65" t="s">
        <v>121</v>
      </c>
      <c r="L6" s="65" t="s">
        <v>245</v>
      </c>
      <c r="M6" s="65" t="s">
        <v>244</v>
      </c>
      <c r="N6" s="144" t="s">
        <v>119</v>
      </c>
      <c r="O6" s="65" t="s">
        <v>251</v>
      </c>
      <c r="P6" s="65" t="s">
        <v>251</v>
      </c>
      <c r="Q6" s="65"/>
      <c r="R6" s="65" t="s">
        <v>132</v>
      </c>
      <c r="S6" s="65" t="s">
        <v>126</v>
      </c>
      <c r="T6" s="65" t="s">
        <v>198</v>
      </c>
      <c r="U6" s="66"/>
    </row>
    <row r="7" spans="2:21" x14ac:dyDescent="0.35">
      <c r="B7" s="266"/>
      <c r="C7" s="3" t="s">
        <v>50</v>
      </c>
      <c r="D7" s="67" t="s">
        <v>127</v>
      </c>
      <c r="E7" s="68" t="s">
        <v>127</v>
      </c>
      <c r="F7" s="145" t="s">
        <v>127</v>
      </c>
      <c r="G7" s="68" t="s">
        <v>127</v>
      </c>
      <c r="H7" s="68" t="s">
        <v>167</v>
      </c>
      <c r="I7" s="68" t="s">
        <v>88</v>
      </c>
      <c r="J7" s="145" t="s">
        <v>88</v>
      </c>
      <c r="K7" s="68" t="s">
        <v>88</v>
      </c>
      <c r="L7" s="68" t="s">
        <v>88</v>
      </c>
      <c r="M7" s="68" t="s">
        <v>88</v>
      </c>
      <c r="N7" s="145" t="s">
        <v>88</v>
      </c>
      <c r="O7" s="68" t="s">
        <v>127</v>
      </c>
      <c r="P7" s="68" t="s">
        <v>127</v>
      </c>
      <c r="Q7" s="68" t="s">
        <v>127</v>
      </c>
      <c r="R7" s="68" t="s">
        <v>127</v>
      </c>
      <c r="S7" s="68" t="s">
        <v>127</v>
      </c>
      <c r="T7" s="68" t="s">
        <v>127</v>
      </c>
      <c r="U7" s="69"/>
    </row>
    <row r="8" spans="2:21" x14ac:dyDescent="0.35">
      <c r="B8" s="262" t="s">
        <v>290</v>
      </c>
      <c r="C8" s="117" t="s">
        <v>44</v>
      </c>
      <c r="D8" s="118" t="s">
        <v>52</v>
      </c>
      <c r="E8" s="119" t="s">
        <v>52</v>
      </c>
      <c r="F8" s="146" t="s">
        <v>52</v>
      </c>
      <c r="G8" s="119" t="s">
        <v>52</v>
      </c>
      <c r="H8" s="119" t="s">
        <v>76</v>
      </c>
      <c r="I8" s="119" t="s">
        <v>76</v>
      </c>
      <c r="J8" s="146" t="s">
        <v>76</v>
      </c>
      <c r="K8" s="119" t="s">
        <v>76</v>
      </c>
      <c r="L8" s="119" t="s">
        <v>76</v>
      </c>
      <c r="M8" s="119" t="s">
        <v>76</v>
      </c>
      <c r="N8" s="146" t="s">
        <v>76</v>
      </c>
      <c r="O8" s="119" t="s">
        <v>52</v>
      </c>
      <c r="P8" s="119" t="s">
        <v>52</v>
      </c>
      <c r="Q8" s="119" t="s">
        <v>52</v>
      </c>
      <c r="R8" s="119" t="s">
        <v>52</v>
      </c>
      <c r="S8" s="119" t="s">
        <v>52</v>
      </c>
      <c r="T8" s="119" t="s">
        <v>52</v>
      </c>
      <c r="U8" s="120"/>
    </row>
    <row r="9" spans="2:21" x14ac:dyDescent="0.35">
      <c r="B9" s="263"/>
      <c r="C9" s="117" t="s">
        <v>107</v>
      </c>
      <c r="D9" s="118">
        <v>160</v>
      </c>
      <c r="E9" s="119">
        <v>160</v>
      </c>
      <c r="F9" s="146">
        <v>160</v>
      </c>
      <c r="G9" s="119">
        <v>160</v>
      </c>
      <c r="H9" s="119">
        <v>6</v>
      </c>
      <c r="I9" s="119">
        <v>4.9000000000000004</v>
      </c>
      <c r="J9" s="146">
        <v>4.9000000000000004</v>
      </c>
      <c r="K9" s="119">
        <v>5</v>
      </c>
      <c r="L9" s="119">
        <v>5.3</v>
      </c>
      <c r="M9" s="119">
        <v>5.9</v>
      </c>
      <c r="N9" s="146">
        <v>6.7</v>
      </c>
      <c r="O9" s="119">
        <v>180</v>
      </c>
      <c r="P9" s="119">
        <v>180</v>
      </c>
      <c r="Q9" s="119">
        <v>173</v>
      </c>
      <c r="R9" s="119">
        <v>190</v>
      </c>
      <c r="S9" s="119">
        <v>180</v>
      </c>
      <c r="T9" s="119">
        <v>155</v>
      </c>
      <c r="U9" s="120"/>
    </row>
    <row r="10" spans="2:21" x14ac:dyDescent="0.35">
      <c r="B10" s="263"/>
      <c r="C10" s="117" t="s">
        <v>108</v>
      </c>
      <c r="D10" s="118">
        <v>160</v>
      </c>
      <c r="E10" s="119">
        <v>160</v>
      </c>
      <c r="F10" s="146">
        <v>160</v>
      </c>
      <c r="G10" s="119">
        <v>160</v>
      </c>
      <c r="H10" s="119">
        <v>4</v>
      </c>
      <c r="I10" s="119">
        <v>3.7</v>
      </c>
      <c r="J10" s="146">
        <v>3.7</v>
      </c>
      <c r="K10" s="119">
        <v>3.6</v>
      </c>
      <c r="L10" s="119">
        <v>4.0999999999999996</v>
      </c>
      <c r="M10" s="119">
        <v>4</v>
      </c>
      <c r="N10" s="146">
        <v>4.4000000000000004</v>
      </c>
      <c r="O10" s="119">
        <v>180</v>
      </c>
      <c r="P10" s="119">
        <v>180</v>
      </c>
      <c r="Q10" s="119">
        <v>173</v>
      </c>
      <c r="R10" s="119">
        <v>200</v>
      </c>
      <c r="S10" s="119">
        <v>230</v>
      </c>
      <c r="T10" s="119">
        <v>155</v>
      </c>
      <c r="U10" s="120"/>
    </row>
    <row r="11" spans="2:21" x14ac:dyDescent="0.35">
      <c r="B11" s="263"/>
      <c r="C11" s="117" t="s">
        <v>78</v>
      </c>
      <c r="D11" s="121">
        <v>0</v>
      </c>
      <c r="E11" s="122">
        <v>0</v>
      </c>
      <c r="F11" s="124">
        <v>0</v>
      </c>
      <c r="G11" s="122">
        <v>0</v>
      </c>
      <c r="H11" s="122">
        <v>113</v>
      </c>
      <c r="I11" s="122"/>
      <c r="J11" s="124"/>
      <c r="K11" s="122">
        <v>94</v>
      </c>
      <c r="L11" s="122">
        <v>110</v>
      </c>
      <c r="M11" s="122">
        <v>105</v>
      </c>
      <c r="N11" s="124">
        <v>129</v>
      </c>
      <c r="O11" s="122">
        <v>13</v>
      </c>
      <c r="P11" s="122">
        <v>13</v>
      </c>
      <c r="Q11" s="122">
        <v>0</v>
      </c>
      <c r="R11" s="122">
        <v>0</v>
      </c>
      <c r="S11" s="122">
        <v>0</v>
      </c>
      <c r="T11" s="122">
        <v>0</v>
      </c>
      <c r="U11" s="123"/>
    </row>
    <row r="12" spans="2:21" x14ac:dyDescent="0.35">
      <c r="B12" s="263"/>
      <c r="C12" s="117" t="s">
        <v>56</v>
      </c>
      <c r="D12" s="121">
        <v>17.600000000000001</v>
      </c>
      <c r="E12" s="122">
        <v>17.600000000000001</v>
      </c>
      <c r="F12" s="124">
        <v>17.600000000000001</v>
      </c>
      <c r="G12" s="122">
        <v>17.600000000000001</v>
      </c>
      <c r="H12" s="122">
        <v>33</v>
      </c>
      <c r="I12" s="122">
        <v>35</v>
      </c>
      <c r="J12" s="124">
        <v>35</v>
      </c>
      <c r="K12" s="122">
        <v>40</v>
      </c>
      <c r="L12" s="122">
        <v>40</v>
      </c>
      <c r="M12" s="122">
        <v>45</v>
      </c>
      <c r="N12" s="124">
        <v>40</v>
      </c>
      <c r="O12" s="122">
        <v>21.6</v>
      </c>
      <c r="P12" s="122">
        <v>21.6</v>
      </c>
      <c r="Q12" s="122">
        <v>60</v>
      </c>
      <c r="R12" s="122">
        <v>64</v>
      </c>
      <c r="S12" s="122">
        <v>62</v>
      </c>
      <c r="T12" s="122">
        <v>82</v>
      </c>
      <c r="U12" s="123"/>
    </row>
    <row r="13" spans="2:21" x14ac:dyDescent="0.35">
      <c r="B13" s="263"/>
      <c r="C13" s="117" t="s">
        <v>57</v>
      </c>
      <c r="D13" s="121">
        <v>145</v>
      </c>
      <c r="E13" s="122">
        <v>145</v>
      </c>
      <c r="F13" s="124">
        <v>145</v>
      </c>
      <c r="G13" s="124">
        <v>145</v>
      </c>
      <c r="H13" s="124">
        <f>IFERROR(IF(H8="Electric","Check online",H12/(H10/100)),"")</f>
        <v>825</v>
      </c>
      <c r="I13" s="124">
        <f>IFERROR(IF(I8="Electric","Check online",I12/(I10/100)),"")</f>
        <v>945.94594594594582</v>
      </c>
      <c r="J13" s="124">
        <f t="shared" ref="J13" si="0">IFERROR(IF(J8="Electric","Check online",J12/(J10/100)),"")</f>
        <v>945.94594594594582</v>
      </c>
      <c r="K13" s="124">
        <f>IFERROR(IF(K8="Electric","Check online",K12/(K10/100)),"")</f>
        <v>1111.1111111111111</v>
      </c>
      <c r="L13" s="124">
        <f>IFERROR(IF(L8="Electric","Check online",L12/(L10/100)),"")</f>
        <v>975.6097560975611</v>
      </c>
      <c r="M13" s="124">
        <f>IFERROR(IF(M8="Electric","Check online",M12/(M10/100)),"")</f>
        <v>1125</v>
      </c>
      <c r="N13" s="124">
        <f>IFERROR(IF(N8="Electric","Check online",N12/(N10/100)),"")</f>
        <v>909.09090909090901</v>
      </c>
      <c r="O13" s="124">
        <v>250</v>
      </c>
      <c r="P13" s="124">
        <v>250</v>
      </c>
      <c r="Q13" s="124">
        <v>305</v>
      </c>
      <c r="R13" s="124">
        <v>335</v>
      </c>
      <c r="S13" s="124">
        <v>310</v>
      </c>
      <c r="T13" s="124">
        <v>460</v>
      </c>
      <c r="U13" s="125" t="str">
        <f t="shared" ref="U13" si="1">IFERROR(IF(U8="Electric","Check online",U12/(U10/100)),"")</f>
        <v/>
      </c>
    </row>
    <row r="14" spans="2:21" x14ac:dyDescent="0.35">
      <c r="B14" s="267"/>
      <c r="C14" s="117" t="s">
        <v>106</v>
      </c>
      <c r="D14" s="121">
        <v>22</v>
      </c>
      <c r="E14" s="122">
        <v>22</v>
      </c>
      <c r="F14" s="124">
        <v>22</v>
      </c>
      <c r="G14" s="124">
        <v>22</v>
      </c>
      <c r="H14" s="124"/>
      <c r="I14" s="124"/>
      <c r="J14" s="124"/>
      <c r="K14" s="124"/>
      <c r="L14" s="124"/>
      <c r="M14" s="124"/>
      <c r="N14" s="124"/>
      <c r="O14" s="124"/>
      <c r="P14" s="124"/>
      <c r="Q14" s="124">
        <v>46</v>
      </c>
      <c r="R14" s="124">
        <v>135</v>
      </c>
      <c r="S14" s="124">
        <v>100</v>
      </c>
      <c r="T14" s="124">
        <v>250</v>
      </c>
      <c r="U14" s="125"/>
    </row>
    <row r="15" spans="2:21" x14ac:dyDescent="0.35">
      <c r="B15" s="268" t="s">
        <v>220</v>
      </c>
      <c r="C15" s="3" t="s">
        <v>104</v>
      </c>
      <c r="D15" s="67"/>
      <c r="E15" s="68"/>
      <c r="F15" s="145"/>
      <c r="G15" s="68"/>
      <c r="H15" s="68"/>
      <c r="I15" s="68"/>
      <c r="J15" s="145"/>
      <c r="K15" s="68"/>
      <c r="L15" s="68"/>
      <c r="M15" s="68"/>
      <c r="N15" s="145"/>
      <c r="O15" s="68"/>
      <c r="P15" s="68"/>
      <c r="Q15" s="68"/>
      <c r="R15" s="68"/>
      <c r="S15" s="68"/>
      <c r="T15" s="68"/>
      <c r="U15" s="69"/>
    </row>
    <row r="16" spans="2:21" x14ac:dyDescent="0.35">
      <c r="B16" s="265"/>
      <c r="C16" s="3" t="s">
        <v>86</v>
      </c>
      <c r="D16" s="70"/>
      <c r="E16" s="71"/>
      <c r="F16" s="147"/>
      <c r="G16" s="71"/>
      <c r="H16" s="71"/>
      <c r="I16" s="71"/>
      <c r="J16" s="147"/>
      <c r="K16" s="71"/>
      <c r="L16" s="71"/>
      <c r="M16" s="71"/>
      <c r="N16" s="147"/>
      <c r="O16" s="71"/>
      <c r="P16" s="71"/>
      <c r="Q16" s="71"/>
      <c r="R16" s="71"/>
      <c r="S16" s="71"/>
      <c r="T16" s="71"/>
      <c r="U16" s="72"/>
    </row>
    <row r="17" spans="2:21" x14ac:dyDescent="0.35">
      <c r="B17" s="266"/>
      <c r="C17" s="3" t="s">
        <v>61</v>
      </c>
      <c r="D17" s="67"/>
      <c r="E17" s="68"/>
      <c r="F17" s="145"/>
      <c r="G17" s="68"/>
      <c r="H17" s="68"/>
      <c r="I17" s="68"/>
      <c r="J17" s="145"/>
      <c r="K17" s="68"/>
      <c r="L17" s="68"/>
      <c r="M17" s="68"/>
      <c r="N17" s="145"/>
      <c r="O17" s="68"/>
      <c r="P17" s="68"/>
      <c r="Q17" s="68"/>
      <c r="R17" s="68"/>
      <c r="S17" s="68"/>
      <c r="T17" s="68"/>
      <c r="U17" s="69"/>
    </row>
    <row r="18" spans="2:21" x14ac:dyDescent="0.35">
      <c r="B18" s="262" t="s">
        <v>219</v>
      </c>
      <c r="C18" s="117" t="s">
        <v>60</v>
      </c>
      <c r="D18" s="118" t="s">
        <v>143</v>
      </c>
      <c r="E18" s="119" t="s">
        <v>143</v>
      </c>
      <c r="F18" s="146" t="s">
        <v>143</v>
      </c>
      <c r="G18" s="119" t="s">
        <v>143</v>
      </c>
      <c r="H18" s="119" t="s">
        <v>143</v>
      </c>
      <c r="I18" s="119"/>
      <c r="J18" s="146"/>
      <c r="K18" s="119" t="s">
        <v>77</v>
      </c>
      <c r="L18" s="119" t="s">
        <v>77</v>
      </c>
      <c r="M18" s="119"/>
      <c r="N18" s="146" t="s">
        <v>77</v>
      </c>
      <c r="O18" s="119" t="s">
        <v>253</v>
      </c>
      <c r="P18" s="119" t="s">
        <v>253</v>
      </c>
      <c r="Q18" s="119"/>
      <c r="R18" s="119"/>
      <c r="S18" s="119" t="s">
        <v>77</v>
      </c>
      <c r="T18" s="119" t="s">
        <v>77</v>
      </c>
      <c r="U18" s="120"/>
    </row>
    <row r="19" spans="2:21" x14ac:dyDescent="0.35">
      <c r="B19" s="267"/>
      <c r="C19" s="117" t="s">
        <v>61</v>
      </c>
      <c r="D19" s="118"/>
      <c r="E19" s="119"/>
      <c r="F19" s="146"/>
      <c r="G19" s="119"/>
      <c r="H19" s="119"/>
      <c r="I19" s="119"/>
      <c r="J19" s="146"/>
      <c r="K19" s="119"/>
      <c r="L19" s="119" t="s">
        <v>206</v>
      </c>
      <c r="M19" s="119"/>
      <c r="N19" s="146" t="s">
        <v>117</v>
      </c>
      <c r="O19" s="119"/>
      <c r="P19" s="119"/>
      <c r="Q19" s="119"/>
      <c r="R19" s="119"/>
      <c r="S19" s="119"/>
      <c r="T19" s="119"/>
      <c r="U19" s="120"/>
    </row>
    <row r="20" spans="2:21" x14ac:dyDescent="0.35">
      <c r="B20" s="268" t="s">
        <v>221</v>
      </c>
      <c r="C20" s="3" t="s">
        <v>79</v>
      </c>
      <c r="D20" s="67" t="s">
        <v>143</v>
      </c>
      <c r="E20" s="68" t="s">
        <v>143</v>
      </c>
      <c r="F20" s="145" t="s">
        <v>143</v>
      </c>
      <c r="G20" s="68" t="s">
        <v>143</v>
      </c>
      <c r="H20" s="68" t="s">
        <v>143</v>
      </c>
      <c r="I20" s="68" t="s">
        <v>238</v>
      </c>
      <c r="J20" s="145"/>
      <c r="K20" s="68"/>
      <c r="L20" s="68"/>
      <c r="M20" s="68"/>
      <c r="N20" s="145"/>
      <c r="O20" s="68" t="s">
        <v>254</v>
      </c>
      <c r="P20" s="68" t="s">
        <v>254</v>
      </c>
      <c r="Q20" s="68"/>
      <c r="R20" s="68" t="s">
        <v>201</v>
      </c>
      <c r="S20" s="68" t="s">
        <v>128</v>
      </c>
      <c r="T20" s="68"/>
      <c r="U20" s="69"/>
    </row>
    <row r="21" spans="2:21" x14ac:dyDescent="0.35">
      <c r="B21" s="265"/>
      <c r="C21" s="3" t="s">
        <v>62</v>
      </c>
      <c r="D21" s="67" t="s">
        <v>143</v>
      </c>
      <c r="E21" s="68" t="s">
        <v>143</v>
      </c>
      <c r="F21" s="145" t="s">
        <v>143</v>
      </c>
      <c r="G21" s="68" t="s">
        <v>143</v>
      </c>
      <c r="H21" s="68"/>
      <c r="I21" s="68" t="s">
        <v>143</v>
      </c>
      <c r="J21" s="145"/>
      <c r="K21" s="68" t="s">
        <v>77</v>
      </c>
      <c r="L21" s="68"/>
      <c r="M21" s="68"/>
      <c r="N21" s="145" t="s">
        <v>77</v>
      </c>
      <c r="O21" s="68"/>
      <c r="P21" s="68"/>
      <c r="Q21" s="68"/>
      <c r="R21" s="68"/>
      <c r="S21" s="68"/>
      <c r="T21" s="68"/>
      <c r="U21" s="69"/>
    </row>
    <row r="22" spans="2:21" x14ac:dyDescent="0.35">
      <c r="B22" s="262" t="s">
        <v>58</v>
      </c>
      <c r="C22" s="117" t="s">
        <v>65</v>
      </c>
      <c r="D22" s="118" t="s">
        <v>143</v>
      </c>
      <c r="E22" s="119" t="s">
        <v>143</v>
      </c>
      <c r="F22" s="146" t="s">
        <v>143</v>
      </c>
      <c r="G22" s="119" t="s">
        <v>143</v>
      </c>
      <c r="H22" s="119" t="s">
        <v>143</v>
      </c>
      <c r="I22" s="119" t="s">
        <v>143</v>
      </c>
      <c r="J22" s="146"/>
      <c r="K22" s="119"/>
      <c r="L22" s="119" t="s">
        <v>143</v>
      </c>
      <c r="M22" s="119" t="s">
        <v>77</v>
      </c>
      <c r="N22" s="146"/>
      <c r="O22" s="119" t="s">
        <v>150</v>
      </c>
      <c r="P22" s="119" t="s">
        <v>150</v>
      </c>
      <c r="Q22" s="119" t="s">
        <v>150</v>
      </c>
      <c r="R22" s="119"/>
      <c r="S22" s="119" t="s">
        <v>129</v>
      </c>
      <c r="T22" s="119" t="s">
        <v>129</v>
      </c>
      <c r="U22" s="120"/>
    </row>
    <row r="23" spans="2:21" x14ac:dyDescent="0.35">
      <c r="B23" s="263"/>
      <c r="C23" s="117" t="s">
        <v>64</v>
      </c>
      <c r="D23" s="118" t="s">
        <v>143</v>
      </c>
      <c r="E23" s="119" t="s">
        <v>143</v>
      </c>
      <c r="F23" s="146" t="s">
        <v>143</v>
      </c>
      <c r="G23" s="119" t="s">
        <v>143</v>
      </c>
      <c r="H23" s="119" t="s">
        <v>143</v>
      </c>
      <c r="I23" s="119" t="s">
        <v>77</v>
      </c>
      <c r="J23" s="146"/>
      <c r="K23" s="119"/>
      <c r="L23" s="119"/>
      <c r="M23" s="119" t="s">
        <v>143</v>
      </c>
      <c r="N23" s="146" t="s">
        <v>77</v>
      </c>
      <c r="O23" s="119" t="s">
        <v>77</v>
      </c>
      <c r="P23" s="119" t="s">
        <v>77</v>
      </c>
      <c r="Q23" s="119" t="s">
        <v>77</v>
      </c>
      <c r="R23" s="119"/>
      <c r="S23" s="119" t="s">
        <v>77</v>
      </c>
      <c r="T23" s="119" t="s">
        <v>77</v>
      </c>
      <c r="U23" s="120"/>
    </row>
    <row r="24" spans="2:21" x14ac:dyDescent="0.35">
      <c r="B24" s="263"/>
      <c r="C24" s="117" t="s">
        <v>63</v>
      </c>
      <c r="D24" s="118" t="s">
        <v>143</v>
      </c>
      <c r="E24" s="119" t="s">
        <v>143</v>
      </c>
      <c r="F24" s="146" t="s">
        <v>143</v>
      </c>
      <c r="G24" s="119" t="s">
        <v>143</v>
      </c>
      <c r="H24" s="119" t="s">
        <v>143</v>
      </c>
      <c r="I24" s="119" t="s">
        <v>143</v>
      </c>
      <c r="J24" s="146"/>
      <c r="K24" s="119"/>
      <c r="L24" s="119" t="s">
        <v>143</v>
      </c>
      <c r="M24" s="119" t="s">
        <v>143</v>
      </c>
      <c r="N24" s="146"/>
      <c r="O24" s="119" t="s">
        <v>77</v>
      </c>
      <c r="P24" s="119" t="s">
        <v>77</v>
      </c>
      <c r="Q24" s="119" t="s">
        <v>77</v>
      </c>
      <c r="R24" s="119"/>
      <c r="S24" s="119" t="s">
        <v>77</v>
      </c>
      <c r="T24" s="119" t="s">
        <v>77</v>
      </c>
      <c r="U24" s="120"/>
    </row>
    <row r="25" spans="2:21" x14ac:dyDescent="0.35">
      <c r="B25" s="263"/>
      <c r="C25" s="117" t="s">
        <v>204</v>
      </c>
      <c r="D25" s="118" t="s">
        <v>77</v>
      </c>
      <c r="E25" s="119" t="s">
        <v>77</v>
      </c>
      <c r="F25" s="146" t="s">
        <v>77</v>
      </c>
      <c r="G25" s="119" t="s">
        <v>77</v>
      </c>
      <c r="H25" s="119" t="s">
        <v>77</v>
      </c>
      <c r="I25" s="119" t="s">
        <v>143</v>
      </c>
      <c r="J25" s="146"/>
      <c r="K25" s="119"/>
      <c r="L25" s="119" t="s">
        <v>143</v>
      </c>
      <c r="M25" s="119" t="s">
        <v>143</v>
      </c>
      <c r="N25" s="146" t="s">
        <v>143</v>
      </c>
      <c r="O25" s="119" t="s">
        <v>77</v>
      </c>
      <c r="P25" s="119" t="s">
        <v>77</v>
      </c>
      <c r="Q25" s="119"/>
      <c r="R25" s="119"/>
      <c r="S25" s="119" t="s">
        <v>77</v>
      </c>
      <c r="T25" s="119" t="s">
        <v>205</v>
      </c>
      <c r="U25" s="120"/>
    </row>
    <row r="26" spans="2:21" x14ac:dyDescent="0.35">
      <c r="B26" s="263"/>
      <c r="C26" s="117" t="s">
        <v>59</v>
      </c>
      <c r="D26" s="118" t="s">
        <v>143</v>
      </c>
      <c r="E26" s="119" t="s">
        <v>143</v>
      </c>
      <c r="F26" s="146" t="s">
        <v>143</v>
      </c>
      <c r="G26" s="119" t="s">
        <v>143</v>
      </c>
      <c r="H26" s="119" t="s">
        <v>143</v>
      </c>
      <c r="I26" s="119" t="s">
        <v>143</v>
      </c>
      <c r="J26" s="146"/>
      <c r="K26" s="119"/>
      <c r="L26" s="119" t="s">
        <v>143</v>
      </c>
      <c r="M26" s="119" t="s">
        <v>143</v>
      </c>
      <c r="N26" s="146"/>
      <c r="O26" s="119" t="s">
        <v>143</v>
      </c>
      <c r="P26" s="119" t="s">
        <v>143</v>
      </c>
      <c r="Q26" s="119"/>
      <c r="R26" s="119"/>
      <c r="S26" s="119"/>
      <c r="T26" s="119" t="s">
        <v>77</v>
      </c>
      <c r="U26" s="120"/>
    </row>
    <row r="27" spans="2:21" x14ac:dyDescent="0.35">
      <c r="B27" s="263"/>
      <c r="C27" s="117" t="s">
        <v>85</v>
      </c>
      <c r="D27" s="118" t="s">
        <v>143</v>
      </c>
      <c r="E27" s="119" t="s">
        <v>143</v>
      </c>
      <c r="F27" s="146" t="s">
        <v>143</v>
      </c>
      <c r="G27" s="119" t="s">
        <v>143</v>
      </c>
      <c r="H27" s="119" t="s">
        <v>143</v>
      </c>
      <c r="I27" s="119" t="s">
        <v>143</v>
      </c>
      <c r="J27" s="146"/>
      <c r="K27" s="119"/>
      <c r="L27" s="119"/>
      <c r="M27" s="119"/>
      <c r="N27" s="146"/>
      <c r="O27" s="119"/>
      <c r="P27" s="119"/>
      <c r="Q27" s="119"/>
      <c r="R27" s="119"/>
      <c r="S27" s="119" t="s">
        <v>77</v>
      </c>
      <c r="T27" s="119" t="s">
        <v>77</v>
      </c>
      <c r="U27" s="120"/>
    </row>
    <row r="28" spans="2:21" x14ac:dyDescent="0.35">
      <c r="B28" s="267"/>
      <c r="C28" s="117" t="s">
        <v>61</v>
      </c>
      <c r="D28" s="118"/>
      <c r="E28" s="119"/>
      <c r="F28" s="146" t="s">
        <v>264</v>
      </c>
      <c r="G28" s="119"/>
      <c r="H28" s="119" t="s">
        <v>265</v>
      </c>
      <c r="I28" s="119" t="s">
        <v>234</v>
      </c>
      <c r="J28" s="146"/>
      <c r="K28" s="119" t="s">
        <v>247</v>
      </c>
      <c r="L28" s="119" t="s">
        <v>248</v>
      </c>
      <c r="M28" s="119" t="s">
        <v>247</v>
      </c>
      <c r="N28" s="146" t="s">
        <v>246</v>
      </c>
      <c r="O28" s="119" t="s">
        <v>255</v>
      </c>
      <c r="P28" s="119" t="s">
        <v>255</v>
      </c>
      <c r="Q28" s="119"/>
      <c r="R28" s="119"/>
      <c r="S28" s="119" t="s">
        <v>125</v>
      </c>
      <c r="T28" s="119" t="s">
        <v>210</v>
      </c>
      <c r="U28" s="120"/>
    </row>
    <row r="29" spans="2:21" x14ac:dyDescent="0.35">
      <c r="B29" s="268" t="s">
        <v>61</v>
      </c>
      <c r="C29" s="3" t="s">
        <v>67</v>
      </c>
      <c r="D29" s="67" t="s">
        <v>144</v>
      </c>
      <c r="E29" s="68" t="s">
        <v>144</v>
      </c>
      <c r="F29" s="145" t="s">
        <v>263</v>
      </c>
      <c r="G29" s="68" t="s">
        <v>144</v>
      </c>
      <c r="H29" s="68" t="s">
        <v>138</v>
      </c>
      <c r="I29" s="68" t="s">
        <v>237</v>
      </c>
      <c r="J29" s="145"/>
      <c r="K29" s="68" t="s">
        <v>120</v>
      </c>
      <c r="L29" s="68" t="s">
        <v>138</v>
      </c>
      <c r="M29" s="68" t="s">
        <v>138</v>
      </c>
      <c r="N29" s="145" t="s">
        <v>116</v>
      </c>
      <c r="O29" s="68" t="s">
        <v>138</v>
      </c>
      <c r="P29" s="68" t="s">
        <v>138</v>
      </c>
      <c r="Q29" s="68" t="s">
        <v>138</v>
      </c>
      <c r="R29" s="68"/>
      <c r="S29" s="68" t="s">
        <v>131</v>
      </c>
      <c r="T29" s="68" t="s">
        <v>138</v>
      </c>
      <c r="U29" s="69"/>
    </row>
    <row r="30" spans="2:21" x14ac:dyDescent="0.35">
      <c r="B30" s="265"/>
      <c r="C30" s="3" t="s">
        <v>118</v>
      </c>
      <c r="D30" s="73">
        <v>875</v>
      </c>
      <c r="E30" s="74">
        <v>875</v>
      </c>
      <c r="F30" s="148">
        <v>875</v>
      </c>
      <c r="G30" s="74">
        <v>875</v>
      </c>
      <c r="H30" s="74">
        <v>705</v>
      </c>
      <c r="I30" s="74">
        <v>834</v>
      </c>
      <c r="J30" s="148"/>
      <c r="K30" s="74">
        <v>1011</v>
      </c>
      <c r="L30" s="74">
        <v>1160</v>
      </c>
      <c r="M30" s="74">
        <v>1007</v>
      </c>
      <c r="N30" s="148">
        <v>1072</v>
      </c>
      <c r="O30" s="74">
        <v>1290</v>
      </c>
      <c r="P30" s="74">
        <v>1290</v>
      </c>
      <c r="Q30" s="74">
        <v>1691</v>
      </c>
      <c r="R30" s="74">
        <v>1685</v>
      </c>
      <c r="S30" s="74">
        <v>1756</v>
      </c>
      <c r="T30" s="74">
        <v>1919</v>
      </c>
      <c r="U30" s="75"/>
    </row>
    <row r="31" spans="2:21" x14ac:dyDescent="0.35">
      <c r="B31" s="266"/>
      <c r="C31" s="3" t="s">
        <v>87</v>
      </c>
      <c r="D31" s="73"/>
      <c r="E31" s="74"/>
      <c r="F31" s="148"/>
      <c r="G31" s="74"/>
      <c r="H31" s="74"/>
      <c r="I31" s="74"/>
      <c r="J31" s="148"/>
      <c r="K31" s="74"/>
      <c r="L31" s="74"/>
      <c r="M31" s="74"/>
      <c r="N31" s="148"/>
      <c r="O31" s="74"/>
      <c r="P31" s="74"/>
      <c r="Q31" s="74"/>
      <c r="R31" s="74" t="s">
        <v>134</v>
      </c>
      <c r="S31" s="74"/>
      <c r="T31" s="74" t="s">
        <v>139</v>
      </c>
      <c r="U31" s="75"/>
    </row>
    <row r="32" spans="2:21" x14ac:dyDescent="0.35">
      <c r="B32" s="262" t="s">
        <v>66</v>
      </c>
      <c r="C32" s="117"/>
      <c r="D32" s="118"/>
      <c r="E32" s="119"/>
      <c r="F32" s="146"/>
      <c r="G32" s="119"/>
      <c r="H32" s="119"/>
      <c r="I32" s="119"/>
      <c r="J32" s="146"/>
      <c r="K32" s="119"/>
      <c r="L32" s="119"/>
      <c r="M32" s="119"/>
      <c r="N32" s="146"/>
      <c r="O32" s="119"/>
      <c r="P32" s="119"/>
      <c r="Q32" s="119"/>
      <c r="R32" s="119"/>
      <c r="S32" s="119"/>
      <c r="T32" s="119"/>
      <c r="U32" s="120"/>
    </row>
    <row r="33" spans="2:21" x14ac:dyDescent="0.35">
      <c r="B33" s="267"/>
      <c r="C33" s="117"/>
      <c r="D33" s="118"/>
      <c r="E33" s="119"/>
      <c r="F33" s="146"/>
      <c r="G33" s="119"/>
      <c r="H33" s="119"/>
      <c r="I33" s="119"/>
      <c r="J33" s="146"/>
      <c r="K33" s="119"/>
      <c r="L33" s="119"/>
      <c r="M33" s="119"/>
      <c r="N33" s="146"/>
      <c r="O33" s="119"/>
      <c r="P33" s="119"/>
      <c r="Q33" s="119"/>
      <c r="R33" s="119"/>
      <c r="S33" s="119"/>
      <c r="T33" s="119"/>
      <c r="U33" s="120"/>
    </row>
    <row r="34" spans="2:21" x14ac:dyDescent="0.35">
      <c r="B34" s="126" t="s">
        <v>113</v>
      </c>
      <c r="C34" s="117"/>
      <c r="D34" s="118" t="s">
        <v>109</v>
      </c>
      <c r="E34" s="119" t="s">
        <v>109</v>
      </c>
      <c r="F34" s="146" t="s">
        <v>109</v>
      </c>
      <c r="G34" s="119" t="s">
        <v>109</v>
      </c>
      <c r="H34" s="119" t="s">
        <v>109</v>
      </c>
      <c r="I34" s="119" t="s">
        <v>109</v>
      </c>
      <c r="J34" s="146" t="s">
        <v>109</v>
      </c>
      <c r="K34" s="119" t="s">
        <v>109</v>
      </c>
      <c r="L34" s="119" t="s">
        <v>109</v>
      </c>
      <c r="M34" s="119" t="s">
        <v>109</v>
      </c>
      <c r="N34" s="146" t="s">
        <v>109</v>
      </c>
      <c r="O34" s="119" t="s">
        <v>109</v>
      </c>
      <c r="P34" s="119" t="s">
        <v>109</v>
      </c>
      <c r="Q34" s="119" t="s">
        <v>109</v>
      </c>
      <c r="R34" s="119" t="s">
        <v>95</v>
      </c>
      <c r="S34" s="119" t="s">
        <v>95</v>
      </c>
      <c r="T34" s="119" t="s">
        <v>140</v>
      </c>
      <c r="U34" s="120"/>
    </row>
    <row r="35" spans="2:21" x14ac:dyDescent="0.35">
      <c r="B35" s="269" t="s">
        <v>103</v>
      </c>
      <c r="C35" s="3" t="s">
        <v>217</v>
      </c>
      <c r="D35" s="67" t="s">
        <v>94</v>
      </c>
      <c r="E35" s="68" t="s">
        <v>94</v>
      </c>
      <c r="F35" s="145" t="s">
        <v>94</v>
      </c>
      <c r="G35" s="68" t="s">
        <v>94</v>
      </c>
      <c r="H35" s="68" t="s">
        <v>94</v>
      </c>
      <c r="I35" s="68" t="s">
        <v>94</v>
      </c>
      <c r="J35" s="145" t="s">
        <v>93</v>
      </c>
      <c r="K35" s="68" t="s">
        <v>94</v>
      </c>
      <c r="L35" s="68" t="s">
        <v>94</v>
      </c>
      <c r="M35" s="68" t="s">
        <v>94</v>
      </c>
      <c r="N35" s="145" t="s">
        <v>94</v>
      </c>
      <c r="O35" s="68" t="s">
        <v>94</v>
      </c>
      <c r="P35" s="68" t="s">
        <v>94</v>
      </c>
      <c r="Q35" s="68" t="s">
        <v>94</v>
      </c>
      <c r="R35" s="68" t="s">
        <v>94</v>
      </c>
      <c r="S35" s="68" t="s">
        <v>94</v>
      </c>
      <c r="T35" s="68" t="s">
        <v>94</v>
      </c>
      <c r="U35" s="69"/>
    </row>
    <row r="36" spans="2:21" x14ac:dyDescent="0.35">
      <c r="B36" s="269"/>
      <c r="C36" s="3" t="s">
        <v>218</v>
      </c>
      <c r="D36" s="134"/>
      <c r="E36" s="135"/>
      <c r="F36" s="149"/>
      <c r="G36" s="135"/>
      <c r="H36" s="135"/>
      <c r="I36" s="135"/>
      <c r="J36" s="149">
        <v>2</v>
      </c>
      <c r="K36" s="135"/>
      <c r="L36" s="135"/>
      <c r="M36" s="135"/>
      <c r="N36" s="149"/>
      <c r="O36" s="135"/>
      <c r="P36" s="135"/>
      <c r="Q36" s="135"/>
      <c r="R36" s="135"/>
      <c r="S36" s="135"/>
      <c r="T36" s="135"/>
      <c r="U36" s="136"/>
    </row>
    <row r="37" spans="2:21" x14ac:dyDescent="0.35">
      <c r="B37" s="269"/>
      <c r="C37" s="3" t="s">
        <v>80</v>
      </c>
      <c r="D37" s="70">
        <v>8850</v>
      </c>
      <c r="E37" s="71">
        <v>8250</v>
      </c>
      <c r="F37" s="147">
        <v>9945</v>
      </c>
      <c r="G37" s="71">
        <v>8250</v>
      </c>
      <c r="H37" s="71">
        <v>2195</v>
      </c>
      <c r="I37" s="71">
        <v>8250</v>
      </c>
      <c r="J37" s="147">
        <f>258+218/2/12</f>
        <v>267.08333333333331</v>
      </c>
      <c r="K37" s="71">
        <v>13450</v>
      </c>
      <c r="L37" s="71">
        <v>15950</v>
      </c>
      <c r="M37" s="71">
        <v>11450</v>
      </c>
      <c r="N37" s="147">
        <v>26890</v>
      </c>
      <c r="O37" s="71">
        <v>17950</v>
      </c>
      <c r="P37" s="71">
        <v>17885</v>
      </c>
      <c r="Q37" s="71">
        <v>24650</v>
      </c>
      <c r="R37" s="71">
        <f>35190-1210</f>
        <v>33980</v>
      </c>
      <c r="S37" s="71">
        <v>41069</v>
      </c>
      <c r="T37" s="71">
        <v>36200</v>
      </c>
      <c r="U37" s="72"/>
    </row>
    <row r="38" spans="2:21" x14ac:dyDescent="0.35">
      <c r="B38" s="269"/>
      <c r="C38" s="16" t="s">
        <v>284</v>
      </c>
      <c r="D38" s="17">
        <f ca="1">IF(D37="","",IF(D35="Buy",IF(D34&lt;&gt;"Netherlands",Import!$B$14+IF(D8="Electric",0,IF(D8="PHEV",INDEX(Import!$B$25:$B$27,MATCH(D11,Import!$A$25:$A$27,1))+(D11-INDEX(Import!$A$25:$A$27,MATCH(D11,Import!$A$25:$A$27,1)))*INDEX(Import!$C$25:$C$27,MATCH(D11,Import!$A$25:$A$27,1)),INDEX(Import!$B$29:$B$33,MATCH(D11,Import!$A$29:$A$33,1))+(D11-INDEX(Import!$A$29:$A$33,MATCH(D11,Import!$A$29:$A$33,1)))*INDEX(Import!$C$29:$C$33,MATCH(D11,Import!$A$29:$A$33,1))))*(1-(INDEX(Import!$B36:$B49,MATCH((TODAY()-D57)/365.25,Import!$A36:$A49,1))+ROUNDUP(((TODAY()-D57)/365.25-INDEX(Import!$A36:$A49,MATCH((TODAY()-D57)/365.25,Import!$A36:$A49,1)))*12,0)*INDEX(Import!$C36:$C49,MATCH((TODAY()-D57)/365.25,Import!$A36:$A49,1)))),0),0))</f>
        <v>0</v>
      </c>
      <c r="E38" s="18">
        <f ca="1">IF(E37="","",IF(E35="Buy",IF(E34&lt;&gt;"Netherlands",Import!$B$14+IF(E8="Electric",0,IF(E8="PHEV",INDEX(Import!$B$25:$B$27,MATCH(E11,Import!$A$25:$A$27,1))+(E11-INDEX(Import!$A$25:$A$27,MATCH(E11,Import!$A$25:$A$27,1)))*INDEX(Import!$C$25:$C$27,MATCH(E11,Import!$A$25:$A$27,1)),INDEX(Import!$B$29:$B$33,MATCH(E11,Import!$A$29:$A$33,1))+(E11-INDEX(Import!$A$29:$A$33,MATCH(E11,Import!$A$29:$A$33,1)))*INDEX(Import!$C$29:$C$33,MATCH(E11,Import!$A$29:$A$33,1))))*(1-(INDEX(Import!$B36:$B49,MATCH((TODAY()-E57)/365.25,Import!$A36:$A49,1))+ROUNDUP(((TODAY()-E57)/365.25-INDEX(Import!$A36:$A49,MATCH((TODAY()-E57)/365.25,Import!$A36:$A49,1)))*12,0)*INDEX(Import!$C36:$C49,MATCH((TODAY()-E57)/365.25,Import!$A36:$A49,1)))),0),0))</f>
        <v>0</v>
      </c>
      <c r="F38" s="150">
        <f ca="1">IF(F37="","",IF(F35="Buy",IF(F34&lt;&gt;"Netherlands",Import!$B$14+IF(F8="Electric",0,IF(F8="PHEV",INDEX(Import!$B$25:$B$27,MATCH(F11,Import!$A$25:$A$27,1))+(F11-INDEX(Import!$A$25:$A$27,MATCH(F11,Import!$A$25:$A$27,1)))*INDEX(Import!$C$25:$C$27,MATCH(F11,Import!$A$25:$A$27,1)),INDEX(Import!$B$29:$B$33,MATCH(F11,Import!$A$29:$A$33,1))+(F11-INDEX(Import!$A$29:$A$33,MATCH(F11,Import!$A$29:$A$33,1)))*INDEX(Import!$C$29:$C$33,MATCH(F11,Import!$A$29:$A$33,1))))*(1-(INDEX(Import!$B36:$B49,MATCH((TODAY()-F57)/365.25,Import!$A36:$A49,1))+ROUNDUP(((TODAY()-F57)/365.25-INDEX(Import!$A36:$A49,MATCH((TODAY()-F57)/365.25,Import!$A36:$A49,1)))*12,0)*INDEX(Import!$C36:$C49,MATCH((TODAY()-F57)/365.25,Import!$A36:$A49,1)))),0),0))</f>
        <v>0</v>
      </c>
      <c r="G38" s="18">
        <f ca="1">IF(G37="","",IF(G35="Buy",IF(G34&lt;&gt;"Netherlands",Import!$B$14+IF(G8="Electric",0,IF(G8="PHEV",INDEX(Import!$B$25:$B$27,MATCH(G11,Import!$A$25:$A$27,1))+(G11-INDEX(Import!$A$25:$A$27,MATCH(G11,Import!$A$25:$A$27,1)))*INDEX(Import!$C$25:$C$27,MATCH(G11,Import!$A$25:$A$27,1)),INDEX(Import!$B$29:$B$33,MATCH(G11,Import!$A$29:$A$33,1))+(G11-INDEX(Import!$A$29:$A$33,MATCH(G11,Import!$A$29:$A$33,1)))*INDEX(Import!$C$29:$C$33,MATCH(G11,Import!$A$29:$A$33,1))))*(1-(INDEX(Import!$B36:$B49,MATCH((TODAY()-G57)/365.25,Import!$A36:$A49,1))+ROUNDUP(((TODAY()-G57)/365.25-INDEX(Import!$A36:$A49,MATCH((TODAY()-G57)/365.25,Import!$A36:$A49,1)))*12,0)*INDEX(Import!$C36:$C49,MATCH((TODAY()-G57)/365.25,Import!$A36:$A49,1)))),0),0))</f>
        <v>0</v>
      </c>
      <c r="H38" s="18">
        <f ca="1">IF(H37="","",IF(H35="Buy",IF(H34&lt;&gt;"Netherlands",Import!$B$14+IF(H8="Electric",0,IF(H8="PHEV",INDEX(Import!$B$25:$B$27,MATCH(H11,Import!$A$25:$A$27,1))+(H11-INDEX(Import!$A$25:$A$27,MATCH(H11,Import!$A$25:$A$27,1)))*INDEX(Import!$C$25:$C$27,MATCH(H11,Import!$A$25:$A$27,1)),INDEX(Import!$B$29:$B$33,MATCH(H11,Import!$A$29:$A$33,1))+(H11-INDEX(Import!$A$29:$A$33,MATCH(H11,Import!$A$29:$A$33,1)))*INDEX(Import!$C$29:$C$33,MATCH(H11,Import!$A$29:$A$33,1))))*(1-(INDEX(Import!$B36:$B49,MATCH((TODAY()-H57)/365.25,Import!$A36:$A49,1))+ROUNDUP(((TODAY()-H57)/365.25-INDEX(Import!$A36:$A49,MATCH((TODAY()-H57)/365.25,Import!$A36:$A49,1)))*12,0)*INDEX(Import!$C36:$C49,MATCH((TODAY()-H57)/365.25,Import!$A36:$A49,1)))),0),0))</f>
        <v>0</v>
      </c>
      <c r="I38" s="18">
        <f ca="1">IF(I37="","",IF(I35="Buy",IF(I34&lt;&gt;"Netherlands",Import!$B$14+IF(I8="Electric",0,IF(I8="PHEV",INDEX(Import!$B$25:$B$27,MATCH(I11,Import!$A$25:$A$27,1))+(I11-INDEX(Import!$A$25:$A$27,MATCH(I11,Import!$A$25:$A$27,1)))*INDEX(Import!$C$25:$C$27,MATCH(I11,Import!$A$25:$A$27,1)),INDEX(Import!$B$29:$B$33,MATCH(I11,Import!$A$29:$A$33,1))+(I11-INDEX(Import!$A$29:$A$33,MATCH(I11,Import!$A$29:$A$33,1)))*INDEX(Import!$C$29:$C$33,MATCH(I11,Import!$A$29:$A$33,1))))*(1-(INDEX(Import!$B36:$B49,MATCH((TODAY()-I57)/365.25,Import!$A36:$A49,1))+ROUNDUP(((TODAY()-I57)/365.25-INDEX(Import!$A36:$A49,MATCH((TODAY()-I57)/365.25,Import!$A36:$A49,1)))*12,0)*INDEX(Import!$C36:$C49,MATCH((TODAY()-I57)/365.25,Import!$A36:$A49,1)))),0),0))</f>
        <v>0</v>
      </c>
      <c r="J38" s="150">
        <f ca="1">IF(J37="","",IF(J35="Buy",IF(J34&lt;&gt;"Netherlands",Import!$B$14+IF(J8="Electric",0,IF(J8="PHEV",INDEX(Import!$B$25:$B$27,MATCH(J11,Import!$A$25:$A$27,1))+(J11-INDEX(Import!$A$25:$A$27,MATCH(J11,Import!$A$25:$A$27,1)))*INDEX(Import!$C$25:$C$27,MATCH(J11,Import!$A$25:$A$27,1)),INDEX(Import!$B$29:$B$33,MATCH(J11,Import!$A$29:$A$33,1))+(J11-INDEX(Import!$A$29:$A$33,MATCH(J11,Import!$A$29:$A$33,1)))*INDEX(Import!$C$29:$C$33,MATCH(J11,Import!$A$29:$A$33,1))))*(1-(INDEX(Import!$B36:$B49,MATCH((TODAY()-J57)/365.25,Import!$A36:$A49,1))+ROUNDUP(((TODAY()-J57)/365.25-INDEX(Import!$A36:$A49,MATCH((TODAY()-J57)/365.25,Import!$A36:$A49,1)))*12,0)*INDEX(Import!$C36:$C49,MATCH((TODAY()-J57)/365.25,Import!$A36:$A49,1)))),0),0))</f>
        <v>0</v>
      </c>
      <c r="K38" s="18">
        <f ca="1">IF(K37="","",IF(K35="Buy",IF(K34&lt;&gt;"Netherlands",Import!$B$14+IF(K8="Electric",0,IF(K8="PHEV",INDEX(Import!$B$25:$B$27,MATCH(K11,Import!$A$25:$A$27,1))+(K11-INDEX(Import!$A$25:$A$27,MATCH(K11,Import!$A$25:$A$27,1)))*INDEX(Import!$C$25:$C$27,MATCH(K11,Import!$A$25:$A$27,1)),INDEX(Import!$B$29:$B$33,MATCH(K11,Import!$A$29:$A$33,1))+(K11-INDEX(Import!$A$29:$A$33,MATCH(K11,Import!$A$29:$A$33,1)))*INDEX(Import!$C$29:$C$33,MATCH(K11,Import!$A$29:$A$33,1))))*(1-(INDEX(Import!$B36:$B49,MATCH((TODAY()-K57)/365.25,Import!$A36:$A49,1))+ROUNDUP(((TODAY()-K57)/365.25-INDEX(Import!$A36:$A49,MATCH((TODAY()-K57)/365.25,Import!$A36:$A49,1)))*12,0)*INDEX(Import!$C36:$C49,MATCH((TODAY()-K57)/365.25,Import!$A36:$A49,1)))),0),0))</f>
        <v>0</v>
      </c>
      <c r="L38" s="18">
        <f ca="1">IF(L37="","",IF(L35="Buy",IF(L34&lt;&gt;"Netherlands",Import!$B$14+IF(L8="Electric",0,IF(L8="PHEV",INDEX(Import!$B$25:$B$27,MATCH(L11,Import!$A$25:$A$27,1))+(L11-INDEX(Import!$A$25:$A$27,MATCH(L11,Import!$A$25:$A$27,1)))*INDEX(Import!$C$25:$C$27,MATCH(L11,Import!$A$25:$A$27,1)),INDEX(Import!$B$29:$B$33,MATCH(L11,Import!$A$29:$A$33,1))+(L11-INDEX(Import!$A$29:$A$33,MATCH(L11,Import!$A$29:$A$33,1)))*INDEX(Import!$C$29:$C$33,MATCH(L11,Import!$A$29:$A$33,1))))*(1-(INDEX(Import!$B36:$B49,MATCH((TODAY()-L57)/365.25,Import!$A36:$A49,1))+ROUNDUP(((TODAY()-L57)/365.25-INDEX(Import!$A36:$A49,MATCH((TODAY()-L57)/365.25,Import!$A36:$A49,1)))*12,0)*INDEX(Import!$C36:$C49,MATCH((TODAY()-L57)/365.25,Import!$A36:$A49,1)))),0),0))</f>
        <v>0</v>
      </c>
      <c r="M38" s="18">
        <f ca="1">IF(M37="","",IF(M35="Buy",IF(M34&lt;&gt;"Netherlands",Import!$B$14+IF(M8="Electric",0,IF(M8="PHEV",INDEX(Import!$B$25:$B$27,MATCH(M11,Import!$A$25:$A$27,1))+(M11-INDEX(Import!$A$25:$A$27,MATCH(M11,Import!$A$25:$A$27,1)))*INDEX(Import!$C$25:$C$27,MATCH(M11,Import!$A$25:$A$27,1)),INDEX(Import!$B$29:$B$33,MATCH(M11,Import!$A$29:$A$33,1))+(M11-INDEX(Import!$A$29:$A$33,MATCH(M11,Import!$A$29:$A$33,1)))*INDEX(Import!$C$29:$C$33,MATCH(M11,Import!$A$29:$A$33,1))))*(1-(INDEX(Import!$B36:$B49,MATCH((TODAY()-M57)/365.25,Import!$A36:$A49,1))+ROUNDUP(((TODAY()-M57)/365.25-INDEX(Import!$A36:$A49,MATCH((TODAY()-M57)/365.25,Import!$A36:$A49,1)))*12,0)*INDEX(Import!$C36:$C49,MATCH((TODAY()-M57)/365.25,Import!$A36:$A49,1)))),0),0))</f>
        <v>0</v>
      </c>
      <c r="N38" s="150">
        <f ca="1">IF(N37="","",IF(N35="Buy",IF(N34&lt;&gt;"Netherlands",Import!$B$14+IF(N8="Electric",0,IF(N8="PHEV",INDEX(Import!$B$25:$B$27,MATCH(N11,Import!$A$25:$A$27,1))+(N11-INDEX(Import!$A$25:$A$27,MATCH(N11,Import!$A$25:$A$27,1)))*INDEX(Import!$C$25:$C$27,MATCH(N11,Import!$A$25:$A$27,1)),INDEX(Import!$B$29:$B$33,MATCH(N11,Import!$A$29:$A$33,1))+(N11-INDEX(Import!$A$29:$A$33,MATCH(N11,Import!$A$29:$A$33,1)))*INDEX(Import!$C$29:$C$33,MATCH(N11,Import!$A$29:$A$33,1))))*(1-(INDEX(Import!$B36:$B49,MATCH((TODAY()-N57)/365.25,Import!$A36:$A49,1))+ROUNDUP(((TODAY()-N57)/365.25-INDEX(Import!$A36:$A49,MATCH((TODAY()-N57)/365.25,Import!$A36:$A49,1)))*12,0)*INDEX(Import!$C36:$C49,MATCH((TODAY()-N57)/365.25,Import!$A36:$A49,1)))),0),0))</f>
        <v>0</v>
      </c>
      <c r="O38" s="18">
        <f ca="1">IF(O37="","",IF(O35="Buy",IF(O34&lt;&gt;"Netherlands",Import!$B$14+IF(O8="Electric",0,IF(O8="PHEV",INDEX(Import!$B$25:$B$27,MATCH(O11,Import!$A$25:$A$27,1))+(O11-INDEX(Import!$A$25:$A$27,MATCH(O11,Import!$A$25:$A$27,1)))*INDEX(Import!$C$25:$C$27,MATCH(O11,Import!$A$25:$A$27,1)),INDEX(Import!$B$29:$B$33,MATCH(O11,Import!$A$29:$A$33,1))+(O11-INDEX(Import!$A$29:$A$33,MATCH(O11,Import!$A$29:$A$33,1)))*INDEX(Import!$C$29:$C$33,MATCH(O11,Import!$A$29:$A$33,1))))*(1-(INDEX(Import!$B36:$B49,MATCH((TODAY()-O57)/365.25,Import!$A36:$A49,1))+ROUNDUP(((TODAY()-O57)/365.25-INDEX(Import!$A36:$A49,MATCH((TODAY()-O57)/365.25,Import!$A36:$A49,1)))*12,0)*INDEX(Import!$C36:$C49,MATCH((TODAY()-O57)/365.25,Import!$A36:$A49,1)))),0),0))</f>
        <v>0</v>
      </c>
      <c r="P38" s="18">
        <f ca="1">IF(P37="","",IF(P35="Buy",IF(P34&lt;&gt;"Netherlands",Import!$B$14+IF(P8="Electric",0,IF(P8="PHEV",INDEX(Import!$B$25:$B$27,MATCH(P11,Import!$A$25:$A$27,1))+(P11-INDEX(Import!$A$25:$A$27,MATCH(P11,Import!$A$25:$A$27,1)))*INDEX(Import!$C$25:$C$27,MATCH(P11,Import!$A$25:$A$27,1)),INDEX(Import!$B$29:$B$33,MATCH(P11,Import!$A$29:$A$33,1))+(P11-INDEX(Import!$A$29:$A$33,MATCH(P11,Import!$A$29:$A$33,1)))*INDEX(Import!$C$29:$C$33,MATCH(P11,Import!$A$29:$A$33,1))))*(1-(INDEX(Import!$B36:$B49,MATCH((TODAY()-P57)/365.25,Import!$A36:$A49,1))+ROUNDUP(((TODAY()-P57)/365.25-INDEX(Import!$A36:$A49,MATCH((TODAY()-P57)/365.25,Import!$A36:$A49,1)))*12,0)*INDEX(Import!$C36:$C49,MATCH((TODAY()-P57)/365.25,Import!$A36:$A49,1)))),0),0))</f>
        <v>0</v>
      </c>
      <c r="Q38" s="18">
        <f ca="1">IF(Q37="","",IF(Q35="Buy",IF(Q34&lt;&gt;"Netherlands",Import!$B$14+IF(Q8="Electric",0,IF(Q8="PHEV",INDEX(Import!$B$25:$B$27,MATCH(Q11,Import!$A$25:$A$27,1))+(Q11-INDEX(Import!$A$25:$A$27,MATCH(Q11,Import!$A$25:$A$27,1)))*INDEX(Import!$C$25:$C$27,MATCH(Q11,Import!$A$25:$A$27,1)),INDEX(Import!$B$29:$B$33,MATCH(Q11,Import!$A$29:$A$33,1))+(Q11-INDEX(Import!$A$29:$A$33,MATCH(Q11,Import!$A$29:$A$33,1)))*INDEX(Import!$C$29:$C$33,MATCH(Q11,Import!$A$29:$A$33,1))))*(1-(INDEX(Import!$B36:$B49,MATCH((TODAY()-Q57)/365.25,Import!$A36:$A49,1))+ROUNDUP(((TODAY()-Q57)/365.25-INDEX(Import!$A36:$A49,MATCH((TODAY()-Q57)/365.25,Import!$A36:$A49,1)))*12,0)*INDEX(Import!$C36:$C49,MATCH((TODAY()-Q57)/365.25,Import!$A36:$A49,1)))),0),0))</f>
        <v>0</v>
      </c>
      <c r="R38" s="18">
        <f ca="1">IF(R37="","",IF(R35="Buy",IF(R34&lt;&gt;"Netherlands",Import!$B$14+IF(R8="Electric",0,IF(R8="PHEV",INDEX(Import!$B$25:$B$27,MATCH(R11,Import!$A$25:$A$27,1))+(R11-INDEX(Import!$A$25:$A$27,MATCH(R11,Import!$A$25:$A$27,1)))*INDEX(Import!$C$25:$C$27,MATCH(R11,Import!$A$25:$A$27,1)),INDEX(Import!$B$29:$B$33,MATCH(R11,Import!$A$29:$A$33,1))+(R11-INDEX(Import!$A$29:$A$33,MATCH(R11,Import!$A$29:$A$33,1)))*INDEX(Import!$C$29:$C$33,MATCH(R11,Import!$A$29:$A$33,1))))*(1-(INDEX(Import!$B36:$B49,MATCH((TODAY()-R57)/365.25,Import!$A36:$A49,1))+ROUNDUP(((TODAY()-R57)/365.25-INDEX(Import!$A36:$A49,MATCH((TODAY()-R57)/365.25,Import!$A36:$A49,1)))*12,0)*INDEX(Import!$C36:$C49,MATCH((TODAY()-R57)/365.25,Import!$A36:$A49,1)))),0),0))</f>
        <v>129.80000000000001</v>
      </c>
      <c r="S38" s="18">
        <f ca="1">IF(S37="","",IF(S35="Buy",IF(S34&lt;&gt;"Netherlands",Import!$B$14+IF(S8="Electric",0,IF(S8="PHEV",INDEX(Import!$B$25:$B$27,MATCH(S11,Import!$A$25:$A$27,1))+(S11-INDEX(Import!$A$25:$A$27,MATCH(S11,Import!$A$25:$A$27,1)))*INDEX(Import!$C$25:$C$27,MATCH(S11,Import!$A$25:$A$27,1)),INDEX(Import!$B$29:$B$33,MATCH(S11,Import!$A$29:$A$33,1))+(S11-INDEX(Import!$A$29:$A$33,MATCH(S11,Import!$A$29:$A$33,1)))*INDEX(Import!$C$29:$C$33,MATCH(S11,Import!$A$29:$A$33,1))))*(1-(INDEX(Import!$B36:$B49,MATCH((TODAY()-S57)/365.25,Import!$A36:$A49,1))+ROUNDUP(((TODAY()-S57)/365.25-INDEX(Import!$A36:$A49,MATCH((TODAY()-S57)/365.25,Import!$A36:$A49,1)))*12,0)*INDEX(Import!$C36:$C49,MATCH((TODAY()-S57)/365.25,Import!$A36:$A49,1)))),0),0))</f>
        <v>129.80000000000001</v>
      </c>
      <c r="T38" s="18">
        <f ca="1">IF(T37="","",IF(T35="Buy",IF(T34&lt;&gt;"Netherlands",Import!$B$14+IF(T8="Electric",0,IF(T8="PHEV",INDEX(Import!$B$25:$B$27,MATCH(T11,Import!$A$25:$A$27,1))+(T11-INDEX(Import!$A$25:$A$27,MATCH(T11,Import!$A$25:$A$27,1)))*INDEX(Import!$C$25:$C$27,MATCH(T11,Import!$A$25:$A$27,1)),INDEX(Import!$B$29:$B$33,MATCH(T11,Import!$A$29:$A$33,1))+(T11-INDEX(Import!$A$29:$A$33,MATCH(T11,Import!$A$29:$A$33,1)))*INDEX(Import!$C$29:$C$33,MATCH(T11,Import!$A$29:$A$33,1))))*(1-(INDEX(Import!$B36:$B49,MATCH((TODAY()-T57)/365.25,Import!$A36:$A49,1))+ROUNDUP(((TODAY()-T57)/365.25-INDEX(Import!$A36:$A49,MATCH((TODAY()-T57)/365.25,Import!$A36:$A49,1)))*12,0)*INDEX(Import!$C36:$C49,MATCH((TODAY()-T57)/365.25,Import!$A36:$A49,1)))),0),0))</f>
        <v>129.80000000000001</v>
      </c>
      <c r="U38" s="19" t="str">
        <f ca="1">IF(U37="","",IF(U35="Buy",IF(U34&lt;&gt;"Netherlands",Import!$B$14+IF(U8="Electric",0,IF(U8="PHEV",INDEX(Import!$B$25:$B$27,MATCH(U11,Import!$A$25:$A$27,1))+(U11-INDEX(Import!$A$25:$A$27,MATCH(U11,Import!$A$25:$A$27,1)))*INDEX(Import!$C$25:$C$27,MATCH(U11,Import!$A$25:$A$27,1)),INDEX(Import!$B$29:$B$33,MATCH(U11,Import!$A$29:$A$33,1))+(U11-INDEX(Import!$A$29:$A$33,MATCH(U11,Import!$A$29:$A$33,1)))*INDEX(Import!$C$29:$C$33,MATCH(U11,Import!$A$29:$A$33,1))))*(1-(INDEX(Import!$B36:$B49,MATCH((TODAY()-U57)/365.25,Import!$A36:$A49,1))+ROUNDUP(((TODAY()-U57)/365.25-INDEX(Import!$A36:$A49,MATCH((TODAY()-U57)/365.25,Import!$A36:$A49,1)))*12,0)*INDEX(Import!$C36:$C49,MATCH((TODAY()-U57)/365.25,Import!$A36:$A49,1)))),0),0))</f>
        <v/>
      </c>
    </row>
    <row r="39" spans="2:21" x14ac:dyDescent="0.35">
      <c r="B39" s="269"/>
      <c r="C39" s="16" t="s">
        <v>135</v>
      </c>
      <c r="D39" s="17">
        <f>IF(D37=0,"",IF(D35="Buy",IF(D34="Netherlands",IF(D8="Electric",IF(D56&gt;0,-2000,-2950),0),IF(D34="Spain",-4500,"Check country")),0))</f>
        <v>-2000</v>
      </c>
      <c r="E39" s="18">
        <f t="shared" ref="E39:G39" si="2">IF(E37=0,"",IF(E35="Buy",IF(E34="Netherlands",IF(E8="Electric",IF(E56&gt;0,-2000,-2950),0),IF(E34="Spain",-4500,"Check country")),0))</f>
        <v>-2000</v>
      </c>
      <c r="F39" s="150">
        <f>IF(F37=0,"",IF(F35="Buy",IF(F34="Netherlands",IF(F8="Electric",IF(F56&gt;0,-2000,-2950),0),IF(F34="Spain",-4500,"Check country")),0))</f>
        <v>-2000</v>
      </c>
      <c r="G39" s="18">
        <f t="shared" si="2"/>
        <v>-2000</v>
      </c>
      <c r="H39" s="18">
        <f>IF(H37=0,"",IF(H35="Buy",IF(H34="Netherlands",IF(H8="Electric",IF(H56&gt;0,-2000,-2950),0),IF(H34="Spain",-4500,"Check country")),0))</f>
        <v>0</v>
      </c>
      <c r="I39" s="18">
        <f>IF(I37=0,"",IF(I35="Buy",IF(I34="Netherlands",IF(I8="Electric",IF(I56&gt;0,-2000,-2950),0),IF(I34="Spain",-4500,"Check country")),0))</f>
        <v>0</v>
      </c>
      <c r="J39" s="150">
        <f t="shared" ref="J39" si="3">IF(J37=0,"",IF(J35="Buy",IF(J34="Netherlands",IF(J8="Electric",IF(J56&gt;0,-2000,-2950),0),IF(J34="Spain",-4500,"Check country")),0))</f>
        <v>0</v>
      </c>
      <c r="K39" s="18">
        <f t="shared" ref="K39:R39" si="4">IF(K37=0,"",IF(K35="Buy",IF(K34="Netherlands",IF(K8="Electric",IF(K56&gt;0,-2000,-2950),0),IF(K34="Spain",-4500,"Check country")),0))</f>
        <v>0</v>
      </c>
      <c r="L39" s="18">
        <f t="shared" si="4"/>
        <v>0</v>
      </c>
      <c r="M39" s="18">
        <f t="shared" si="4"/>
        <v>0</v>
      </c>
      <c r="N39" s="150">
        <f t="shared" si="4"/>
        <v>0</v>
      </c>
      <c r="O39" s="18">
        <f t="shared" ref="O39:P39" si="5">IF(O37=0,"",IF(O35="Buy",IF(O34="Netherlands",IF(O8="Electric",IF(O56&gt;0,-2000,-2950),0),IF(O34="Spain",-4500,"Check country")),0))</f>
        <v>-2000</v>
      </c>
      <c r="P39" s="18">
        <f t="shared" si="5"/>
        <v>-2000</v>
      </c>
      <c r="Q39" s="18">
        <f t="shared" si="4"/>
        <v>-2000</v>
      </c>
      <c r="R39" s="18">
        <f t="shared" si="4"/>
        <v>-4500</v>
      </c>
      <c r="S39" s="18">
        <f t="shared" ref="S39:U39" si="6">IF(S37=0,"",IF(S35="Buy",IF(S34="Netherlands",IF(S8="Electric",IF(S56&gt;0,-2000,-2950),0),IF(S34="Spain",-4500,"Check country")),0))</f>
        <v>-4500</v>
      </c>
      <c r="T39" s="18" t="str">
        <f t="shared" si="6"/>
        <v>Check country</v>
      </c>
      <c r="U39" s="19" t="str">
        <f t="shared" si="6"/>
        <v/>
      </c>
    </row>
    <row r="40" spans="2:21" ht="15" thickBot="1" x14ac:dyDescent="0.4">
      <c r="B40" s="269"/>
      <c r="C40" s="8" t="s">
        <v>110</v>
      </c>
      <c r="D40" s="9">
        <f ca="1">IF(D37="","",IF(D35="Buy",SUM(D37:D39)+SUM(D15:D29),D37*12*D36+SUM(D38:D39)+SUM(D15:D29)))</f>
        <v>6850</v>
      </c>
      <c r="E40" s="10">
        <f t="shared" ref="E40:G40" ca="1" si="7">IF(E37="","",IF(E35="Buy",SUM(E37:E39)+SUM(E15:E29),E37*12*E36+SUM(E38:E39)+SUM(E15:E29)))</f>
        <v>6250</v>
      </c>
      <c r="F40" s="151">
        <f ca="1">IF(F37="","",IF(F35="Buy",SUM(F37:F39)+SUM(F15:F29),F37*12*F36+SUM(F38:F39)+SUM(F15:F29)))</f>
        <v>7945</v>
      </c>
      <c r="G40" s="10">
        <f t="shared" ca="1" si="7"/>
        <v>6250</v>
      </c>
      <c r="H40" s="10">
        <f t="shared" ref="H40:R40" ca="1" si="8">IF(H37="","",IF(H35="Buy",SUM(H37:H39)+SUM(H15:H29),H37*12*H36+SUM(H38:H39)+SUM(H15:H29)))</f>
        <v>2195</v>
      </c>
      <c r="I40" s="10">
        <f t="shared" ca="1" si="8"/>
        <v>8250</v>
      </c>
      <c r="J40" s="151">
        <f t="shared" ca="1" si="8"/>
        <v>6410</v>
      </c>
      <c r="K40" s="10">
        <f t="shared" ca="1" si="8"/>
        <v>13450</v>
      </c>
      <c r="L40" s="10">
        <f t="shared" ca="1" si="8"/>
        <v>15950</v>
      </c>
      <c r="M40" s="10">
        <f t="shared" ca="1" si="8"/>
        <v>11450</v>
      </c>
      <c r="N40" s="151">
        <f t="shared" ca="1" si="8"/>
        <v>26890</v>
      </c>
      <c r="O40" s="10">
        <f t="shared" ca="1" si="8"/>
        <v>15950</v>
      </c>
      <c r="P40" s="10">
        <f t="shared" ca="1" si="8"/>
        <v>15885</v>
      </c>
      <c r="Q40" s="10">
        <f t="shared" ca="1" si="8"/>
        <v>22650</v>
      </c>
      <c r="R40" s="10">
        <f t="shared" ca="1" si="8"/>
        <v>29609.800000000003</v>
      </c>
      <c r="S40" s="10">
        <f t="shared" ref="S40:U40" ca="1" si="9">IF(S37="","",IF(S35="Buy",SUM(S37:S39)+SUM(S15:S29),S37*12*S36+SUM(S38:S39)+SUM(S15:S29)))</f>
        <v>36698.800000000003</v>
      </c>
      <c r="T40" s="10">
        <f t="shared" ca="1" si="9"/>
        <v>36329.800000000003</v>
      </c>
      <c r="U40" s="11" t="str">
        <f t="shared" si="9"/>
        <v/>
      </c>
    </row>
    <row r="41" spans="2:21" ht="15" thickTop="1" x14ac:dyDescent="0.35">
      <c r="B41" s="269"/>
      <c r="C41" s="12" t="s">
        <v>231</v>
      </c>
      <c r="D41" s="85">
        <f ca="1">IF(D37="","",IF(D35="Buy",IF(D57="",14,14-(TODAY()-D57)/365.25),D36))</f>
        <v>4.0123203285420939</v>
      </c>
      <c r="E41" s="86">
        <f t="shared" ref="E41:G41" ca="1" si="10">IF(E37="","",IF(E35="Buy",IF(E57="",14,14-(TODAY()-E57)/365.25),E36))</f>
        <v>5.7426420260095821</v>
      </c>
      <c r="F41" s="152">
        <f ca="1">IF(F37="","",IF(F35="Buy",IF(F57="",14,14-(TODAY()-F57)/365.25),F36))</f>
        <v>5.5318275154004102</v>
      </c>
      <c r="G41" s="86">
        <f t="shared" ca="1" si="10"/>
        <v>5.7426420260095821</v>
      </c>
      <c r="H41" s="86">
        <f ca="1">IF(H37="","",IF(H35="Buy",IF(H57="",20,20-(TODAY()-H57)/365.25),H36))</f>
        <v>1.5989048596851454</v>
      </c>
      <c r="I41" s="86">
        <f ca="1">IF(I37="","",IF(I35="Buy",IF(I57="",14,14-(TODAY()-I57)/365.25),I36))</f>
        <v>9.6769336071184124</v>
      </c>
      <c r="J41" s="152">
        <f t="shared" ref="J41" ca="1" si="11">IF(J37="","",IF(J35="Buy",IF(J57="",14,14-(TODAY()-J57)/365.25),J36))</f>
        <v>2</v>
      </c>
      <c r="K41" s="86">
        <f t="shared" ref="K41:R41" ca="1" si="12">IF(K37="","",IF(K35="Buy",IF(K57="",14,14-(TODAY()-K57)/365.25),K36))</f>
        <v>7.7659137577002051</v>
      </c>
      <c r="L41" s="86">
        <f t="shared" ca="1" si="12"/>
        <v>8.9678302532511971</v>
      </c>
      <c r="M41" s="86">
        <f t="shared" ca="1" si="12"/>
        <v>7.7960301163586587</v>
      </c>
      <c r="N41" s="152">
        <f t="shared" ca="1" si="12"/>
        <v>14</v>
      </c>
      <c r="O41" s="86">
        <f t="shared" ref="O41:P41" ca="1" si="13">IF(O37="","",IF(O35="Buy",IF(O57="",14,14-(TODAY()-O57)/365.25),O36))</f>
        <v>6.1232032854209448</v>
      </c>
      <c r="P41" s="86">
        <f t="shared" ca="1" si="13"/>
        <v>7.0130047912388775</v>
      </c>
      <c r="Q41" s="86">
        <f t="shared" ca="1" si="12"/>
        <v>8.5982203969883635</v>
      </c>
      <c r="R41" s="86">
        <f t="shared" ca="1" si="12"/>
        <v>14</v>
      </c>
      <c r="S41" s="86">
        <f t="shared" ref="S41:U41" ca="1" si="14">IF(S37="","",IF(S35="Buy",IF(S57="",14,14-(TODAY()-S57)/365.25),S36))</f>
        <v>14</v>
      </c>
      <c r="T41" s="86">
        <f t="shared" ca="1" si="14"/>
        <v>10.2217659137577</v>
      </c>
      <c r="U41" s="87" t="str">
        <f t="shared" ca="1" si="14"/>
        <v/>
      </c>
    </row>
    <row r="42" spans="2:21" ht="15" thickBot="1" x14ac:dyDescent="0.4">
      <c r="B42" s="269"/>
      <c r="C42" s="8" t="s">
        <v>232</v>
      </c>
      <c r="D42" s="91">
        <v>2000</v>
      </c>
      <c r="E42" s="92">
        <v>2000</v>
      </c>
      <c r="F42" s="153">
        <v>2000</v>
      </c>
      <c r="G42" s="92">
        <v>2000</v>
      </c>
      <c r="H42" s="92">
        <v>0</v>
      </c>
      <c r="I42" s="92">
        <v>2000</v>
      </c>
      <c r="J42" s="153">
        <v>0</v>
      </c>
      <c r="K42" s="92">
        <v>3500</v>
      </c>
      <c r="L42" s="92">
        <v>3000</v>
      </c>
      <c r="M42" s="92">
        <v>3000</v>
      </c>
      <c r="N42" s="153">
        <v>3500</v>
      </c>
      <c r="O42" s="92">
        <v>10000</v>
      </c>
      <c r="P42" s="92">
        <v>10000</v>
      </c>
      <c r="Q42" s="92">
        <v>6000</v>
      </c>
      <c r="R42" s="92">
        <v>6000</v>
      </c>
      <c r="S42" s="92">
        <v>6000</v>
      </c>
      <c r="T42" s="92">
        <v>7000</v>
      </c>
      <c r="U42" s="93"/>
    </row>
    <row r="43" spans="2:21" ht="15" thickTop="1" x14ac:dyDescent="0.35">
      <c r="B43" s="269"/>
      <c r="C43" s="2" t="s">
        <v>101</v>
      </c>
      <c r="D43" s="88">
        <f ca="1">IF(D37="","",D40-D42)</f>
        <v>4850</v>
      </c>
      <c r="E43" s="89">
        <f t="shared" ref="E43:G43" ca="1" si="15">IF(E37="","",E40-E42)</f>
        <v>4250</v>
      </c>
      <c r="F43" s="154">
        <f ca="1">IF(F37="","",F40-F42)</f>
        <v>5945</v>
      </c>
      <c r="G43" s="89">
        <f t="shared" ca="1" si="15"/>
        <v>4250</v>
      </c>
      <c r="H43" s="89">
        <f t="shared" ref="H43:R43" ca="1" si="16">IF(H37="","",H40-H42)</f>
        <v>2195</v>
      </c>
      <c r="I43" s="89">
        <f t="shared" ca="1" si="16"/>
        <v>6250</v>
      </c>
      <c r="J43" s="154">
        <f t="shared" ca="1" si="16"/>
        <v>6410</v>
      </c>
      <c r="K43" s="89">
        <f t="shared" ca="1" si="16"/>
        <v>9950</v>
      </c>
      <c r="L43" s="89">
        <f t="shared" ca="1" si="16"/>
        <v>12950</v>
      </c>
      <c r="M43" s="89">
        <f t="shared" ca="1" si="16"/>
        <v>8450</v>
      </c>
      <c r="N43" s="154">
        <f t="shared" ca="1" si="16"/>
        <v>23390</v>
      </c>
      <c r="O43" s="89">
        <f t="shared" ca="1" si="16"/>
        <v>5950</v>
      </c>
      <c r="P43" s="89">
        <f t="shared" ca="1" si="16"/>
        <v>5885</v>
      </c>
      <c r="Q43" s="89">
        <f t="shared" ca="1" si="16"/>
        <v>16650</v>
      </c>
      <c r="R43" s="89">
        <f t="shared" ca="1" si="16"/>
        <v>23609.800000000003</v>
      </c>
      <c r="S43" s="89">
        <f t="shared" ref="S43:U43" ca="1" si="17">IF(S37="","",S40-S42)</f>
        <v>30698.800000000003</v>
      </c>
      <c r="T43" s="89">
        <f t="shared" ca="1" si="17"/>
        <v>29329.800000000003</v>
      </c>
      <c r="U43" s="90" t="str">
        <f t="shared" si="17"/>
        <v/>
      </c>
    </row>
    <row r="44" spans="2:21" ht="15" thickBot="1" x14ac:dyDescent="0.4">
      <c r="B44" s="269"/>
      <c r="C44" s="44" t="s">
        <v>102</v>
      </c>
      <c r="D44" s="45">
        <f ca="1">IF(D41="","",D43/D41)</f>
        <v>1208.7768679631527</v>
      </c>
      <c r="E44" s="46">
        <f t="shared" ref="E44:G44" ca="1" si="18">IF(E41="","",E43/E41)</f>
        <v>740.07747318236</v>
      </c>
      <c r="F44" s="155">
        <f ca="1">IF(F41="","",F43/F41)</f>
        <v>1074.690051967335</v>
      </c>
      <c r="G44" s="46">
        <f t="shared" ca="1" si="18"/>
        <v>740.07747318236</v>
      </c>
      <c r="H44" s="46">
        <f t="shared" ref="H44" ca="1" si="19">IF(H41="","",H43/H41)</f>
        <v>1372.8146404109605</v>
      </c>
      <c r="I44" s="46">
        <f ca="1">IF(I41="","",I43/I41)</f>
        <v>645.86575187438109</v>
      </c>
      <c r="J44" s="155">
        <f t="shared" ref="J44" ca="1" si="20">IF(J41="","",J43/J41)</f>
        <v>3205</v>
      </c>
      <c r="K44" s="46">
        <f t="shared" ref="K44:R44" ca="1" si="21">IF(K41="","",K43/K41)</f>
        <v>1281.2400846113169</v>
      </c>
      <c r="L44" s="46">
        <f t="shared" ca="1" si="21"/>
        <v>1444.0505266371547</v>
      </c>
      <c r="M44" s="46">
        <f t="shared" ca="1" si="21"/>
        <v>1083.8849868305531</v>
      </c>
      <c r="N44" s="155">
        <f t="shared" ca="1" si="21"/>
        <v>1670.7142857142858</v>
      </c>
      <c r="O44" s="46">
        <f t="shared" ca="1" si="21"/>
        <v>971.71361502347418</v>
      </c>
      <c r="P44" s="46">
        <f t="shared" ca="1" si="21"/>
        <v>839.15528010931098</v>
      </c>
      <c r="Q44" s="46">
        <f t="shared" ca="1" si="21"/>
        <v>1936.4472217799714</v>
      </c>
      <c r="R44" s="46">
        <f t="shared" ca="1" si="21"/>
        <v>1686.4142857142858</v>
      </c>
      <c r="S44" s="46">
        <f t="shared" ref="S44:U44" ca="1" si="22">IF(S41="","",S43/S41)</f>
        <v>2192.7714285714287</v>
      </c>
      <c r="T44" s="46">
        <f t="shared" ca="1" si="22"/>
        <v>2869.3476496584976</v>
      </c>
      <c r="U44" s="47" t="str">
        <f t="shared" ca="1" si="22"/>
        <v/>
      </c>
    </row>
    <row r="45" spans="2:21" ht="15" thickTop="1" x14ac:dyDescent="0.35">
      <c r="B45" s="269"/>
      <c r="C45" s="12" t="s">
        <v>290</v>
      </c>
      <c r="D45" s="13">
        <f>IF(OR(D9=0,D10=0),"",(D9/IF(D8="Electric",1,100)*Urban_km+D10/IF(D8="Electric",1,100)*(Extra_urban_km))*IF(D8="Petrol",Petrol_price,Off_peak_price/1000*Off_peak_charge+Peak_price/1000*Peak_charge)+(D10/IF(D8="Electric",1,100)*Commuting_km*IF(D8="Petrol",Petrol_price,At_work_price/1000)))</f>
        <v>165.88800000000001</v>
      </c>
      <c r="E45" s="14">
        <f t="shared" ref="E45:U45" si="23">IF(OR(E9=0,E10=0),"",(E9/IF(E8="Electric",1,100)*Urban_km+E10/IF(E8="Electric",1,100)*(Extra_urban_km))*IF(E8="Petrol",Petrol_price,Off_peak_price/1000*Off_peak_charge+Peak_price/1000*Peak_charge)+(E10/IF(E8="Electric",1,100)*Commuting_km*IF(E8="Petrol",Petrol_price,At_work_price/1000)))</f>
        <v>165.88800000000001</v>
      </c>
      <c r="F45" s="156">
        <f t="shared" si="23"/>
        <v>165.88800000000001</v>
      </c>
      <c r="G45" s="14">
        <f t="shared" si="23"/>
        <v>165.88800000000001</v>
      </c>
      <c r="H45" s="14">
        <f t="shared" si="23"/>
        <v>791.52</v>
      </c>
      <c r="I45" s="14">
        <f t="shared" si="23"/>
        <v>725.52600000000007</v>
      </c>
      <c r="J45" s="156">
        <f t="shared" si="23"/>
        <v>725.52600000000007</v>
      </c>
      <c r="K45" s="14">
        <f t="shared" si="23"/>
        <v>708.28800000000001</v>
      </c>
      <c r="L45" s="14">
        <f t="shared" si="23"/>
        <v>802.63799999999992</v>
      </c>
      <c r="M45" s="14">
        <f t="shared" si="23"/>
        <v>790.5</v>
      </c>
      <c r="N45" s="156">
        <f t="shared" si="23"/>
        <v>871.69200000000001</v>
      </c>
      <c r="O45" s="14">
        <f t="shared" ref="O45:P45" si="24">IF(OR(O9=0,O10=0),"",(O9/IF(O8="Electric",1,100)*Urban_km+O10/IF(O8="Electric",1,100)*(Extra_urban_km))*IF(O8="Petrol",Petrol_price,Off_peak_price/1000*Off_peak_charge+Peak_price/1000*Peak_charge)+(O10/IF(O8="Electric",1,100)*Commuting_km*IF(O8="Petrol",Petrol_price,At_work_price/1000)))</f>
        <v>186.624</v>
      </c>
      <c r="P45" s="14">
        <f t="shared" si="24"/>
        <v>186.624</v>
      </c>
      <c r="Q45" s="14">
        <f t="shared" si="23"/>
        <v>179.3664</v>
      </c>
      <c r="R45" s="14">
        <f t="shared" si="23"/>
        <v>206.208</v>
      </c>
      <c r="S45" s="14">
        <f t="shared" si="23"/>
        <v>232.70400000000001</v>
      </c>
      <c r="T45" s="14">
        <f t="shared" si="23"/>
        <v>160.70400000000001</v>
      </c>
      <c r="U45" s="15" t="str">
        <f t="shared" si="23"/>
        <v/>
      </c>
    </row>
    <row r="46" spans="2:21" x14ac:dyDescent="0.35">
      <c r="B46" s="269"/>
      <c r="C46" s="3" t="s">
        <v>81</v>
      </c>
      <c r="D46" s="70">
        <f>12*55</f>
        <v>660</v>
      </c>
      <c r="E46" s="71">
        <f>12*55</f>
        <v>660</v>
      </c>
      <c r="F46" s="147">
        <f>12*55</f>
        <v>660</v>
      </c>
      <c r="G46" s="71">
        <f>12*55</f>
        <v>660</v>
      </c>
      <c r="H46" s="71">
        <f>12*60.47</f>
        <v>725.64</v>
      </c>
      <c r="I46" s="71">
        <f>12*40</f>
        <v>480</v>
      </c>
      <c r="J46" s="147">
        <f>12*40</f>
        <v>480</v>
      </c>
      <c r="K46" s="71">
        <f>12*50</f>
        <v>600</v>
      </c>
      <c r="L46" s="71">
        <f>12*50</f>
        <v>600</v>
      </c>
      <c r="M46" s="71">
        <f>12*50</f>
        <v>600</v>
      </c>
      <c r="N46" s="147">
        <f>12*86</f>
        <v>1032</v>
      </c>
      <c r="O46" s="71">
        <f>12*65</f>
        <v>780</v>
      </c>
      <c r="P46" s="71">
        <f>12*65</f>
        <v>780</v>
      </c>
      <c r="Q46" s="71">
        <f>12*65</f>
        <v>780</v>
      </c>
      <c r="R46" s="71">
        <f>12*65</f>
        <v>780</v>
      </c>
      <c r="S46" s="71">
        <f>12*67.37</f>
        <v>808.44</v>
      </c>
      <c r="T46" s="71">
        <f>12*69</f>
        <v>828</v>
      </c>
      <c r="U46" s="72"/>
    </row>
    <row r="47" spans="2:21" x14ac:dyDescent="0.35">
      <c r="B47" s="269"/>
      <c r="C47" s="3" t="s">
        <v>82</v>
      </c>
      <c r="D47" s="6">
        <f ca="1">IF(D41="","",IF(D35="Buy",IF(D8="Electric",SUM(OFFSET(Maintenance!$D17,0,0,-D41))/D41,IF(D8="PHEV",SUM(OFFSET(Maintenance!$C17,0,0,-D41))/D41,SUM(OFFSET(Maintenance!$B17,0,0,-D41))/D41)),0))</f>
        <v>269.17093142272267</v>
      </c>
      <c r="E47" s="4">
        <f ca="1">IF(E41="","",IF(E35="Buy",IF(E8="Electric",SUM(OFFSET(Maintenance!$D17,0,0,-E41))/E41,IF(E8="PHEV",SUM(OFFSET(Maintenance!$C17,0,0,-E41))/E41,SUM(OFFSET(Maintenance!$B17,0,0,-E41))/E41)),0))</f>
        <v>226.3766388557807</v>
      </c>
      <c r="F47" s="157">
        <f ca="1">IF(F41="","",IF(F35="Buy",IF(F8="Electric",SUM(OFFSET(Maintenance!$D17,0,0,-F41))/F41,IF(F8="PHEV",SUM(OFFSET(Maintenance!$C17,0,0,-F41))/F41,SUM(OFFSET(Maintenance!$B17,0,0,-F41))/F41)),0))</f>
        <v>235.00371195248704</v>
      </c>
      <c r="G47" s="4">
        <f ca="1">IF(G41="","",IF(G35="Buy",IF(G8="Electric",SUM(OFFSET(Maintenance!$D17,0,0,-G41))/G41,IF(G8="PHEV",SUM(OFFSET(Maintenance!$C17,0,0,-G41))/G41,SUM(OFFSET(Maintenance!$B17,0,0,-G41))/G41)),0))</f>
        <v>226.3766388557807</v>
      </c>
      <c r="H47" s="4">
        <f ca="1">IF(H41="","",IF(H35="Buy",IF(H8="Electric",SUM(OFFSET(Maintenance!$D17,0,0,-H41))/H41,IF(H8="PHEV",SUM(OFFSET(Maintenance!$C17,0,0,-H41))/H41,SUM(OFFSET(Maintenance!$B17,0,0,-H41))/H41)),0))</f>
        <v>375.25684931506891</v>
      </c>
      <c r="I47" s="4">
        <f ca="1">IF(I41="","",IF(I35="Buy",IF(I8="Electric",SUM(OFFSET(Maintenance!$D17,0,0,-I41))/I41,IF(I8="PHEV",SUM(OFFSET(Maintenance!$C17,0,0,-I41))/I41,SUM(OFFSET(Maintenance!$B17,0,0,-I41))/I41)),0))</f>
        <v>409.22054038760785</v>
      </c>
      <c r="J47" s="157">
        <f ca="1">IF(J41="","",IF(J35="Buy",IF(J8="Electric",SUM(OFFSET(Maintenance!$D17,0,0,-J41))/J41,IF(J8="PHEV",SUM(OFFSET(Maintenance!$C17,0,0,-J41))/J41,SUM(OFFSET(Maintenance!$B17,0,0,-J41))/J41)),0))</f>
        <v>0</v>
      </c>
      <c r="K47" s="4">
        <f ca="1">IF(K41="","",IF(K35="Buy",IF(K8="Electric",SUM(OFFSET(Maintenance!$D17,0,0,-K41))/K41,IF(K8="PHEV",SUM(OFFSET(Maintenance!$C17,0,0,-K41))/K41,SUM(OFFSET(Maintenance!$B17,0,0,-K41))/K41)),0))</f>
        <v>432.65996827075622</v>
      </c>
      <c r="L47" s="4">
        <f ca="1">IF(L41="","",IF(L35="Buy",IF(L8="Electric",SUM(OFFSET(Maintenance!$D17,0,0,-L41))/L41,IF(L8="PHEV",SUM(OFFSET(Maintenance!$C17,0,0,-L41))/L41,SUM(OFFSET(Maintenance!$B17,0,0,-L41))/L41)),0))</f>
        <v>410.35567088994048</v>
      </c>
      <c r="M47" s="4">
        <f ca="1">IF(M41="","",IF(M35="Buy",IF(M8="Electric",SUM(OFFSET(Maintenance!$D17,0,0,-M41))/M41,IF(M8="PHEV",SUM(OFFSET(Maintenance!$C17,0,0,-M41))/M41,SUM(OFFSET(Maintenance!$B17,0,0,-M41))/M41)),0))</f>
        <v>430.98858647936783</v>
      </c>
      <c r="N47" s="157">
        <f ca="1">IF(N41="","",IF(N35="Buy",IF(N8="Electric",SUM(OFFSET(Maintenance!$D17,0,0,-N41))/N41,IF(N8="PHEV",SUM(OFFSET(Maintenance!$C17,0,0,-N41))/N41,SUM(OFFSET(Maintenance!$B17,0,0,-N41))/N41)),0))</f>
        <v>340</v>
      </c>
      <c r="O47" s="4">
        <f ca="1">IF(O41="","",IF(O35="Buy",IF(O8="Electric",SUM(OFFSET(Maintenance!$D17,0,0,-O41))/O41,IF(O8="PHEV",SUM(OFFSET(Maintenance!$C17,0,0,-O41))/O41,SUM(OFFSET(Maintenance!$B17,0,0,-O41))/O41)),0))</f>
        <v>244.96981891348088</v>
      </c>
      <c r="P47" s="4">
        <f ca="1">IF(P41="","",IF(P35="Buy",IF(P8="Electric",SUM(OFFSET(Maintenance!$D17,0,0,-P41))/P41,IF(P8="PHEV",SUM(OFFSET(Maintenance!$C17,0,0,-P41))/P41,SUM(OFFSET(Maintenance!$B17,0,0,-P41))/P41)),0))</f>
        <v>239.55494827249657</v>
      </c>
      <c r="Q47" s="4">
        <f ca="1">IF(Q41="","",IF(Q35="Buy",IF(Q8="Electric",SUM(OFFSET(Maintenance!$D17,0,0,-Q41))/Q41,IF(Q8="PHEV",SUM(OFFSET(Maintenance!$C17,0,0,-Q41))/Q41,SUM(OFFSET(Maintenance!$B17,0,0,-Q41))/Q41)),0))</f>
        <v>213.99777105556441</v>
      </c>
      <c r="R47" s="4">
        <f ca="1">IF(R41="","",IF(R35="Buy",IF(R8="Electric",SUM(OFFSET(Maintenance!$D17,0,0,-R41))/R41,IF(R8="PHEV",SUM(OFFSET(Maintenance!$C17,0,0,-R41))/R41,SUM(OFFSET(Maintenance!$B17,0,0,-R41))/R41)),0))</f>
        <v>170</v>
      </c>
      <c r="S47" s="4">
        <f ca="1">IF(S41="","",IF(S35="Buy",IF(S8="Electric",SUM(OFFSET(Maintenance!$D17,0,0,-S41))/S41,IF(S8="PHEV",SUM(OFFSET(Maintenance!$C17,0,0,-S41))/S41,SUM(OFFSET(Maintenance!$B17,0,0,-S41))/S41)),0))</f>
        <v>170</v>
      </c>
      <c r="T47" s="4">
        <f ca="1">IF(T41="","",IF(T35="Buy",IF(T8="Electric",SUM(OFFSET(Maintenance!$D17,0,0,-T41))/T41,IF(T8="PHEV",SUM(OFFSET(Maintenance!$C17,0,0,-T41))/T41,SUM(OFFSET(Maintenance!$B17,0,0,-T41))/T41)),0))</f>
        <v>205.44395339493772</v>
      </c>
      <c r="U47" s="5" t="str">
        <f ca="1">IF(U41="","",IF(U35="Buy",IF(U8="Electric",SUM(OFFSET(Maintenance!$D17,0,0,-U41))/U41,IF(U8="PHEV",SUM(OFFSET(Maintenance!$C17,0,0,-U41))/U41,SUM(OFFSET(Maintenance!$B17,0,0,-U41))/U41)),0))</f>
        <v/>
      </c>
    </row>
    <row r="48" spans="2:21" x14ac:dyDescent="0.35">
      <c r="B48" s="269"/>
      <c r="C48" s="16" t="s">
        <v>92</v>
      </c>
      <c r="D48" s="17">
        <f t="shared" ref="D48:U48" si="25">IF(D37=0,"",Parking_permit)</f>
        <v>90</v>
      </c>
      <c r="E48" s="18">
        <f t="shared" si="25"/>
        <v>90</v>
      </c>
      <c r="F48" s="150">
        <f t="shared" si="25"/>
        <v>90</v>
      </c>
      <c r="G48" s="18">
        <f t="shared" si="25"/>
        <v>90</v>
      </c>
      <c r="H48" s="18">
        <f t="shared" si="25"/>
        <v>90</v>
      </c>
      <c r="I48" s="18">
        <f t="shared" si="25"/>
        <v>90</v>
      </c>
      <c r="J48" s="150">
        <f t="shared" si="25"/>
        <v>90</v>
      </c>
      <c r="K48" s="18">
        <f t="shared" si="25"/>
        <v>90</v>
      </c>
      <c r="L48" s="18">
        <f t="shared" si="25"/>
        <v>90</v>
      </c>
      <c r="M48" s="18">
        <f t="shared" si="25"/>
        <v>90</v>
      </c>
      <c r="N48" s="150">
        <f t="shared" si="25"/>
        <v>90</v>
      </c>
      <c r="O48" s="18">
        <f t="shared" si="25"/>
        <v>90</v>
      </c>
      <c r="P48" s="18">
        <f t="shared" si="25"/>
        <v>90</v>
      </c>
      <c r="Q48" s="18">
        <f t="shared" si="25"/>
        <v>90</v>
      </c>
      <c r="R48" s="18">
        <f t="shared" si="25"/>
        <v>90</v>
      </c>
      <c r="S48" s="18">
        <f t="shared" si="25"/>
        <v>90</v>
      </c>
      <c r="T48" s="18">
        <f t="shared" si="25"/>
        <v>90</v>
      </c>
      <c r="U48" s="19" t="str">
        <f t="shared" si="25"/>
        <v/>
      </c>
    </row>
    <row r="49" spans="2:21" x14ac:dyDescent="0.35">
      <c r="B49" s="269"/>
      <c r="C49" s="3" t="s">
        <v>98</v>
      </c>
      <c r="D49" s="6" cm="1">
        <f t="array" aca="1" ref="D49" ca="1">IF(D35="","",IF(D35="Buy",IF(OR(D8="",D30=""),"",IF(D8="Electric",SUM(OFFSET(MRB!$R2,MATCH(D30,MRB!$A$3:$A$17,1)+1,0,1,D41))/D41,IF(D8="PHEV",SUM(OFFSET(MRB!$D2,MATCH(D30,MRB!$A$3:$A$17,1)+1,0,1,D41))/D41,INDEX(MRB!$C$3:$C$17,MATCH(D30,MRB!$A$3:$A$17,1)+1)))),0))</f>
        <v>109.66223132036849</v>
      </c>
      <c r="E49" s="4" cm="1">
        <f t="array" aca="1" ref="E49" ca="1">IF(E35="","",IF(E35="Buy",IF(OR(E8="",E30=""),"",IF(E8="Electric",SUM(OFFSET(MRB!$R2,MATCH(E30,MRB!$A$3:$A$17,1)+1,0,1,E41))/E41,IF(E8="PHEV",SUM(OFFSET(MRB!$D2,MATCH(E30,MRB!$A$3:$A$17,1)+1,0,1,E41))/E41,INDEX(MRB!$C$3:$C$17,MATCH(E30,MRB!$A$3:$A$17,1)+1)))),0))</f>
        <v>137.91561382598331</v>
      </c>
      <c r="F49" s="157" cm="1">
        <f t="array" aca="1" ref="F49" ca="1">IF(F35="","",IF(F35="Buy",IF(OR(F8="",F30=""),"",IF(F8="Electric",SUM(OFFSET(MRB!$R2,MATCH(F30,MRB!$A$3:$A$17,1)+1,0,1,F41))/F41,IF(F8="PHEV",SUM(OFFSET(MRB!$D2,MATCH(F30,MRB!$A$3:$A$17,1)+1,0,1,F41))/F41,INDEX(MRB!$C$3:$C$17,MATCH(F30,MRB!$A$3:$A$17,1)+1)))),0))</f>
        <v>143.17149220489978</v>
      </c>
      <c r="G49" s="4" cm="1">
        <f t="array" aca="1" ref="G49" ca="1">IF(G35="","",IF(G35="Buy",IF(OR(G8="",G30=""),"",IF(G8="Electric",SUM(OFFSET(MRB!$R2,MATCH(G30,MRB!$A$3:$A$17,1)+1,0,1,G41))/G41,IF(G8="PHEV",SUM(OFFSET(MRB!$D2,MATCH(G30,MRB!$A$3:$A$17,1)+1,0,1,G41))/G41,INDEX(MRB!$C$3:$C$17,MATCH(G30,MRB!$A$3:$A$17,1)+1)))),0))</f>
        <v>137.91561382598331</v>
      </c>
      <c r="H49" s="4" cm="1">
        <f t="array" aca="1" ref="H49" ca="1">IF(H35="","",IF(H35="Buy",IF(OR(H8="",H30=""),"",IF(H8="Electric",SUM(OFFSET(MRB!$R2,MATCH(H30,MRB!$A$3:$A$17,1)+1,0,1,H41))/H41,IF(H8="PHEV",SUM(OFFSET(MRB!$D2,MATCH(H30,MRB!$A$3:$A$17,1)+1,0,1,H41))/H41,INDEX(MRB!$C$3:$C$17,MATCH(H30,MRB!$A$3:$A$17,1)+1)))),0))</f>
        <v>204</v>
      </c>
      <c r="I49" s="4" cm="1">
        <f t="array" aca="1" ref="I49" ca="1">IF(I35="","",IF(I35="Buy",IF(OR(I8="",I30=""),"",IF(I8="Electric",SUM(OFFSET(MRB!$R2,MATCH(I30,MRB!$A$3:$A$17,1)+1,0,1,I41))/I41,IF(I8="PHEV",SUM(OFFSET(MRB!$D2,MATCH(I30,MRB!$A$3:$A$17,1)+1,0,1,I41))/I41,INDEX(MRB!$C$3:$C$17,MATCH(I30,MRB!$A$3:$A$17,1)+1)))),0))</f>
        <v>272</v>
      </c>
      <c r="J49" s="157" cm="1">
        <f t="array" aca="1" ref="J49" ca="1">IF(J35="","",IF(J35="Buy",IF(OR(J8="",J30=""),"",IF(J8="Electric",SUM(OFFSET(MRB!$R2,MATCH(J30,MRB!$A$3:$A$17,1)+1,0,1,J41))/J41,IF(J8="PHEV",SUM(OFFSET(MRB!$D2,MATCH(J30,MRB!$A$3:$A$17,1)+1,0,1,J41))/J41,INDEX(MRB!$C$3:$C$17,MATCH(J30,MRB!$A$3:$A$17,1)+1)))),0))</f>
        <v>0</v>
      </c>
      <c r="K49" s="4" cm="1">
        <f t="array" aca="1" ref="K49" ca="1">IF(K35="","",IF(K35="Buy",IF(OR(K8="",K30=""),"",IF(K8="Electric",SUM(OFFSET(MRB!$R2,MATCH(K30,MRB!$A$3:$A$17,1)+1,0,1,K41))/K41,IF(K8="PHEV",SUM(OFFSET(MRB!$D2,MATCH(K30,MRB!$A$3:$A$17,1)+1,0,1,K41))/K41,INDEX(MRB!$C$3:$C$17,MATCH(K30,MRB!$A$3:$A$17,1)+1)))),0))</f>
        <v>460</v>
      </c>
      <c r="L49" s="4" cm="1">
        <f t="array" aca="1" ref="L49" ca="1">IF(L35="","",IF(L35="Buy",IF(OR(L8="",L30=""),"",IF(L8="Electric",SUM(OFFSET(MRB!$R2,MATCH(L30,MRB!$A$3:$A$17,1)+1,0,1,L41))/L41,IF(L8="PHEV",SUM(OFFSET(MRB!$D2,MATCH(L30,MRB!$A$3:$A$17,1)+1,0,1,L41))/L41,INDEX(MRB!$C$3:$C$17,MATCH(L30,MRB!$A$3:$A$17,1)+1)))),0))</f>
        <v>668</v>
      </c>
      <c r="M49" s="4" cm="1">
        <f t="array" aca="1" ref="M49" ca="1">IF(M35="","",IF(M35="Buy",IF(OR(M8="",M30=""),"",IF(M8="Electric",SUM(OFFSET(MRB!$R2,MATCH(M30,MRB!$A$3:$A$17,1)+1,0,1,M41))/M41,IF(M8="PHEV",SUM(OFFSET(MRB!$D2,MATCH(M30,MRB!$A$3:$A$17,1)+1,0,1,M41))/M41,INDEX(MRB!$C$3:$C$17,MATCH(M30,MRB!$A$3:$A$17,1)+1)))),0))</f>
        <v>460</v>
      </c>
      <c r="N49" s="157" cm="1">
        <f t="array" aca="1" ref="N49" ca="1">IF(N35="","",IF(N35="Buy",IF(OR(N8="",N30=""),"",IF(N8="Electric",SUM(OFFSET(MRB!$R2,MATCH(N30,MRB!$A$3:$A$17,1)+1,0,1,N41))/N41,IF(N8="PHEV",SUM(OFFSET(MRB!$D2,MATCH(N30,MRB!$A$3:$A$17,1)+1,0,1,N41))/N41,INDEX(MRB!$C$3:$C$17,MATCH(N30,MRB!$A$3:$A$17,1)+1)))),0))</f>
        <v>564</v>
      </c>
      <c r="O49" s="4" cm="1">
        <f t="array" aca="1" ref="O49" ca="1">IF(O35="","",IF(O35="Buy",IF(OR(O8="",O30=""),"",IF(O8="Electric",SUM(OFFSET(MRB!$R2,MATCH(O30,MRB!$A$3:$A$17,1)+1,0,1,O41))/O41,IF(O8="PHEV",SUM(OFFSET(MRB!$D2,MATCH(O30,MRB!$A$3:$A$17,1)+1,0,1,O41))/O41,INDEX(MRB!$C$3:$C$17,MATCH(O30,MRB!$A$3:$A$17,1)+1)))),0))</f>
        <v>409.75285043594903</v>
      </c>
      <c r="P49" s="4" cm="1">
        <f t="array" aca="1" ref="P49" ca="1">IF(P35="","",IF(P35="Buy",IF(OR(P8="",P30=""),"",IF(P8="Electric",SUM(OFFSET(MRB!$R2,MATCH(P30,MRB!$A$3:$A$17,1)+1,0,1,P41))/P41,IF(P8="PHEV",SUM(OFFSET(MRB!$D2,MATCH(P30,MRB!$A$3:$A$17,1)+1,0,1,P41))/P41,INDEX(MRB!$C$3:$C$17,MATCH(P30,MRB!$A$3:$A$17,1)+1)))),0))</f>
        <v>467.84511028694124</v>
      </c>
      <c r="Q49" s="4" cm="1">
        <f t="array" aca="1" ref="Q49" ca="1">IF(Q35="","",IF(Q35="Buy",IF(OR(Q8="",Q30=""),"",IF(Q8="Electric",SUM(OFFSET(MRB!$R2,MATCH(Q30,MRB!$A$3:$A$17,1)+1,0,1,Q41))/Q41,IF(Q8="PHEV",SUM(OFFSET(MRB!$D2,MATCH(Q30,MRB!$A$3:$A$17,1)+1,0,1,Q41))/Q41,INDEX(MRB!$C$3:$C$17,MATCH(Q30,MRB!$A$3:$A$17,1)+1)))),0))</f>
        <v>727.82502786180555</v>
      </c>
      <c r="R49" s="4" cm="1">
        <f t="array" aca="1" ref="R49" ca="1">IF(R35="","",IF(R35="Buy",IF(OR(R8="",R30=""),"",IF(R8="Electric",SUM(OFFSET(MRB!$R2,MATCH(R30,MRB!$A$3:$A$17,1)+1,0,1,R41))/R41,IF(R8="PHEV",SUM(OFFSET(MRB!$D2,MATCH(R30,MRB!$A$3:$A$17,1)+1,0,1,R41))/R41,INDEX(MRB!$C$3:$C$17,MATCH(R30,MRB!$A$3:$A$17,1)+1)))),0))</f>
        <v>957.85714285714289</v>
      </c>
      <c r="S49" s="4" cm="1">
        <f t="array" aca="1" ref="S49" ca="1">IF(S35="","",IF(S35="Buy",IF(OR(S8="",S30=""),"",IF(S8="Electric",SUM(OFFSET(MRB!$R2,MATCH(S30,MRB!$A$3:$A$17,1)+1,0,1,S41))/S41,IF(S8="PHEV",SUM(OFFSET(MRB!$D2,MATCH(S30,MRB!$A$3:$A$17,1)+1,0,1,S41))/S41,INDEX(MRB!$C$3:$C$17,MATCH(S30,MRB!$A$3:$A$17,1)+1)))),0))</f>
        <v>1044.6428571428571</v>
      </c>
      <c r="T49" s="4" cm="1">
        <f t="array" aca="1" ref="T49" ca="1">IF(T35="","",IF(T35="Buy",IF(OR(T8="",T30=""),"",IF(T8="Electric",SUM(OFFSET(MRB!$R2,MATCH(T30,MRB!$A$3:$A$17,1)+1,0,1,T41))/T41,IF(T8="PHEV",SUM(OFFSET(MRB!$D2,MATCH(T30,MRB!$A$3:$A$17,1)+1,0,1,T41))/T41,INDEX(MRB!$C$3:$C$17,MATCH(T30,MRB!$A$3:$A$17,1)+1)))),0))</f>
        <v>995.81619124146243</v>
      </c>
      <c r="U49" s="5" t="str" cm="1">
        <f t="array" aca="1" ref="U49" ca="1">IF(U35="","",IF(U35="Buy",IF(OR(U8="",U30=""),"",IF(U8="Electric",SUM(OFFSET(MRB!$R2,MATCH(U30,MRB!$A$3:$A$17,1)+1,0,1,U41))/U41,IF(U8="PHEV",SUM(OFFSET(MRB!$D2,MATCH(U30,MRB!$A$3:$A$17,1)+1,0,1,U41))/U41,INDEX(MRB!$C$3:$C$17,MATCH(U30,MRB!$A$3:$A$17,1)+1)))),0))</f>
        <v/>
      </c>
    </row>
    <row r="50" spans="2:21" x14ac:dyDescent="0.35">
      <c r="B50" s="269"/>
      <c r="C50" s="3" t="s">
        <v>159</v>
      </c>
      <c r="D50" s="6">
        <f ca="1">IF(D35="","",IF(D35="Buy",IF(D$41="","",SUM(OFFSET(APK!$B$16,0,0,-D$41))/D$41),0))</f>
        <v>39.877175025588542</v>
      </c>
      <c r="E50" s="4">
        <f ca="1">IF(E35="","",IF(E35="Buy",IF(E$41="","",SUM(OFFSET(APK!$B$16,0,0,-E$41))/E$41),0))</f>
        <v>34.82717520858165</v>
      </c>
      <c r="F50" s="157">
        <f ca="1">IF(F35="","",IF(F35="Buy",IF(F$41="","",SUM(OFFSET(APK!$B$16,0,0,-F$41))/F$41),0))</f>
        <v>36.154417223459546</v>
      </c>
      <c r="G50" s="4">
        <f ca="1">IF(G35="","",IF(G35="Buy",IF(G$41="","",SUM(OFFSET(APK!$B$16,0,0,-G$41))/G$41),0))</f>
        <v>34.82717520858165</v>
      </c>
      <c r="H50" s="4">
        <f ca="1">IF(H35="","",IF(H35="Buy",IF(H$41="","",SUM(OFFSET(APK!$B$16,0,0,-H$41))/H$41),0))</f>
        <v>25.017123287671261</v>
      </c>
      <c r="I50" s="4">
        <f ca="1">IF(I35="","",IF(I35="Buy",IF(I$41="","",SUM(OFFSET(APK!$B$16,0,0,-I$41))/I$41),0))</f>
        <v>33.068326495968314</v>
      </c>
      <c r="J50" s="157">
        <f ca="1">IF(J35="","",IF(J35="Buy",IF(J$41="","",SUM(OFFSET(APK!$B$16,0,0,-J$41))/J$41),0))</f>
        <v>0</v>
      </c>
      <c r="K50" s="4">
        <f ca="1">IF(K35="","",IF(K35="Buy",IF(K$41="","",SUM(OFFSET(APK!$B$16,0,0,-K$41))/K$41),0))</f>
        <v>36.054997355896354</v>
      </c>
      <c r="L50" s="4">
        <f ca="1">IF(L35="","",IF(L35="Buy",IF(L$41="","",SUM(OFFSET(APK!$B$16,0,0,-L$41))/L$41),0))</f>
        <v>31.222714089451994</v>
      </c>
      <c r="M50" s="4">
        <f ca="1">IF(M35="","",IF(M35="Buy",IF(M$41="","",SUM(OFFSET(APK!$B$16,0,0,-M$41))/M$41),0))</f>
        <v>35.915715539947321</v>
      </c>
      <c r="N50" s="157">
        <f ca="1">IF(N35="","",IF(N35="Buy",IF(N$41="","",SUM(OFFSET(APK!$B$16,0,0,-N$41))/N$41),0))</f>
        <v>25.714285714285715</v>
      </c>
      <c r="O50" s="4">
        <f ca="1">IF(O35="","",IF(O35="Buy",IF(O$41="","",SUM(OFFSET(APK!$B$16,0,0,-O$41))/O$41),0))</f>
        <v>39.195171026156942</v>
      </c>
      <c r="P50" s="4">
        <f ca="1">IF(P35="","",IF(P35="Buy",IF(P$41="","",SUM(OFFSET(APK!$B$16,0,0,-P$41))/P$41),0))</f>
        <v>39.925824712082765</v>
      </c>
      <c r="Q50" s="4">
        <f ca="1">IF(Q35="","",IF(Q35="Buy",IF(Q$41="","",SUM(OFFSET(APK!$B$16,0,0,-Q$41))/Q$41),0))</f>
        <v>32.564878204107629</v>
      </c>
      <c r="R50" s="4">
        <f ca="1">IF(R35="","",IF(R35="Buy",IF(R$41="","",SUM(OFFSET(APK!$B$16,0,0,-R$41))/R$41),0))</f>
        <v>25.714285714285715</v>
      </c>
      <c r="S50" s="4">
        <f ca="1">IF(S35="","",IF(S35="Buy",IF(S$41="","",SUM(OFFSET(APK!$B$16,0,0,-S$41))/S$41),0))</f>
        <v>25.714285714285715</v>
      </c>
      <c r="T50" s="4">
        <f ca="1">IF(T35="","",IF(T35="Buy",IF(T$41="","",SUM(OFFSET(APK!$B$16,0,0,-T$41))/T$41),0))</f>
        <v>31.305745279228606</v>
      </c>
      <c r="U50" s="5" t="str">
        <f ca="1">IF(U35="","",IF(U35="Buy",IF(U$41="","",SUM(OFFSET(APK!$B$16,0,0,-U$41))/U$41),0))</f>
        <v/>
      </c>
    </row>
    <row r="51" spans="2:21" ht="15" thickBot="1" x14ac:dyDescent="0.4">
      <c r="B51" s="269"/>
      <c r="C51" s="37" t="s">
        <v>295</v>
      </c>
      <c r="D51" s="38">
        <f>IF(D37="","",-0.21*44*3*30/7*10.5)</f>
        <v>-1247.3999999999999</v>
      </c>
      <c r="E51" s="39">
        <f t="shared" ref="E51:G51" si="26">IF(E37="","",-0.21*44*3*30/7*10.5)</f>
        <v>-1247.3999999999999</v>
      </c>
      <c r="F51" s="158">
        <f>IF(F37="","",-0.21*44*3*30/7*10.5)</f>
        <v>-1247.3999999999999</v>
      </c>
      <c r="G51" s="39">
        <f t="shared" si="26"/>
        <v>-1247.3999999999999</v>
      </c>
      <c r="H51" s="39">
        <f t="shared" ref="H51:R51" si="27">IF(H37="","",-0.21*44*3*30/7*10.5)</f>
        <v>-1247.3999999999999</v>
      </c>
      <c r="I51" s="39">
        <f t="shared" si="27"/>
        <v>-1247.3999999999999</v>
      </c>
      <c r="J51" s="158">
        <f t="shared" si="27"/>
        <v>-1247.3999999999999</v>
      </c>
      <c r="K51" s="39">
        <f t="shared" si="27"/>
        <v>-1247.3999999999999</v>
      </c>
      <c r="L51" s="39">
        <f t="shared" si="27"/>
        <v>-1247.3999999999999</v>
      </c>
      <c r="M51" s="39">
        <f t="shared" si="27"/>
        <v>-1247.3999999999999</v>
      </c>
      <c r="N51" s="158">
        <f t="shared" si="27"/>
        <v>-1247.3999999999999</v>
      </c>
      <c r="O51" s="39">
        <f t="shared" ref="O51:P51" si="28">IF(O37="","",-0.21*44*3*30/7*10.5)</f>
        <v>-1247.3999999999999</v>
      </c>
      <c r="P51" s="39">
        <f t="shared" si="28"/>
        <v>-1247.3999999999999</v>
      </c>
      <c r="Q51" s="39">
        <f t="shared" si="27"/>
        <v>-1247.3999999999999</v>
      </c>
      <c r="R51" s="39">
        <f t="shared" si="27"/>
        <v>-1247.3999999999999</v>
      </c>
      <c r="S51" s="39">
        <f t="shared" ref="S51:U51" si="29">IF(S37="","",-0.21*44*3*30/7*10.5)</f>
        <v>-1247.3999999999999</v>
      </c>
      <c r="T51" s="39">
        <f t="shared" si="29"/>
        <v>-1247.3999999999999</v>
      </c>
      <c r="U51" s="40" t="str">
        <f t="shared" si="29"/>
        <v/>
      </c>
    </row>
    <row r="52" spans="2:21" ht="15" thickTop="1" x14ac:dyDescent="0.35">
      <c r="B52" s="269"/>
      <c r="C52" s="48" t="s">
        <v>90</v>
      </c>
      <c r="D52" s="49">
        <f ca="1">IF(D37=0,"",SUM(D45:D51))</f>
        <v>87.198337768679721</v>
      </c>
      <c r="E52" s="50">
        <f t="shared" ref="E52:G52" ca="1" si="30">IF(E37=0,"",SUM(E45:E51))</f>
        <v>67.607427890345889</v>
      </c>
      <c r="F52" s="159">
        <f ca="1">IF(F37=0,"",SUM(F45:F51))</f>
        <v>82.817621380846731</v>
      </c>
      <c r="G52" s="50">
        <f t="shared" ca="1" si="30"/>
        <v>67.607427890345889</v>
      </c>
      <c r="H52" s="50">
        <f t="shared" ref="H52:R52" ca="1" si="31">IF(H37=0,"",SUM(H45:H51))</f>
        <v>964.03397260274028</v>
      </c>
      <c r="I52" s="50">
        <f t="shared" ca="1" si="31"/>
        <v>762.41486688357622</v>
      </c>
      <c r="J52" s="159">
        <f t="shared" ca="1" si="31"/>
        <v>48.126000000000204</v>
      </c>
      <c r="K52" s="50">
        <f t="shared" ca="1" si="31"/>
        <v>1079.6029656266526</v>
      </c>
      <c r="L52" s="50">
        <f t="shared" ca="1" si="31"/>
        <v>1354.8163849793925</v>
      </c>
      <c r="M52" s="50">
        <f t="shared" ca="1" si="31"/>
        <v>1160.0043020193154</v>
      </c>
      <c r="N52" s="159">
        <f t="shared" ca="1" si="31"/>
        <v>1676.0062857142859</v>
      </c>
      <c r="O52" s="50">
        <f t="shared" ca="1" si="31"/>
        <v>503.14184037558698</v>
      </c>
      <c r="P52" s="50">
        <f t="shared" ca="1" si="31"/>
        <v>556.54988327152068</v>
      </c>
      <c r="Q52" s="50">
        <f t="shared" ca="1" si="31"/>
        <v>776.35407712147776</v>
      </c>
      <c r="R52" s="50">
        <f t="shared" ca="1" si="31"/>
        <v>982.37942857142866</v>
      </c>
      <c r="S52" s="50">
        <f t="shared" ref="S52:U52" ca="1" si="32">IF(S37=0,"",SUM(S45:S51))</f>
        <v>1124.101142857143</v>
      </c>
      <c r="T52" s="50">
        <f t="shared" ca="1" si="32"/>
        <v>1063.8698899156291</v>
      </c>
      <c r="U52" s="51" t="str">
        <f t="shared" si="32"/>
        <v/>
      </c>
    </row>
    <row r="53" spans="2:21" ht="15" thickBot="1" x14ac:dyDescent="0.4">
      <c r="B53" s="269"/>
      <c r="C53" s="8" t="s">
        <v>91</v>
      </c>
      <c r="D53" s="9">
        <f ca="1">IF(D37=0,"",D52/12)</f>
        <v>7.2665281473899768</v>
      </c>
      <c r="E53" s="10">
        <f t="shared" ref="E53:G53" ca="1" si="33">IF(E37=0,"",E52/12)</f>
        <v>5.6339523241954907</v>
      </c>
      <c r="F53" s="151">
        <f ca="1">IF(F37=0,"",F52/12)</f>
        <v>6.901468448403894</v>
      </c>
      <c r="G53" s="10">
        <f t="shared" ca="1" si="33"/>
        <v>5.6339523241954907</v>
      </c>
      <c r="H53" s="10">
        <f t="shared" ref="H53:R53" ca="1" si="34">IF(H37=0,"",H52/12)</f>
        <v>80.336164383561695</v>
      </c>
      <c r="I53" s="10">
        <f t="shared" ca="1" si="34"/>
        <v>63.534572240298019</v>
      </c>
      <c r="J53" s="151">
        <f t="shared" ca="1" si="34"/>
        <v>4.0105000000000173</v>
      </c>
      <c r="K53" s="10">
        <f t="shared" ca="1" si="34"/>
        <v>89.966913802221043</v>
      </c>
      <c r="L53" s="10">
        <f t="shared" ca="1" si="34"/>
        <v>112.90136541494938</v>
      </c>
      <c r="M53" s="10">
        <f t="shared" ca="1" si="34"/>
        <v>96.667025168276282</v>
      </c>
      <c r="N53" s="151">
        <f t="shared" ca="1" si="34"/>
        <v>139.66719047619048</v>
      </c>
      <c r="O53" s="10">
        <f t="shared" ca="1" si="34"/>
        <v>41.928486697965582</v>
      </c>
      <c r="P53" s="10">
        <f t="shared" ca="1" si="34"/>
        <v>46.379156939293388</v>
      </c>
      <c r="Q53" s="10">
        <f t="shared" ca="1" si="34"/>
        <v>64.69617309345648</v>
      </c>
      <c r="R53" s="10">
        <f t="shared" ca="1" si="34"/>
        <v>81.864952380952388</v>
      </c>
      <c r="S53" s="10">
        <f t="shared" ref="S53:U53" ca="1" si="35">IF(S37=0,"",S52/12)</f>
        <v>93.675095238095253</v>
      </c>
      <c r="T53" s="10">
        <f t="shared" ca="1" si="35"/>
        <v>88.655824159635756</v>
      </c>
      <c r="U53" s="11" t="str">
        <f t="shared" si="35"/>
        <v/>
      </c>
    </row>
    <row r="54" spans="2:21" ht="15" thickTop="1" x14ac:dyDescent="0.35">
      <c r="B54" s="269"/>
      <c r="C54" s="81" t="s">
        <v>96</v>
      </c>
      <c r="D54" s="82">
        <f ca="1">IF(D37=0,"",D44+D52)</f>
        <v>1295.9752057318324</v>
      </c>
      <c r="E54" s="83">
        <f t="shared" ref="E54:G54" ca="1" si="36">IF(E37=0,"",E44+E52)</f>
        <v>807.68490107270588</v>
      </c>
      <c r="F54" s="160">
        <f ca="1">IF(F37=0,"",F44+F52)</f>
        <v>1157.5076733481817</v>
      </c>
      <c r="G54" s="83">
        <f t="shared" ca="1" si="36"/>
        <v>807.68490107270588</v>
      </c>
      <c r="H54" s="83">
        <f ca="1">IF(H37=0,"",H44+H52)</f>
        <v>2336.8486130137007</v>
      </c>
      <c r="I54" s="83">
        <f ca="1">IF(I37=0,"",I44+I52)</f>
        <v>1408.2806187579572</v>
      </c>
      <c r="J54" s="160">
        <f t="shared" ref="J54" ca="1" si="37">IF(J37=0,"",J44+J52)</f>
        <v>3253.1260000000002</v>
      </c>
      <c r="K54" s="83">
        <f t="shared" ref="K54:R54" ca="1" si="38">IF(K37=0,"",K44+K52)</f>
        <v>2360.8430502379697</v>
      </c>
      <c r="L54" s="83">
        <f t="shared" ca="1" si="38"/>
        <v>2798.8669116165474</v>
      </c>
      <c r="M54" s="83">
        <f t="shared" ca="1" si="38"/>
        <v>2243.8892888498685</v>
      </c>
      <c r="N54" s="160">
        <f t="shared" ca="1" si="38"/>
        <v>3346.7205714285719</v>
      </c>
      <c r="O54" s="83">
        <f t="shared" ref="O54:P54" ca="1" si="39">IF(O37=0,"",O44+O52)</f>
        <v>1474.8554553990612</v>
      </c>
      <c r="P54" s="83">
        <f t="shared" ca="1" si="39"/>
        <v>1395.7051633808317</v>
      </c>
      <c r="Q54" s="83">
        <f t="shared" ca="1" si="38"/>
        <v>2712.8012989014492</v>
      </c>
      <c r="R54" s="83">
        <f t="shared" ca="1" si="38"/>
        <v>2668.7937142857145</v>
      </c>
      <c r="S54" s="83">
        <f t="shared" ref="S54:U54" ca="1" si="40">IF(S37=0,"",S44+S52)</f>
        <v>3316.872571428572</v>
      </c>
      <c r="T54" s="83">
        <f t="shared" ca="1" si="40"/>
        <v>3933.2175395741269</v>
      </c>
      <c r="U54" s="84" t="str">
        <f t="shared" si="40"/>
        <v/>
      </c>
    </row>
    <row r="55" spans="2:21" x14ac:dyDescent="0.35">
      <c r="B55" s="269"/>
      <c r="C55" s="3" t="s">
        <v>97</v>
      </c>
      <c r="D55" s="6">
        <f ca="1">IF(D37=0,"",D54/12)</f>
        <v>107.99793381098603</v>
      </c>
      <c r="E55" s="4">
        <f t="shared" ref="E55:G55" ca="1" si="41">IF(E37=0,"",E54/12)</f>
        <v>67.307075089392157</v>
      </c>
      <c r="F55" s="157">
        <f ca="1">IF(F37=0,"",F54/12)</f>
        <v>96.458972779015141</v>
      </c>
      <c r="G55" s="4">
        <f t="shared" ca="1" si="41"/>
        <v>67.307075089392157</v>
      </c>
      <c r="H55" s="4">
        <f t="shared" ref="H55:L55" ca="1" si="42">IF(H37=0,"",H54/12)</f>
        <v>194.73738441780839</v>
      </c>
      <c r="I55" s="4">
        <f t="shared" ca="1" si="42"/>
        <v>117.35671822982977</v>
      </c>
      <c r="J55" s="157">
        <f t="shared" ca="1" si="42"/>
        <v>271.09383333333335</v>
      </c>
      <c r="K55" s="4">
        <f t="shared" ca="1" si="42"/>
        <v>196.73692085316415</v>
      </c>
      <c r="L55" s="4">
        <f t="shared" ca="1" si="42"/>
        <v>233.23890930137895</v>
      </c>
      <c r="M55" s="4">
        <f t="shared" ref="M55" ca="1" si="43">IF(M37=0,"",M54/12)</f>
        <v>186.99077407082237</v>
      </c>
      <c r="N55" s="157">
        <f ca="1">IF(N37=0,"",N54/12)</f>
        <v>278.89338095238099</v>
      </c>
      <c r="O55" s="4">
        <f ca="1">IF(O37=0,"",O54/12)</f>
        <v>122.9046212832551</v>
      </c>
      <c r="P55" s="4">
        <f ca="1">IF(P37=0,"",P54/12)</f>
        <v>116.30876361506931</v>
      </c>
      <c r="Q55" s="4">
        <f ca="1">IF(Q37=0,"",Q54/12)</f>
        <v>226.06677490845411</v>
      </c>
      <c r="R55" s="4">
        <f ca="1">IF(R37=0,"",R54/12)</f>
        <v>222.39947619047621</v>
      </c>
      <c r="S55" s="4">
        <f t="shared" ref="S55:U55" ca="1" si="44">IF(S37=0,"",S54/12)</f>
        <v>276.40604761904768</v>
      </c>
      <c r="T55" s="4">
        <f t="shared" ca="1" si="44"/>
        <v>327.76812829784393</v>
      </c>
      <c r="U55" s="5" t="str">
        <f t="shared" si="44"/>
        <v/>
      </c>
    </row>
    <row r="56" spans="2:21" x14ac:dyDescent="0.35">
      <c r="B56" s="262" t="s">
        <v>83</v>
      </c>
      <c r="C56" s="117" t="s">
        <v>112</v>
      </c>
      <c r="D56" s="121">
        <v>62661</v>
      </c>
      <c r="E56" s="122">
        <v>94895</v>
      </c>
      <c r="F56" s="124">
        <v>39666</v>
      </c>
      <c r="G56" s="122">
        <v>94895</v>
      </c>
      <c r="H56" s="122">
        <v>110000</v>
      </c>
      <c r="I56" s="122">
        <v>56329</v>
      </c>
      <c r="J56" s="124"/>
      <c r="K56" s="122">
        <v>61150</v>
      </c>
      <c r="L56" s="122">
        <v>117786</v>
      </c>
      <c r="M56" s="122">
        <v>83010</v>
      </c>
      <c r="N56" s="124"/>
      <c r="O56" s="122">
        <v>55347</v>
      </c>
      <c r="P56" s="122">
        <v>83933</v>
      </c>
      <c r="Q56" s="122">
        <v>140972</v>
      </c>
      <c r="R56" s="122"/>
      <c r="S56" s="122"/>
      <c r="T56" s="122">
        <v>76300</v>
      </c>
      <c r="U56" s="123"/>
    </row>
    <row r="57" spans="2:21" x14ac:dyDescent="0.35">
      <c r="B57" s="263"/>
      <c r="C57" s="117" t="s">
        <v>84</v>
      </c>
      <c r="D57" s="127">
        <v>41379</v>
      </c>
      <c r="E57" s="128">
        <v>42011</v>
      </c>
      <c r="F57" s="161">
        <v>41934</v>
      </c>
      <c r="G57" s="128">
        <v>42011</v>
      </c>
      <c r="H57" s="128">
        <v>38306</v>
      </c>
      <c r="I57" s="128">
        <v>43448</v>
      </c>
      <c r="J57" s="161"/>
      <c r="K57" s="128">
        <v>42750</v>
      </c>
      <c r="L57" s="128">
        <v>43189</v>
      </c>
      <c r="M57" s="128">
        <v>42761</v>
      </c>
      <c r="N57" s="161"/>
      <c r="O57" s="128">
        <v>42150</v>
      </c>
      <c r="P57" s="128">
        <v>42475</v>
      </c>
      <c r="Q57" s="128">
        <v>43054</v>
      </c>
      <c r="R57" s="128"/>
      <c r="S57" s="128"/>
      <c r="T57" s="128">
        <v>43647</v>
      </c>
      <c r="U57" s="129"/>
    </row>
    <row r="58" spans="2:21" ht="15" thickBot="1" x14ac:dyDescent="0.4">
      <c r="B58" s="264"/>
      <c r="C58" s="130" t="s">
        <v>202</v>
      </c>
      <c r="D58" s="131" t="s">
        <v>229</v>
      </c>
      <c r="E58" s="132" t="s">
        <v>230</v>
      </c>
      <c r="F58" s="162" t="s">
        <v>262</v>
      </c>
      <c r="G58" s="132" t="s">
        <v>230</v>
      </c>
      <c r="H58" s="132"/>
      <c r="I58" s="132" t="s">
        <v>236</v>
      </c>
      <c r="J58" s="162"/>
      <c r="K58" s="132" t="s">
        <v>122</v>
      </c>
      <c r="L58" s="132" t="s">
        <v>203</v>
      </c>
      <c r="M58" s="132" t="s">
        <v>203</v>
      </c>
      <c r="N58" s="162"/>
      <c r="O58" s="132" t="s">
        <v>257</v>
      </c>
      <c r="P58" s="132" t="s">
        <v>259</v>
      </c>
      <c r="Q58" s="132"/>
      <c r="R58" s="132"/>
      <c r="S58" s="132"/>
      <c r="T58" s="132"/>
      <c r="U58" s="133"/>
    </row>
    <row r="60" spans="2:21" x14ac:dyDescent="0.35">
      <c r="K60" s="104"/>
      <c r="N60" s="104"/>
    </row>
  </sheetData>
  <sheetProtection insertColumns="0" insertHyperlinks="0" selectLockedCells="1"/>
  <mergeCells count="12">
    <mergeCell ref="B2:B3"/>
    <mergeCell ref="B4:B5"/>
    <mergeCell ref="B56:B58"/>
    <mergeCell ref="B6:B7"/>
    <mergeCell ref="B8:B14"/>
    <mergeCell ref="B15:B17"/>
    <mergeCell ref="B18:B19"/>
    <mergeCell ref="B20:B21"/>
    <mergeCell ref="B22:B28"/>
    <mergeCell ref="B29:B31"/>
    <mergeCell ref="B32:B33"/>
    <mergeCell ref="B35:B55"/>
  </mergeCells>
  <conditionalFormatting sqref="D45:U50">
    <cfRule type="dataBar" priority="3">
      <dataBar>
        <cfvo type="num" val="0"/>
        <cfvo type="max"/>
        <color rgb="FFFFB628"/>
      </dataBar>
      <extLst>
        <ext xmlns:x14="http://schemas.microsoft.com/office/spreadsheetml/2009/9/main" uri="{B025F937-C7B1-47D3-B67F-A62EFF666E3E}">
          <x14:id>{155B0312-F73B-44DF-B90A-AE9ACFBA77B2}</x14:id>
        </ext>
      </extLst>
    </cfRule>
  </conditionalFormatting>
  <conditionalFormatting sqref="D55:U55">
    <cfRule type="dataBar" priority="5">
      <dataBar>
        <cfvo type="num" val="0"/>
        <cfvo type="max"/>
        <color rgb="FFFF555A"/>
      </dataBar>
      <extLst>
        <ext xmlns:x14="http://schemas.microsoft.com/office/spreadsheetml/2009/9/main" uri="{B025F937-C7B1-47D3-B67F-A62EFF666E3E}">
          <x14:id>{BD22F63C-3571-42F8-BA8F-5C9FF1639D22}</x14:id>
        </ext>
      </extLst>
    </cfRule>
  </conditionalFormatting>
  <dataValidations count="3">
    <dataValidation type="list" allowBlank="1" showInputMessage="1" showErrorMessage="1" sqref="D8:U8" xr:uid="{7B392EFD-4167-4C76-8E82-78C91D72D759}">
      <formula1>"Electric,PHEV,Petrol"</formula1>
    </dataValidation>
    <dataValidation type="list" allowBlank="1" showInputMessage="1" showErrorMessage="1" sqref="D7:U7" xr:uid="{39EC7052-AA71-461C-8856-108319D8C001}">
      <formula1>"5-speed,6-speed,Reduction gear,Automatic"</formula1>
    </dataValidation>
    <dataValidation type="list" allowBlank="1" showInputMessage="1" showErrorMessage="1" sqref="D35:U35" xr:uid="{8E51E6D0-A3EB-49AE-B312-E50D25114A35}">
      <formula1>"Buy,Lease"</formula1>
    </dataValidation>
  </dataValidations>
  <hyperlinks>
    <hyperlink ref="N4" r:id="rId1" location="/voorraad/volkswagen/polo/hatchback/296666880/10-tsi-polo" xr:uid="{79D74A66-4999-47DB-B606-F1B3DEB9A707}"/>
    <hyperlink ref="K4" r:id="rId2" xr:uid="{4865E192-47B8-40CC-9900-A387BFDB225D}"/>
    <hyperlink ref="D4" r:id="rId3" display="https://www.autoscout24.nl/aanbod/smart-fortwo-eigen-accu-electric-drive-elektrisch-grijs-3bd998d5-079b-47ae-b13f-2211e3e574c9?sort=price&amp;desc=0&amp;lastSeenGuidPresent=true&amp;cldtidx=56&amp;position=56&amp;search_id=ndkds14l6u&amp;source_otp=t10&amp;source=listpage_search-results" xr:uid="{3D115DA8-8F89-45A1-9E31-06C081D18963}"/>
    <hyperlink ref="Q4" r:id="rId4" display="https://www.autoscout24.nl/aanbod/opel-ampera-e-launch-executive-60-kwh-stoel-stuur-verw-camera-elektrisch-grijs-148fed86-3dfd-42f7-9a60-47f00ecfe030?sort=standard&amp;desc=0&amp;lastSeenGuidPresent=true&amp;cldtidx=9&amp;position=9&amp;search_id=ud92zyhwea&amp;source_otp=t30&amp;source=listpage_search-results" xr:uid="{E6AFC7B3-C54E-40B7-A2B4-319885AA8DB2}"/>
    <hyperlink ref="H4" r:id="rId5" xr:uid="{38855460-C812-46EA-BD0E-A545CA238738}"/>
    <hyperlink ref="L4" r:id="rId6" xr:uid="{3B1D7C4B-55ED-4856-A485-A566ED5E8B54}"/>
    <hyperlink ref="J4" r:id="rId7" xr:uid="{EB11FB53-D4DD-4F02-BE36-4760D752739F}"/>
    <hyperlink ref="E4" r:id="rId8" xr:uid="{6B6B7765-0075-40C0-BBB5-0539880B7E28}"/>
    <hyperlink ref="I4" r:id="rId9" xr:uid="{A2D190EF-0353-400C-BDC1-41D65A7DD24C}"/>
    <hyperlink ref="M4" r:id="rId10" xr:uid="{F890AD8A-362A-458D-BC63-2C83D59B2DC1}"/>
    <hyperlink ref="O4" r:id="rId11" location="1427122578-2078578-bmw-i3-range-extender-ecc-airco-navigatie-55dkm-hist-aanw" xr:uid="{604CA813-A01E-4D09-A2A1-063881BE31E2}"/>
    <hyperlink ref="P4" r:id="rId12" xr:uid="{4757856E-39CE-4D2A-BBC9-B7DF6E4DFC54}"/>
    <hyperlink ref="F4" r:id="rId13" xr:uid="{25E063BA-CDD7-4D83-BCD9-9112A8B324F0}"/>
    <hyperlink ref="G4" r:id="rId14" xr:uid="{5FFA6E32-43A8-49E5-B636-3DB5782C305D}"/>
  </hyperlinks>
  <pageMargins left="0.7" right="0.7" top="0.75" bottom="0.75" header="0.3" footer="0.3"/>
  <pageSetup paperSize="9" orientation="portrait" r:id="rId15"/>
  <ignoredErrors>
    <ignoredError sqref="U13 H13:J13 Q46:U46 H46:J46 K13:N13 K46:N46 R37 O46:P46 D46:G46" unlockedFormula="1"/>
  </ignoredErrors>
  <drawing r:id="rId16"/>
  <legacyDrawing r:id="rId17"/>
  <extLst>
    <ext xmlns:x14="http://schemas.microsoft.com/office/spreadsheetml/2009/9/main" uri="{78C0D931-6437-407d-A8EE-F0AAD7539E65}">
      <x14:conditionalFormattings>
        <x14:conditionalFormatting xmlns:xm="http://schemas.microsoft.com/office/excel/2006/main">
          <x14:cfRule type="dataBar" id="{155B0312-F73B-44DF-B90A-AE9ACFBA77B2}">
            <x14:dataBar minLength="0" maxLength="100" border="1" negativeBarBorderColorSameAsPositive="0">
              <x14:cfvo type="num">
                <xm:f>0</xm:f>
              </x14:cfvo>
              <x14:cfvo type="max"/>
              <x14:borderColor rgb="FFFFB628"/>
              <x14:negativeFillColor rgb="FFFF0000"/>
              <x14:negativeBorderColor rgb="FFFF0000"/>
              <x14:axisColor rgb="FF000000"/>
            </x14:dataBar>
          </x14:cfRule>
          <xm:sqref>D45:U50</xm:sqref>
        </x14:conditionalFormatting>
        <x14:conditionalFormatting xmlns:xm="http://schemas.microsoft.com/office/excel/2006/main">
          <x14:cfRule type="dataBar" id="{BD22F63C-3571-42F8-BA8F-5C9FF1639D22}">
            <x14:dataBar minLength="0" maxLength="100" border="1" negativeBarBorderColorSameAsPositive="0">
              <x14:cfvo type="num">
                <xm:f>0</xm:f>
              </x14:cfvo>
              <x14:cfvo type="max"/>
              <x14:borderColor rgb="FFFF555A"/>
              <x14:negativeFillColor rgb="FFFF0000"/>
              <x14:negativeBorderColor rgb="FFFF0000"/>
              <x14:axisColor rgb="FF000000"/>
            </x14:dataBar>
          </x14:cfRule>
          <xm:sqref>D55:U55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7E535-A8BB-45F4-9E0E-EE548AA317A2}">
  <sheetPr codeName="Sheet10"/>
  <dimension ref="A1:C56"/>
  <sheetViews>
    <sheetView showGridLines="0" tabSelected="1" topLeftCell="A6" workbookViewId="0">
      <selection activeCell="B56" sqref="B56"/>
    </sheetView>
  </sheetViews>
  <sheetFormatPr defaultRowHeight="14.5" x14ac:dyDescent="0.35"/>
  <cols>
    <col min="1" max="1" width="33.81640625" customWidth="1"/>
    <col min="2" max="3" width="8.7265625" customWidth="1"/>
  </cols>
  <sheetData>
    <row r="1" spans="1:2" x14ac:dyDescent="0.35">
      <c r="A1" s="190" t="s">
        <v>279</v>
      </c>
    </row>
    <row r="2" spans="1:2" x14ac:dyDescent="0.35">
      <c r="A2" t="s">
        <v>280</v>
      </c>
    </row>
    <row r="6" spans="1:2" x14ac:dyDescent="0.35">
      <c r="A6" s="190" t="s">
        <v>268</v>
      </c>
    </row>
    <row r="7" spans="1:2" x14ac:dyDescent="0.35">
      <c r="A7" s="172" t="s">
        <v>267</v>
      </c>
    </row>
    <row r="8" spans="1:2" x14ac:dyDescent="0.35">
      <c r="A8" s="172"/>
    </row>
    <row r="9" spans="1:2" x14ac:dyDescent="0.35">
      <c r="A9" s="191" t="s">
        <v>169</v>
      </c>
      <c r="B9" s="191" t="s">
        <v>103</v>
      </c>
    </row>
    <row r="10" spans="1:2" x14ac:dyDescent="0.35">
      <c r="A10" s="191" t="s">
        <v>269</v>
      </c>
      <c r="B10" s="238">
        <v>52.5</v>
      </c>
    </row>
    <row r="11" spans="1:2" x14ac:dyDescent="0.35">
      <c r="A11" s="191" t="s">
        <v>270</v>
      </c>
      <c r="B11" s="238">
        <v>43.4</v>
      </c>
    </row>
    <row r="12" spans="1:2" x14ac:dyDescent="0.35">
      <c r="A12" s="191" t="s">
        <v>271</v>
      </c>
      <c r="B12" s="238">
        <v>11.4</v>
      </c>
    </row>
    <row r="13" spans="1:2" x14ac:dyDescent="0.35">
      <c r="A13" s="191" t="s">
        <v>272</v>
      </c>
      <c r="B13" s="238">
        <v>22.5</v>
      </c>
    </row>
    <row r="14" spans="1:2" x14ac:dyDescent="0.35">
      <c r="A14" s="191" t="s">
        <v>75</v>
      </c>
      <c r="B14" s="238">
        <f>SUM(B10:B13)</f>
        <v>129.80000000000001</v>
      </c>
    </row>
    <row r="18" spans="1:3" x14ac:dyDescent="0.35">
      <c r="A18" s="190" t="s">
        <v>273</v>
      </c>
    </row>
    <row r="19" spans="1:3" x14ac:dyDescent="0.35">
      <c r="A19" s="172" t="s">
        <v>286</v>
      </c>
    </row>
    <row r="21" spans="1:3" x14ac:dyDescent="0.35">
      <c r="A21" t="s">
        <v>281</v>
      </c>
    </row>
    <row r="22" spans="1:3" x14ac:dyDescent="0.35">
      <c r="A22" s="191" t="s">
        <v>52</v>
      </c>
      <c r="B22" s="191" t="s">
        <v>282</v>
      </c>
      <c r="C22" s="191" t="s">
        <v>283</v>
      </c>
    </row>
    <row r="23" spans="1:3" x14ac:dyDescent="0.35">
      <c r="A23" s="191">
        <v>0</v>
      </c>
      <c r="B23" s="238">
        <v>0</v>
      </c>
      <c r="C23" s="238">
        <v>0</v>
      </c>
    </row>
    <row r="24" spans="1:3" x14ac:dyDescent="0.35">
      <c r="A24" s="191" t="s">
        <v>274</v>
      </c>
      <c r="B24" s="191" t="s">
        <v>282</v>
      </c>
      <c r="C24" s="191" t="s">
        <v>283</v>
      </c>
    </row>
    <row r="25" spans="1:3" x14ac:dyDescent="0.35">
      <c r="A25" s="191">
        <v>0</v>
      </c>
      <c r="B25" s="192">
        <v>0</v>
      </c>
      <c r="C25" s="192">
        <v>26</v>
      </c>
    </row>
    <row r="26" spans="1:3" x14ac:dyDescent="0.35">
      <c r="A26" s="191">
        <v>34</v>
      </c>
      <c r="B26" s="192">
        <v>884</v>
      </c>
      <c r="C26" s="192">
        <v>91</v>
      </c>
    </row>
    <row r="27" spans="1:3" x14ac:dyDescent="0.35">
      <c r="A27" s="191">
        <v>60</v>
      </c>
      <c r="B27" s="192">
        <v>3250</v>
      </c>
      <c r="C27" s="192">
        <v>217</v>
      </c>
    </row>
    <row r="28" spans="1:3" x14ac:dyDescent="0.35">
      <c r="A28" s="191" t="s">
        <v>76</v>
      </c>
      <c r="B28" s="191"/>
      <c r="C28" s="191"/>
    </row>
    <row r="29" spans="1:3" x14ac:dyDescent="0.35">
      <c r="A29" s="191">
        <v>0</v>
      </c>
      <c r="B29" s="192">
        <v>400</v>
      </c>
      <c r="C29" s="192">
        <v>2</v>
      </c>
    </row>
    <row r="30" spans="1:3" x14ac:dyDescent="0.35">
      <c r="A30" s="191">
        <v>82</v>
      </c>
      <c r="B30" s="192">
        <v>564</v>
      </c>
      <c r="C30" s="192">
        <v>68</v>
      </c>
    </row>
    <row r="31" spans="1:3" x14ac:dyDescent="0.35">
      <c r="A31" s="191">
        <v>106</v>
      </c>
      <c r="B31" s="192">
        <v>2196</v>
      </c>
      <c r="C31" s="192">
        <v>149</v>
      </c>
    </row>
    <row r="32" spans="1:3" x14ac:dyDescent="0.35">
      <c r="A32" s="191">
        <v>148</v>
      </c>
      <c r="B32" s="192">
        <v>8454</v>
      </c>
      <c r="C32" s="192">
        <v>244</v>
      </c>
    </row>
    <row r="33" spans="1:3" x14ac:dyDescent="0.35">
      <c r="A33" s="191">
        <v>165</v>
      </c>
      <c r="B33" s="192">
        <v>12602</v>
      </c>
      <c r="C33" s="192">
        <v>488</v>
      </c>
    </row>
    <row r="35" spans="1:3" x14ac:dyDescent="0.35">
      <c r="A35" s="191" t="s">
        <v>289</v>
      </c>
      <c r="B35" s="191" t="s">
        <v>282</v>
      </c>
      <c r="C35" s="191" t="s">
        <v>283</v>
      </c>
    </row>
    <row r="36" spans="1:3" x14ac:dyDescent="0.35">
      <c r="A36" s="239">
        <v>0</v>
      </c>
      <c r="B36" s="240">
        <v>0</v>
      </c>
      <c r="C36" s="241">
        <v>0.08</v>
      </c>
    </row>
    <row r="37" spans="1:3" x14ac:dyDescent="0.35">
      <c r="A37" s="239">
        <f>1/12</f>
        <v>8.3333333333333329E-2</v>
      </c>
      <c r="B37" s="240">
        <v>0.08</v>
      </c>
      <c r="C37" s="241">
        <v>0.03</v>
      </c>
    </row>
    <row r="38" spans="1:3" x14ac:dyDescent="0.35">
      <c r="A38" s="239">
        <f>3/12</f>
        <v>0.25</v>
      </c>
      <c r="B38" s="240">
        <v>0.14000000000000001</v>
      </c>
      <c r="C38" s="241">
        <v>2.5000000000000001E-2</v>
      </c>
    </row>
    <row r="39" spans="1:3" x14ac:dyDescent="0.35">
      <c r="A39" s="239">
        <f>5/12</f>
        <v>0.41666666666666669</v>
      </c>
      <c r="B39" s="240">
        <v>0.19</v>
      </c>
      <c r="C39" s="241">
        <v>2.2499999999999999E-2</v>
      </c>
    </row>
    <row r="40" spans="1:3" x14ac:dyDescent="0.35">
      <c r="A40" s="239">
        <f>9/12</f>
        <v>0.75</v>
      </c>
      <c r="B40" s="240">
        <v>0.28000000000000003</v>
      </c>
      <c r="C40" s="241">
        <v>1.444E-2</v>
      </c>
    </row>
    <row r="41" spans="1:3" x14ac:dyDescent="0.35">
      <c r="A41" s="239">
        <f>(1*12+6)/12</f>
        <v>1.5</v>
      </c>
      <c r="B41" s="240">
        <v>0.41</v>
      </c>
      <c r="C41" s="241">
        <v>9.1699999999999993E-3</v>
      </c>
    </row>
    <row r="42" spans="1:3" x14ac:dyDescent="0.35">
      <c r="A42" s="239">
        <f>(2*12+6)/12</f>
        <v>2.5</v>
      </c>
      <c r="B42" s="240">
        <v>0.52</v>
      </c>
      <c r="C42" s="241">
        <v>8.3300000000000006E-3</v>
      </c>
    </row>
    <row r="43" spans="1:3" x14ac:dyDescent="0.35">
      <c r="A43" s="239">
        <f>(3*12+6)/12</f>
        <v>3.5</v>
      </c>
      <c r="B43" s="240">
        <v>0.62</v>
      </c>
      <c r="C43" s="241">
        <v>7.4999999999999997E-3</v>
      </c>
    </row>
    <row r="44" spans="1:3" x14ac:dyDescent="0.35">
      <c r="A44" s="239">
        <f>(4*12+6)/12</f>
        <v>4.5</v>
      </c>
      <c r="B44" s="240">
        <v>0.71</v>
      </c>
      <c r="C44" s="241">
        <v>4.1599999999999996E-3</v>
      </c>
    </row>
    <row r="45" spans="1:3" x14ac:dyDescent="0.35">
      <c r="A45" s="239">
        <f>(5*12+6)/12</f>
        <v>5.5</v>
      </c>
      <c r="B45" s="240">
        <v>0.76</v>
      </c>
      <c r="C45" s="241">
        <v>4.1599999999999996E-3</v>
      </c>
    </row>
    <row r="46" spans="1:3" x14ac:dyDescent="0.35">
      <c r="A46" s="239">
        <f>(6*12+6)/12</f>
        <v>6.5</v>
      </c>
      <c r="B46" s="240">
        <v>0.81</v>
      </c>
      <c r="C46" s="241">
        <v>3.3300000000000001E-3</v>
      </c>
    </row>
    <row r="47" spans="1:3" x14ac:dyDescent="0.35">
      <c r="A47" s="239">
        <f>(7*12+6)/12</f>
        <v>7.5</v>
      </c>
      <c r="B47" s="240">
        <v>0.85</v>
      </c>
      <c r="C47" s="241">
        <v>3.3300000000000001E-3</v>
      </c>
    </row>
    <row r="48" spans="1:3" x14ac:dyDescent="0.35">
      <c r="A48" s="239">
        <f>(8*12+6)/12</f>
        <v>8.5</v>
      </c>
      <c r="B48" s="240">
        <v>0.89</v>
      </c>
      <c r="C48" s="241">
        <v>2.5000000000000001E-3</v>
      </c>
    </row>
    <row r="49" spans="1:3" x14ac:dyDescent="0.35">
      <c r="A49" s="239">
        <f>(9*12+6)/12</f>
        <v>9.5</v>
      </c>
      <c r="B49" s="240">
        <v>0.92</v>
      </c>
      <c r="C49" s="241">
        <v>8.3000000000000001E-4</v>
      </c>
    </row>
    <row r="52" spans="1:3" x14ac:dyDescent="0.35">
      <c r="A52" s="190" t="s">
        <v>296</v>
      </c>
    </row>
    <row r="53" spans="1:3" x14ac:dyDescent="0.35">
      <c r="A53" t="s">
        <v>297</v>
      </c>
      <c r="B53" t="s">
        <v>299</v>
      </c>
      <c r="C53" t="s">
        <v>300</v>
      </c>
    </row>
    <row r="54" spans="1:3" x14ac:dyDescent="0.35">
      <c r="A54" t="s">
        <v>298</v>
      </c>
      <c r="B54">
        <v>4147</v>
      </c>
      <c r="C54" s="279">
        <f>B54*0.086675</f>
        <v>359.44122500000003</v>
      </c>
    </row>
    <row r="56" spans="1:3" x14ac:dyDescent="0.35">
      <c r="A56" s="172" t="s">
        <v>301</v>
      </c>
    </row>
  </sheetData>
  <sheetProtection selectLockedCells="1"/>
  <hyperlinks>
    <hyperlink ref="A7" r:id="rId1" xr:uid="{71CA6E33-359D-4D49-8ADC-936DCF0F3582}"/>
    <hyperlink ref="A19" r:id="rId2" xr:uid="{22B9D128-AF8B-40DA-853A-3FCB306F26F5}"/>
    <hyperlink ref="A56" r:id="rId3" xr:uid="{AE124E78-3654-45DA-9A38-B048FC1FF99B}"/>
  </hyperlinks>
  <pageMargins left="0.7" right="0.7" top="0.75" bottom="0.75" header="0.3" footer="0.3"/>
  <pageSetup paperSize="9"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31960-D886-466B-AC5D-4DB5023223E2}">
  <sheetPr codeName="Sheet4"/>
  <dimension ref="A1:D17"/>
  <sheetViews>
    <sheetView showGridLines="0" workbookViewId="0">
      <selection activeCell="B3" sqref="B3"/>
    </sheetView>
  </sheetViews>
  <sheetFormatPr defaultRowHeight="14.5" x14ac:dyDescent="0.35"/>
  <cols>
    <col min="2" max="2" width="9.1796875" customWidth="1"/>
    <col min="4" max="4" width="9.1796875" customWidth="1"/>
  </cols>
  <sheetData>
    <row r="1" spans="1:4" x14ac:dyDescent="0.35">
      <c r="A1" s="270" t="s">
        <v>214</v>
      </c>
      <c r="B1" s="225" t="s">
        <v>76</v>
      </c>
      <c r="C1" s="226" t="s">
        <v>162</v>
      </c>
      <c r="D1" s="227" t="s">
        <v>52</v>
      </c>
    </row>
    <row r="2" spans="1:4" ht="15" thickBot="1" x14ac:dyDescent="0.4">
      <c r="A2" s="271"/>
      <c r="B2" s="228">
        <v>1</v>
      </c>
      <c r="C2" s="229">
        <v>0.9</v>
      </c>
      <c r="D2" s="230">
        <v>0.5</v>
      </c>
    </row>
    <row r="3" spans="1:4" x14ac:dyDescent="0.35">
      <c r="A3" s="221">
        <v>0</v>
      </c>
      <c r="B3" s="222">
        <v>0</v>
      </c>
      <c r="C3" s="223">
        <f>$B3*C$2</f>
        <v>0</v>
      </c>
      <c r="D3" s="224">
        <f>$B3*D$2</f>
        <v>0</v>
      </c>
    </row>
    <row r="4" spans="1:4" x14ac:dyDescent="0.35">
      <c r="A4" s="174">
        <v>1</v>
      </c>
      <c r="B4" s="177">
        <v>80</v>
      </c>
      <c r="C4" s="178">
        <f t="shared" ref="C4:D17" si="0">$B4*C$2</f>
        <v>72</v>
      </c>
      <c r="D4" s="179">
        <f t="shared" si="0"/>
        <v>40</v>
      </c>
    </row>
    <row r="5" spans="1:4" x14ac:dyDescent="0.35">
      <c r="A5" s="175">
        <v>2</v>
      </c>
      <c r="B5" s="180">
        <v>120</v>
      </c>
      <c r="C5" s="181">
        <f t="shared" si="0"/>
        <v>108</v>
      </c>
      <c r="D5" s="182">
        <f t="shared" si="0"/>
        <v>60</v>
      </c>
    </row>
    <row r="6" spans="1:4" x14ac:dyDescent="0.35">
      <c r="A6" s="175">
        <v>3</v>
      </c>
      <c r="B6" s="180">
        <v>160</v>
      </c>
      <c r="C6" s="181">
        <f t="shared" si="0"/>
        <v>144</v>
      </c>
      <c r="D6" s="182">
        <f t="shared" si="0"/>
        <v>80</v>
      </c>
    </row>
    <row r="7" spans="1:4" x14ac:dyDescent="0.35">
      <c r="A7" s="175">
        <v>4</v>
      </c>
      <c r="B7" s="180">
        <v>200</v>
      </c>
      <c r="C7" s="181">
        <f t="shared" si="0"/>
        <v>180</v>
      </c>
      <c r="D7" s="182">
        <f t="shared" si="0"/>
        <v>100</v>
      </c>
    </row>
    <row r="8" spans="1:4" x14ac:dyDescent="0.35">
      <c r="A8" s="175">
        <v>5</v>
      </c>
      <c r="B8" s="180">
        <v>240</v>
      </c>
      <c r="C8" s="181">
        <f t="shared" si="0"/>
        <v>216</v>
      </c>
      <c r="D8" s="182">
        <f t="shared" si="0"/>
        <v>120</v>
      </c>
    </row>
    <row r="9" spans="1:4" x14ac:dyDescent="0.35">
      <c r="A9" s="175">
        <v>6</v>
      </c>
      <c r="B9" s="180">
        <v>280</v>
      </c>
      <c r="C9" s="181">
        <f t="shared" si="0"/>
        <v>252</v>
      </c>
      <c r="D9" s="182">
        <f t="shared" si="0"/>
        <v>140</v>
      </c>
    </row>
    <row r="10" spans="1:4" x14ac:dyDescent="0.35">
      <c r="A10" s="175">
        <v>7</v>
      </c>
      <c r="B10" s="180">
        <v>320</v>
      </c>
      <c r="C10" s="181">
        <f t="shared" si="0"/>
        <v>288</v>
      </c>
      <c r="D10" s="182">
        <f t="shared" si="0"/>
        <v>160</v>
      </c>
    </row>
    <row r="11" spans="1:4" x14ac:dyDescent="0.35">
      <c r="A11" s="175">
        <v>8</v>
      </c>
      <c r="B11" s="180">
        <v>360</v>
      </c>
      <c r="C11" s="181">
        <f t="shared" si="0"/>
        <v>324</v>
      </c>
      <c r="D11" s="182">
        <f t="shared" si="0"/>
        <v>180</v>
      </c>
    </row>
    <row r="12" spans="1:4" x14ac:dyDescent="0.35">
      <c r="A12" s="175">
        <v>9</v>
      </c>
      <c r="B12" s="180">
        <v>400</v>
      </c>
      <c r="C12" s="181">
        <f t="shared" si="0"/>
        <v>360</v>
      </c>
      <c r="D12" s="182">
        <f t="shared" si="0"/>
        <v>200</v>
      </c>
    </row>
    <row r="13" spans="1:4" x14ac:dyDescent="0.35">
      <c r="A13" s="175">
        <v>10</v>
      </c>
      <c r="B13" s="180">
        <v>440</v>
      </c>
      <c r="C13" s="181">
        <f t="shared" si="0"/>
        <v>396</v>
      </c>
      <c r="D13" s="182">
        <f t="shared" si="0"/>
        <v>220</v>
      </c>
    </row>
    <row r="14" spans="1:4" x14ac:dyDescent="0.35">
      <c r="A14" s="175">
        <v>11</v>
      </c>
      <c r="B14" s="180">
        <v>480</v>
      </c>
      <c r="C14" s="181">
        <f t="shared" si="0"/>
        <v>432</v>
      </c>
      <c r="D14" s="182">
        <f t="shared" si="0"/>
        <v>240</v>
      </c>
    </row>
    <row r="15" spans="1:4" x14ac:dyDescent="0.35">
      <c r="A15" s="175">
        <v>12</v>
      </c>
      <c r="B15" s="180">
        <v>520</v>
      </c>
      <c r="C15" s="181">
        <f t="shared" si="0"/>
        <v>468</v>
      </c>
      <c r="D15" s="182">
        <f t="shared" si="0"/>
        <v>260</v>
      </c>
    </row>
    <row r="16" spans="1:4" x14ac:dyDescent="0.35">
      <c r="A16" s="175">
        <v>13</v>
      </c>
      <c r="B16" s="180">
        <v>560</v>
      </c>
      <c r="C16" s="181">
        <f t="shared" si="0"/>
        <v>504</v>
      </c>
      <c r="D16" s="182">
        <f t="shared" si="0"/>
        <v>280</v>
      </c>
    </row>
    <row r="17" spans="1:4" ht="15" thickBot="1" x14ac:dyDescent="0.4">
      <c r="A17" s="176">
        <v>14</v>
      </c>
      <c r="B17" s="183">
        <v>600</v>
      </c>
      <c r="C17" s="184">
        <f t="shared" si="0"/>
        <v>540</v>
      </c>
      <c r="D17" s="185">
        <f t="shared" si="0"/>
        <v>300</v>
      </c>
    </row>
  </sheetData>
  <sheetProtection sheet="1" objects="1" scenarios="1" selectLockedCells="1"/>
  <mergeCells count="1">
    <mergeCell ref="A1:A2"/>
  </mergeCells>
  <pageMargins left="0.7" right="0.7" top="0.75" bottom="0.75" header="0.3" footer="0.3"/>
  <pageSetup paperSize="9" orientation="portrait" r:id="rId1"/>
  <ignoredErrors>
    <ignoredError sqref="C3:D17" unlocked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73009-8570-49F6-AE93-41DF5A8DF428}">
  <sheetPr codeName="Sheet6"/>
  <dimension ref="A1:BG17"/>
  <sheetViews>
    <sheetView showGridLines="0" workbookViewId="0">
      <selection activeCell="A6" sqref="A6:XFD6"/>
    </sheetView>
  </sheetViews>
  <sheetFormatPr defaultRowHeight="14.5" x14ac:dyDescent="0.35"/>
  <cols>
    <col min="1" max="1" width="11.453125" bestFit="1" customWidth="1"/>
    <col min="2" max="2" width="12.54296875" bestFit="1" customWidth="1"/>
    <col min="3" max="3" width="8.26953125" bestFit="1" customWidth="1"/>
    <col min="4" max="31" width="6.81640625" customWidth="1"/>
    <col min="32" max="34" width="4.81640625" bestFit="1" customWidth="1"/>
    <col min="35" max="45" width="5.26953125" bestFit="1" customWidth="1"/>
    <col min="46" max="48" width="4.81640625" bestFit="1" customWidth="1"/>
    <col min="49" max="59" width="5.26953125" bestFit="1" customWidth="1"/>
  </cols>
  <sheetData>
    <row r="1" spans="1:59" x14ac:dyDescent="0.35">
      <c r="B1" s="274" t="s">
        <v>76</v>
      </c>
      <c r="C1" s="274"/>
      <c r="D1" s="273" t="s">
        <v>162</v>
      </c>
      <c r="E1" s="273"/>
      <c r="F1" s="273"/>
      <c r="G1" s="273"/>
      <c r="H1" s="273"/>
      <c r="I1" s="273"/>
      <c r="J1" s="273"/>
      <c r="K1" s="273"/>
      <c r="L1" s="273"/>
      <c r="M1" s="273"/>
      <c r="N1" s="273"/>
      <c r="O1" s="273"/>
      <c r="P1" s="273"/>
      <c r="Q1" s="273"/>
      <c r="R1" s="272" t="s">
        <v>52</v>
      </c>
      <c r="S1" s="272"/>
      <c r="T1" s="272"/>
      <c r="U1" s="272"/>
      <c r="V1" s="272"/>
      <c r="W1" s="272"/>
      <c r="X1" s="272"/>
      <c r="Y1" s="272"/>
      <c r="Z1" s="272"/>
      <c r="AA1" s="272"/>
      <c r="AB1" s="272"/>
      <c r="AC1" s="272"/>
      <c r="AD1" s="272"/>
      <c r="AE1" s="272"/>
      <c r="AF1" s="273" t="s">
        <v>162</v>
      </c>
      <c r="AG1" s="273"/>
      <c r="AH1" s="273"/>
      <c r="AI1" s="273"/>
      <c r="AJ1" s="273"/>
      <c r="AK1" s="273"/>
      <c r="AL1" s="273"/>
      <c r="AM1" s="273"/>
      <c r="AN1" s="273"/>
      <c r="AO1" s="273"/>
      <c r="AP1" s="273"/>
      <c r="AQ1" s="273"/>
      <c r="AR1" s="273"/>
      <c r="AS1" s="273"/>
      <c r="AT1" s="272" t="s">
        <v>52</v>
      </c>
      <c r="AU1" s="272"/>
      <c r="AV1" s="272"/>
      <c r="AW1" s="272"/>
      <c r="AX1" s="272"/>
      <c r="AY1" s="272"/>
      <c r="AZ1" s="272"/>
      <c r="BA1" s="272"/>
      <c r="BB1" s="272"/>
      <c r="BC1" s="272"/>
      <c r="BD1" s="272"/>
      <c r="BE1" s="272"/>
      <c r="BF1" s="272"/>
      <c r="BG1" s="272"/>
    </row>
    <row r="2" spans="1:59" s="94" customFormat="1" x14ac:dyDescent="0.35">
      <c r="A2" s="105" t="s">
        <v>118</v>
      </c>
      <c r="B2" s="103" t="s">
        <v>160</v>
      </c>
      <c r="C2" s="103" t="s">
        <v>161</v>
      </c>
      <c r="D2" s="101">
        <v>2023</v>
      </c>
      <c r="E2" s="101">
        <v>2024</v>
      </c>
      <c r="F2" s="101">
        <v>2025</v>
      </c>
      <c r="G2" s="101">
        <v>2026</v>
      </c>
      <c r="H2" s="101">
        <v>2027</v>
      </c>
      <c r="I2" s="101">
        <v>2028</v>
      </c>
      <c r="J2" s="101">
        <v>2029</v>
      </c>
      <c r="K2" s="101">
        <v>2030</v>
      </c>
      <c r="L2" s="101">
        <v>2031</v>
      </c>
      <c r="M2" s="101">
        <v>2032</v>
      </c>
      <c r="N2" s="101">
        <v>2033</v>
      </c>
      <c r="O2" s="101">
        <v>2034</v>
      </c>
      <c r="P2" s="101">
        <v>2035</v>
      </c>
      <c r="Q2" s="101">
        <v>2036</v>
      </c>
      <c r="R2" s="102">
        <v>2023</v>
      </c>
      <c r="S2" s="102">
        <v>2024</v>
      </c>
      <c r="T2" s="102">
        <v>2025</v>
      </c>
      <c r="U2" s="102">
        <v>2026</v>
      </c>
      <c r="V2" s="102">
        <v>2027</v>
      </c>
      <c r="W2" s="102">
        <v>2028</v>
      </c>
      <c r="X2" s="102">
        <v>2029</v>
      </c>
      <c r="Y2" s="102">
        <v>2030</v>
      </c>
      <c r="Z2" s="102">
        <v>2031</v>
      </c>
      <c r="AA2" s="102">
        <v>2032</v>
      </c>
      <c r="AB2" s="102">
        <v>2033</v>
      </c>
      <c r="AC2" s="102">
        <v>2034</v>
      </c>
      <c r="AD2" s="102">
        <v>2035</v>
      </c>
      <c r="AE2" s="102">
        <v>2036</v>
      </c>
      <c r="AF2" s="101">
        <v>2023</v>
      </c>
      <c r="AG2" s="101">
        <v>2024</v>
      </c>
      <c r="AH2" s="101">
        <v>2025</v>
      </c>
      <c r="AI2" s="101">
        <v>2026</v>
      </c>
      <c r="AJ2" s="101">
        <v>2027</v>
      </c>
      <c r="AK2" s="101">
        <v>2028</v>
      </c>
      <c r="AL2" s="101">
        <v>2029</v>
      </c>
      <c r="AM2" s="101">
        <v>2030</v>
      </c>
      <c r="AN2" s="101">
        <v>2031</v>
      </c>
      <c r="AO2" s="101">
        <v>2032</v>
      </c>
      <c r="AP2" s="101">
        <v>2033</v>
      </c>
      <c r="AQ2" s="101">
        <v>2034</v>
      </c>
      <c r="AR2" s="101">
        <v>2035</v>
      </c>
      <c r="AS2" s="101">
        <v>2036</v>
      </c>
      <c r="AT2" s="102">
        <v>2023</v>
      </c>
      <c r="AU2" s="102">
        <v>2024</v>
      </c>
      <c r="AV2" s="102">
        <v>2025</v>
      </c>
      <c r="AW2" s="102">
        <v>2026</v>
      </c>
      <c r="AX2" s="102">
        <v>2027</v>
      </c>
      <c r="AY2" s="102">
        <v>2028</v>
      </c>
      <c r="AZ2" s="102">
        <v>2029</v>
      </c>
      <c r="BA2" s="102">
        <v>2030</v>
      </c>
      <c r="BB2" s="102">
        <v>2031</v>
      </c>
      <c r="BC2" s="102">
        <v>2032</v>
      </c>
      <c r="BD2" s="102">
        <v>2033</v>
      </c>
      <c r="BE2" s="102">
        <v>2034</v>
      </c>
      <c r="BF2" s="102">
        <v>2035</v>
      </c>
      <c r="BG2" s="102">
        <v>2036</v>
      </c>
    </row>
    <row r="3" spans="1:59" x14ac:dyDescent="0.35">
      <c r="A3" s="96">
        <v>650</v>
      </c>
      <c r="B3" s="95">
        <v>42</v>
      </c>
      <c r="C3" s="95">
        <f t="shared" ref="C3:C6" si="0">4*B3</f>
        <v>168</v>
      </c>
      <c r="D3" s="100">
        <f t="shared" ref="D3:D17" si="1">$C3*AF3</f>
        <v>84</v>
      </c>
      <c r="E3" s="100">
        <f t="shared" ref="E3:E17" si="2">$C3*AG3</f>
        <v>84</v>
      </c>
      <c r="F3" s="100">
        <f t="shared" ref="F3:F17" si="3">$C3*AH3</f>
        <v>126</v>
      </c>
      <c r="G3" s="100">
        <f t="shared" ref="G3:G17" si="4">$C3*AI3</f>
        <v>168</v>
      </c>
      <c r="H3" s="100">
        <f t="shared" ref="H3:H17" si="5">$C3*AJ3</f>
        <v>168</v>
      </c>
      <c r="I3" s="100">
        <f t="shared" ref="I3:I17" si="6">$C3*AK3</f>
        <v>168</v>
      </c>
      <c r="J3" s="100">
        <f t="shared" ref="J3:J17" si="7">$C3*AL3</f>
        <v>168</v>
      </c>
      <c r="K3" s="100">
        <f t="shared" ref="K3:K17" si="8">$C3*AM3</f>
        <v>168</v>
      </c>
      <c r="L3" s="100">
        <f t="shared" ref="L3:L17" si="9">$C3*AN3</f>
        <v>168</v>
      </c>
      <c r="M3" s="100">
        <f t="shared" ref="M3:M17" si="10">$C3*AO3</f>
        <v>168</v>
      </c>
      <c r="N3" s="100">
        <f t="shared" ref="N3:N17" si="11">$C3*AP3</f>
        <v>168</v>
      </c>
      <c r="O3" s="100">
        <f t="shared" ref="O3:O17" si="12">$C3*AQ3</f>
        <v>168</v>
      </c>
      <c r="P3" s="100">
        <f t="shared" ref="P3:P17" si="13">$C3*AR3</f>
        <v>168</v>
      </c>
      <c r="Q3" s="100">
        <f t="shared" ref="Q3:Q17" si="14">$C3*AS3</f>
        <v>168</v>
      </c>
      <c r="R3" s="98">
        <f t="shared" ref="R3:R17" si="15">$C3*AT3</f>
        <v>0</v>
      </c>
      <c r="S3" s="98">
        <f t="shared" ref="S3:S17" si="16">$C3*AU3</f>
        <v>0</v>
      </c>
      <c r="T3" s="98">
        <f t="shared" ref="T3:T17" si="17">$C3*AV3</f>
        <v>42</v>
      </c>
      <c r="U3" s="98">
        <f t="shared" ref="U3:U17" si="18">$C3*AW3</f>
        <v>168</v>
      </c>
      <c r="V3" s="98">
        <f t="shared" ref="V3:V17" si="19">$C3*AX3</f>
        <v>168</v>
      </c>
      <c r="W3" s="98">
        <f t="shared" ref="W3:W17" si="20">$C3*AY3</f>
        <v>168</v>
      </c>
      <c r="X3" s="98">
        <f t="shared" ref="X3:X17" si="21">$C3*AZ3</f>
        <v>168</v>
      </c>
      <c r="Y3" s="98">
        <f t="shared" ref="Y3:Y17" si="22">$C3*BA3</f>
        <v>168</v>
      </c>
      <c r="Z3" s="98">
        <f t="shared" ref="Z3:Z17" si="23">$C3*BB3</f>
        <v>168</v>
      </c>
      <c r="AA3" s="98">
        <f t="shared" ref="AA3:AA17" si="24">$C3*BC3</f>
        <v>168</v>
      </c>
      <c r="AB3" s="98">
        <f t="shared" ref="AB3:AB17" si="25">$C3*BD3</f>
        <v>168</v>
      </c>
      <c r="AC3" s="98">
        <f t="shared" ref="AC3:AC17" si="26">$C3*BE3</f>
        <v>168</v>
      </c>
      <c r="AD3" s="98">
        <f t="shared" ref="AD3:AD17" si="27">$C3*BF3</f>
        <v>168</v>
      </c>
      <c r="AE3" s="98">
        <f t="shared" ref="AE3:AE17" si="28">$C3*BG3</f>
        <v>168</v>
      </c>
      <c r="AF3" s="99">
        <v>0.5</v>
      </c>
      <c r="AG3" s="99">
        <v>0.5</v>
      </c>
      <c r="AH3" s="99">
        <v>0.75</v>
      </c>
      <c r="AI3" s="99">
        <v>1</v>
      </c>
      <c r="AJ3" s="99">
        <v>1</v>
      </c>
      <c r="AK3" s="99">
        <v>1</v>
      </c>
      <c r="AL3" s="99">
        <v>1</v>
      </c>
      <c r="AM3" s="99">
        <v>1</v>
      </c>
      <c r="AN3" s="99">
        <v>1</v>
      </c>
      <c r="AO3" s="99">
        <v>1</v>
      </c>
      <c r="AP3" s="99">
        <v>1</v>
      </c>
      <c r="AQ3" s="99">
        <v>1</v>
      </c>
      <c r="AR3" s="99">
        <v>1</v>
      </c>
      <c r="AS3" s="99">
        <v>1</v>
      </c>
      <c r="AT3" s="97">
        <v>0</v>
      </c>
      <c r="AU3" s="97">
        <v>0</v>
      </c>
      <c r="AV3" s="97">
        <v>0.25</v>
      </c>
      <c r="AW3" s="97">
        <v>1</v>
      </c>
      <c r="AX3" s="97">
        <v>1</v>
      </c>
      <c r="AY3" s="97">
        <v>1</v>
      </c>
      <c r="AZ3" s="97">
        <v>1</v>
      </c>
      <c r="BA3" s="97">
        <v>1</v>
      </c>
      <c r="BB3" s="97">
        <v>1</v>
      </c>
      <c r="BC3" s="97">
        <v>1</v>
      </c>
      <c r="BD3" s="97">
        <v>1</v>
      </c>
      <c r="BE3" s="97">
        <v>1</v>
      </c>
      <c r="BF3" s="97">
        <v>1</v>
      </c>
      <c r="BG3" s="97">
        <v>1</v>
      </c>
    </row>
    <row r="4" spans="1:59" x14ac:dyDescent="0.35">
      <c r="A4" s="96">
        <v>750</v>
      </c>
      <c r="B4" s="95">
        <v>51</v>
      </c>
      <c r="C4" s="95">
        <f t="shared" si="0"/>
        <v>204</v>
      </c>
      <c r="D4" s="100">
        <f t="shared" si="1"/>
        <v>102</v>
      </c>
      <c r="E4" s="100">
        <f t="shared" si="2"/>
        <v>102</v>
      </c>
      <c r="F4" s="100">
        <f t="shared" si="3"/>
        <v>153</v>
      </c>
      <c r="G4" s="100">
        <f t="shared" si="4"/>
        <v>204</v>
      </c>
      <c r="H4" s="100">
        <f t="shared" si="5"/>
        <v>204</v>
      </c>
      <c r="I4" s="100">
        <f t="shared" si="6"/>
        <v>204</v>
      </c>
      <c r="J4" s="100">
        <f t="shared" si="7"/>
        <v>204</v>
      </c>
      <c r="K4" s="100">
        <f t="shared" si="8"/>
        <v>204</v>
      </c>
      <c r="L4" s="100">
        <f t="shared" si="9"/>
        <v>204</v>
      </c>
      <c r="M4" s="100">
        <f t="shared" si="10"/>
        <v>204</v>
      </c>
      <c r="N4" s="100">
        <f t="shared" si="11"/>
        <v>204</v>
      </c>
      <c r="O4" s="100">
        <f t="shared" si="12"/>
        <v>204</v>
      </c>
      <c r="P4" s="100">
        <f t="shared" si="13"/>
        <v>204</v>
      </c>
      <c r="Q4" s="100">
        <f t="shared" si="14"/>
        <v>204</v>
      </c>
      <c r="R4" s="98">
        <f t="shared" si="15"/>
        <v>0</v>
      </c>
      <c r="S4" s="98">
        <f t="shared" si="16"/>
        <v>0</v>
      </c>
      <c r="T4" s="98">
        <f t="shared" si="17"/>
        <v>51</v>
      </c>
      <c r="U4" s="98">
        <f t="shared" si="18"/>
        <v>204</v>
      </c>
      <c r="V4" s="98">
        <f t="shared" si="19"/>
        <v>204</v>
      </c>
      <c r="W4" s="98">
        <f t="shared" si="20"/>
        <v>204</v>
      </c>
      <c r="X4" s="98">
        <f t="shared" si="21"/>
        <v>204</v>
      </c>
      <c r="Y4" s="98">
        <f t="shared" si="22"/>
        <v>204</v>
      </c>
      <c r="Z4" s="98">
        <f t="shared" si="23"/>
        <v>204</v>
      </c>
      <c r="AA4" s="98">
        <f t="shared" si="24"/>
        <v>204</v>
      </c>
      <c r="AB4" s="98">
        <f t="shared" si="25"/>
        <v>204</v>
      </c>
      <c r="AC4" s="98">
        <f t="shared" si="26"/>
        <v>204</v>
      </c>
      <c r="AD4" s="98">
        <f t="shared" si="27"/>
        <v>204</v>
      </c>
      <c r="AE4" s="98">
        <f t="shared" si="28"/>
        <v>204</v>
      </c>
      <c r="AF4" s="99">
        <v>0.5</v>
      </c>
      <c r="AG4" s="99">
        <v>0.5</v>
      </c>
      <c r="AH4" s="99">
        <v>0.75</v>
      </c>
      <c r="AI4" s="99">
        <v>1</v>
      </c>
      <c r="AJ4" s="99">
        <v>1</v>
      </c>
      <c r="AK4" s="99">
        <v>1</v>
      </c>
      <c r="AL4" s="99">
        <v>1</v>
      </c>
      <c r="AM4" s="99">
        <v>1</v>
      </c>
      <c r="AN4" s="99">
        <v>1</v>
      </c>
      <c r="AO4" s="99">
        <v>1</v>
      </c>
      <c r="AP4" s="99">
        <v>1</v>
      </c>
      <c r="AQ4" s="99">
        <v>1</v>
      </c>
      <c r="AR4" s="99">
        <v>1</v>
      </c>
      <c r="AS4" s="99">
        <v>1</v>
      </c>
      <c r="AT4" s="97">
        <v>0</v>
      </c>
      <c r="AU4" s="97">
        <v>0</v>
      </c>
      <c r="AV4" s="97">
        <v>0.25</v>
      </c>
      <c r="AW4" s="97">
        <v>1</v>
      </c>
      <c r="AX4" s="97">
        <v>1</v>
      </c>
      <c r="AY4" s="97">
        <v>1</v>
      </c>
      <c r="AZ4" s="97">
        <v>1</v>
      </c>
      <c r="BA4" s="97">
        <v>1</v>
      </c>
      <c r="BB4" s="97">
        <v>1</v>
      </c>
      <c r="BC4" s="97">
        <v>1</v>
      </c>
      <c r="BD4" s="97">
        <v>1</v>
      </c>
      <c r="BE4" s="97">
        <v>1</v>
      </c>
      <c r="BF4" s="97">
        <v>1</v>
      </c>
      <c r="BG4" s="97">
        <v>1</v>
      </c>
    </row>
    <row r="5" spans="1:59" x14ac:dyDescent="0.35">
      <c r="A5" s="96">
        <v>850</v>
      </c>
      <c r="B5" s="95">
        <v>68</v>
      </c>
      <c r="C5" s="95">
        <f t="shared" si="0"/>
        <v>272</v>
      </c>
      <c r="D5" s="100">
        <f t="shared" si="1"/>
        <v>136</v>
      </c>
      <c r="E5" s="100">
        <f t="shared" si="2"/>
        <v>136</v>
      </c>
      <c r="F5" s="100">
        <f t="shared" si="3"/>
        <v>204</v>
      </c>
      <c r="G5" s="100">
        <f t="shared" si="4"/>
        <v>272</v>
      </c>
      <c r="H5" s="100">
        <f t="shared" si="5"/>
        <v>272</v>
      </c>
      <c r="I5" s="100">
        <f t="shared" si="6"/>
        <v>272</v>
      </c>
      <c r="J5" s="100">
        <f t="shared" si="7"/>
        <v>272</v>
      </c>
      <c r="K5" s="100">
        <f t="shared" si="8"/>
        <v>272</v>
      </c>
      <c r="L5" s="100">
        <f t="shared" si="9"/>
        <v>272</v>
      </c>
      <c r="M5" s="100">
        <f t="shared" si="10"/>
        <v>272</v>
      </c>
      <c r="N5" s="100">
        <f t="shared" si="11"/>
        <v>272</v>
      </c>
      <c r="O5" s="100">
        <f t="shared" si="12"/>
        <v>272</v>
      </c>
      <c r="P5" s="100">
        <f t="shared" si="13"/>
        <v>272</v>
      </c>
      <c r="Q5" s="100">
        <f t="shared" si="14"/>
        <v>272</v>
      </c>
      <c r="R5" s="98">
        <f t="shared" si="15"/>
        <v>0</v>
      </c>
      <c r="S5" s="98">
        <f t="shared" si="16"/>
        <v>0</v>
      </c>
      <c r="T5" s="98">
        <f t="shared" si="17"/>
        <v>68</v>
      </c>
      <c r="U5" s="98">
        <f t="shared" si="18"/>
        <v>272</v>
      </c>
      <c r="V5" s="98">
        <f t="shared" si="19"/>
        <v>272</v>
      </c>
      <c r="W5" s="98">
        <f t="shared" si="20"/>
        <v>272</v>
      </c>
      <c r="X5" s="98">
        <f t="shared" si="21"/>
        <v>272</v>
      </c>
      <c r="Y5" s="98">
        <f t="shared" si="22"/>
        <v>272</v>
      </c>
      <c r="Z5" s="98">
        <f t="shared" si="23"/>
        <v>272</v>
      </c>
      <c r="AA5" s="98">
        <f t="shared" si="24"/>
        <v>272</v>
      </c>
      <c r="AB5" s="98">
        <f t="shared" si="25"/>
        <v>272</v>
      </c>
      <c r="AC5" s="98">
        <f t="shared" si="26"/>
        <v>272</v>
      </c>
      <c r="AD5" s="98">
        <f t="shared" si="27"/>
        <v>272</v>
      </c>
      <c r="AE5" s="98">
        <f t="shared" si="28"/>
        <v>272</v>
      </c>
      <c r="AF5" s="99">
        <v>0.5</v>
      </c>
      <c r="AG5" s="99">
        <v>0.5</v>
      </c>
      <c r="AH5" s="99">
        <v>0.75</v>
      </c>
      <c r="AI5" s="99">
        <v>1</v>
      </c>
      <c r="AJ5" s="99">
        <v>1</v>
      </c>
      <c r="AK5" s="99">
        <v>1</v>
      </c>
      <c r="AL5" s="99">
        <v>1</v>
      </c>
      <c r="AM5" s="99">
        <v>1</v>
      </c>
      <c r="AN5" s="99">
        <v>1</v>
      </c>
      <c r="AO5" s="99">
        <v>1</v>
      </c>
      <c r="AP5" s="99">
        <v>1</v>
      </c>
      <c r="AQ5" s="99">
        <v>1</v>
      </c>
      <c r="AR5" s="99">
        <v>1</v>
      </c>
      <c r="AS5" s="99">
        <v>1</v>
      </c>
      <c r="AT5" s="97">
        <v>0</v>
      </c>
      <c r="AU5" s="97">
        <v>0</v>
      </c>
      <c r="AV5" s="97">
        <v>0.25</v>
      </c>
      <c r="AW5" s="97">
        <v>1</v>
      </c>
      <c r="AX5" s="97">
        <v>1</v>
      </c>
      <c r="AY5" s="97">
        <v>1</v>
      </c>
      <c r="AZ5" s="97">
        <v>1</v>
      </c>
      <c r="BA5" s="97">
        <v>1</v>
      </c>
      <c r="BB5" s="97">
        <v>1</v>
      </c>
      <c r="BC5" s="97">
        <v>1</v>
      </c>
      <c r="BD5" s="97">
        <v>1</v>
      </c>
      <c r="BE5" s="97">
        <v>1</v>
      </c>
      <c r="BF5" s="97">
        <v>1</v>
      </c>
      <c r="BG5" s="97">
        <v>1</v>
      </c>
    </row>
    <row r="6" spans="1:59" x14ac:dyDescent="0.35">
      <c r="A6" s="96">
        <v>950</v>
      </c>
      <c r="B6" s="95">
        <v>88</v>
      </c>
      <c r="C6" s="95">
        <f t="shared" si="0"/>
        <v>352</v>
      </c>
      <c r="D6" s="100">
        <f t="shared" si="1"/>
        <v>176</v>
      </c>
      <c r="E6" s="100">
        <f t="shared" si="2"/>
        <v>176</v>
      </c>
      <c r="F6" s="100">
        <f t="shared" si="3"/>
        <v>264</v>
      </c>
      <c r="G6" s="100">
        <f t="shared" si="4"/>
        <v>352</v>
      </c>
      <c r="H6" s="100">
        <f t="shared" si="5"/>
        <v>352</v>
      </c>
      <c r="I6" s="100">
        <f t="shared" si="6"/>
        <v>352</v>
      </c>
      <c r="J6" s="100">
        <f t="shared" si="7"/>
        <v>352</v>
      </c>
      <c r="K6" s="100">
        <f t="shared" si="8"/>
        <v>352</v>
      </c>
      <c r="L6" s="100">
        <f t="shared" si="9"/>
        <v>352</v>
      </c>
      <c r="M6" s="100">
        <f t="shared" si="10"/>
        <v>352</v>
      </c>
      <c r="N6" s="100">
        <f t="shared" si="11"/>
        <v>352</v>
      </c>
      <c r="O6" s="100">
        <f t="shared" si="12"/>
        <v>352</v>
      </c>
      <c r="P6" s="100">
        <f t="shared" si="13"/>
        <v>352</v>
      </c>
      <c r="Q6" s="100">
        <f t="shared" si="14"/>
        <v>352</v>
      </c>
      <c r="R6" s="98">
        <f t="shared" si="15"/>
        <v>0</v>
      </c>
      <c r="S6" s="98">
        <f t="shared" si="16"/>
        <v>0</v>
      </c>
      <c r="T6" s="98">
        <f t="shared" si="17"/>
        <v>88</v>
      </c>
      <c r="U6" s="98">
        <f t="shared" si="18"/>
        <v>352</v>
      </c>
      <c r="V6" s="98">
        <f t="shared" si="19"/>
        <v>352</v>
      </c>
      <c r="W6" s="98">
        <f t="shared" si="20"/>
        <v>352</v>
      </c>
      <c r="X6" s="98">
        <f t="shared" si="21"/>
        <v>352</v>
      </c>
      <c r="Y6" s="98">
        <f t="shared" si="22"/>
        <v>352</v>
      </c>
      <c r="Z6" s="98">
        <f t="shared" si="23"/>
        <v>352</v>
      </c>
      <c r="AA6" s="98">
        <f t="shared" si="24"/>
        <v>352</v>
      </c>
      <c r="AB6" s="98">
        <f t="shared" si="25"/>
        <v>352</v>
      </c>
      <c r="AC6" s="98">
        <f t="shared" si="26"/>
        <v>352</v>
      </c>
      <c r="AD6" s="98">
        <f t="shared" si="27"/>
        <v>352</v>
      </c>
      <c r="AE6" s="98">
        <f t="shared" si="28"/>
        <v>352</v>
      </c>
      <c r="AF6" s="99">
        <v>0.5</v>
      </c>
      <c r="AG6" s="99">
        <v>0.5</v>
      </c>
      <c r="AH6" s="99">
        <v>0.75</v>
      </c>
      <c r="AI6" s="99">
        <v>1</v>
      </c>
      <c r="AJ6" s="99">
        <v>1</v>
      </c>
      <c r="AK6" s="99">
        <v>1</v>
      </c>
      <c r="AL6" s="99">
        <v>1</v>
      </c>
      <c r="AM6" s="99">
        <v>1</v>
      </c>
      <c r="AN6" s="99">
        <v>1</v>
      </c>
      <c r="AO6" s="99">
        <v>1</v>
      </c>
      <c r="AP6" s="99">
        <v>1</v>
      </c>
      <c r="AQ6" s="99">
        <v>1</v>
      </c>
      <c r="AR6" s="99">
        <v>1</v>
      </c>
      <c r="AS6" s="99">
        <v>1</v>
      </c>
      <c r="AT6" s="97">
        <v>0</v>
      </c>
      <c r="AU6" s="97">
        <v>0</v>
      </c>
      <c r="AV6" s="97">
        <v>0.25</v>
      </c>
      <c r="AW6" s="97">
        <v>1</v>
      </c>
      <c r="AX6" s="97">
        <v>1</v>
      </c>
      <c r="AY6" s="97">
        <v>1</v>
      </c>
      <c r="AZ6" s="97">
        <v>1</v>
      </c>
      <c r="BA6" s="97">
        <v>1</v>
      </c>
      <c r="BB6" s="97">
        <v>1</v>
      </c>
      <c r="BC6" s="97">
        <v>1</v>
      </c>
      <c r="BD6" s="97">
        <v>1</v>
      </c>
      <c r="BE6" s="97">
        <v>1</v>
      </c>
      <c r="BF6" s="97">
        <v>1</v>
      </c>
      <c r="BG6" s="97">
        <v>1</v>
      </c>
    </row>
    <row r="7" spans="1:59" x14ac:dyDescent="0.35">
      <c r="A7" s="96">
        <v>1050</v>
      </c>
      <c r="B7" s="95">
        <v>115</v>
      </c>
      <c r="C7" s="95">
        <f t="shared" ref="C7:C17" si="29">4*B7</f>
        <v>460</v>
      </c>
      <c r="D7" s="100">
        <f t="shared" si="1"/>
        <v>230</v>
      </c>
      <c r="E7" s="100">
        <f t="shared" si="2"/>
        <v>230</v>
      </c>
      <c r="F7" s="100">
        <f t="shared" si="3"/>
        <v>345</v>
      </c>
      <c r="G7" s="100">
        <f t="shared" si="4"/>
        <v>460</v>
      </c>
      <c r="H7" s="100">
        <f t="shared" si="5"/>
        <v>460</v>
      </c>
      <c r="I7" s="100">
        <f t="shared" si="6"/>
        <v>460</v>
      </c>
      <c r="J7" s="100">
        <f t="shared" si="7"/>
        <v>460</v>
      </c>
      <c r="K7" s="100">
        <f t="shared" si="8"/>
        <v>460</v>
      </c>
      <c r="L7" s="100">
        <f t="shared" si="9"/>
        <v>460</v>
      </c>
      <c r="M7" s="100">
        <f t="shared" si="10"/>
        <v>460</v>
      </c>
      <c r="N7" s="100">
        <f t="shared" si="11"/>
        <v>460</v>
      </c>
      <c r="O7" s="100">
        <f t="shared" si="12"/>
        <v>460</v>
      </c>
      <c r="P7" s="100">
        <f t="shared" si="13"/>
        <v>460</v>
      </c>
      <c r="Q7" s="100">
        <f t="shared" si="14"/>
        <v>460</v>
      </c>
      <c r="R7" s="98">
        <f t="shared" si="15"/>
        <v>0</v>
      </c>
      <c r="S7" s="98">
        <f t="shared" si="16"/>
        <v>0</v>
      </c>
      <c r="T7" s="98">
        <f t="shared" si="17"/>
        <v>115</v>
      </c>
      <c r="U7" s="98">
        <f t="shared" si="18"/>
        <v>460</v>
      </c>
      <c r="V7" s="98">
        <f t="shared" si="19"/>
        <v>460</v>
      </c>
      <c r="W7" s="98">
        <f t="shared" si="20"/>
        <v>460</v>
      </c>
      <c r="X7" s="98">
        <f t="shared" si="21"/>
        <v>460</v>
      </c>
      <c r="Y7" s="98">
        <f t="shared" si="22"/>
        <v>460</v>
      </c>
      <c r="Z7" s="98">
        <f t="shared" si="23"/>
        <v>460</v>
      </c>
      <c r="AA7" s="98">
        <f t="shared" si="24"/>
        <v>460</v>
      </c>
      <c r="AB7" s="98">
        <f t="shared" si="25"/>
        <v>460</v>
      </c>
      <c r="AC7" s="98">
        <f t="shared" si="26"/>
        <v>460</v>
      </c>
      <c r="AD7" s="98">
        <f t="shared" si="27"/>
        <v>460</v>
      </c>
      <c r="AE7" s="98">
        <f t="shared" si="28"/>
        <v>460</v>
      </c>
      <c r="AF7" s="99">
        <v>0.5</v>
      </c>
      <c r="AG7" s="99">
        <v>0.5</v>
      </c>
      <c r="AH7" s="99">
        <v>0.75</v>
      </c>
      <c r="AI7" s="99">
        <v>1</v>
      </c>
      <c r="AJ7" s="99">
        <v>1</v>
      </c>
      <c r="AK7" s="99">
        <v>1</v>
      </c>
      <c r="AL7" s="99">
        <v>1</v>
      </c>
      <c r="AM7" s="99">
        <v>1</v>
      </c>
      <c r="AN7" s="99">
        <v>1</v>
      </c>
      <c r="AO7" s="99">
        <v>1</v>
      </c>
      <c r="AP7" s="99">
        <v>1</v>
      </c>
      <c r="AQ7" s="99">
        <v>1</v>
      </c>
      <c r="AR7" s="99">
        <v>1</v>
      </c>
      <c r="AS7" s="99">
        <v>1</v>
      </c>
      <c r="AT7" s="97">
        <v>0</v>
      </c>
      <c r="AU7" s="97">
        <v>0</v>
      </c>
      <c r="AV7" s="97">
        <v>0.25</v>
      </c>
      <c r="AW7" s="97">
        <v>1</v>
      </c>
      <c r="AX7" s="97">
        <v>1</v>
      </c>
      <c r="AY7" s="97">
        <v>1</v>
      </c>
      <c r="AZ7" s="97">
        <v>1</v>
      </c>
      <c r="BA7" s="97">
        <v>1</v>
      </c>
      <c r="BB7" s="97">
        <v>1</v>
      </c>
      <c r="BC7" s="97">
        <v>1</v>
      </c>
      <c r="BD7" s="97">
        <v>1</v>
      </c>
      <c r="BE7" s="97">
        <v>1</v>
      </c>
      <c r="BF7" s="97">
        <v>1</v>
      </c>
      <c r="BG7" s="97">
        <v>1</v>
      </c>
    </row>
    <row r="8" spans="1:59" x14ac:dyDescent="0.35">
      <c r="A8" s="96">
        <v>1150</v>
      </c>
      <c r="B8" s="95">
        <v>141</v>
      </c>
      <c r="C8" s="95">
        <f t="shared" si="29"/>
        <v>564</v>
      </c>
      <c r="D8" s="100">
        <f t="shared" si="1"/>
        <v>282</v>
      </c>
      <c r="E8" s="100">
        <f t="shared" si="2"/>
        <v>282</v>
      </c>
      <c r="F8" s="100">
        <f t="shared" si="3"/>
        <v>423</v>
      </c>
      <c r="G8" s="100">
        <f t="shared" si="4"/>
        <v>564</v>
      </c>
      <c r="H8" s="100">
        <f t="shared" si="5"/>
        <v>564</v>
      </c>
      <c r="I8" s="100">
        <f t="shared" si="6"/>
        <v>564</v>
      </c>
      <c r="J8" s="100">
        <f t="shared" si="7"/>
        <v>564</v>
      </c>
      <c r="K8" s="100">
        <f t="shared" si="8"/>
        <v>564</v>
      </c>
      <c r="L8" s="100">
        <f t="shared" si="9"/>
        <v>564</v>
      </c>
      <c r="M8" s="100">
        <f t="shared" si="10"/>
        <v>564</v>
      </c>
      <c r="N8" s="100">
        <f t="shared" si="11"/>
        <v>564</v>
      </c>
      <c r="O8" s="100">
        <f t="shared" si="12"/>
        <v>564</v>
      </c>
      <c r="P8" s="100">
        <f t="shared" si="13"/>
        <v>564</v>
      </c>
      <c r="Q8" s="100">
        <f t="shared" si="14"/>
        <v>564</v>
      </c>
      <c r="R8" s="98">
        <f t="shared" si="15"/>
        <v>0</v>
      </c>
      <c r="S8" s="98">
        <f t="shared" si="16"/>
        <v>0</v>
      </c>
      <c r="T8" s="98">
        <f t="shared" si="17"/>
        <v>141</v>
      </c>
      <c r="U8" s="98">
        <f t="shared" si="18"/>
        <v>564</v>
      </c>
      <c r="V8" s="98">
        <f t="shared" si="19"/>
        <v>564</v>
      </c>
      <c r="W8" s="98">
        <f t="shared" si="20"/>
        <v>564</v>
      </c>
      <c r="X8" s="98">
        <f t="shared" si="21"/>
        <v>564</v>
      </c>
      <c r="Y8" s="98">
        <f t="shared" si="22"/>
        <v>564</v>
      </c>
      <c r="Z8" s="98">
        <f t="shared" si="23"/>
        <v>564</v>
      </c>
      <c r="AA8" s="98">
        <f t="shared" si="24"/>
        <v>564</v>
      </c>
      <c r="AB8" s="98">
        <f t="shared" si="25"/>
        <v>564</v>
      </c>
      <c r="AC8" s="98">
        <f t="shared" si="26"/>
        <v>564</v>
      </c>
      <c r="AD8" s="98">
        <f t="shared" si="27"/>
        <v>564</v>
      </c>
      <c r="AE8" s="98">
        <f t="shared" si="28"/>
        <v>564</v>
      </c>
      <c r="AF8" s="99">
        <v>0.5</v>
      </c>
      <c r="AG8" s="99">
        <v>0.5</v>
      </c>
      <c r="AH8" s="99">
        <v>0.75</v>
      </c>
      <c r="AI8" s="99">
        <v>1</v>
      </c>
      <c r="AJ8" s="99">
        <v>1</v>
      </c>
      <c r="AK8" s="99">
        <v>1</v>
      </c>
      <c r="AL8" s="99">
        <v>1</v>
      </c>
      <c r="AM8" s="99">
        <v>1</v>
      </c>
      <c r="AN8" s="99">
        <v>1</v>
      </c>
      <c r="AO8" s="99">
        <v>1</v>
      </c>
      <c r="AP8" s="99">
        <v>1</v>
      </c>
      <c r="AQ8" s="99">
        <v>1</v>
      </c>
      <c r="AR8" s="99">
        <v>1</v>
      </c>
      <c r="AS8" s="99">
        <v>1</v>
      </c>
      <c r="AT8" s="97">
        <v>0</v>
      </c>
      <c r="AU8" s="97">
        <v>0</v>
      </c>
      <c r="AV8" s="97">
        <v>0.25</v>
      </c>
      <c r="AW8" s="97">
        <v>1</v>
      </c>
      <c r="AX8" s="97">
        <v>1</v>
      </c>
      <c r="AY8" s="97">
        <v>1</v>
      </c>
      <c r="AZ8" s="97">
        <v>1</v>
      </c>
      <c r="BA8" s="97">
        <v>1</v>
      </c>
      <c r="BB8" s="97">
        <v>1</v>
      </c>
      <c r="BC8" s="97">
        <v>1</v>
      </c>
      <c r="BD8" s="97">
        <v>1</v>
      </c>
      <c r="BE8" s="97">
        <v>1</v>
      </c>
      <c r="BF8" s="97">
        <v>1</v>
      </c>
      <c r="BG8" s="97">
        <v>1</v>
      </c>
    </row>
    <row r="9" spans="1:59" x14ac:dyDescent="0.35">
      <c r="A9" s="96">
        <v>1250</v>
      </c>
      <c r="B9" s="95">
        <v>167</v>
      </c>
      <c r="C9" s="95">
        <f t="shared" si="29"/>
        <v>668</v>
      </c>
      <c r="D9" s="100">
        <f t="shared" si="1"/>
        <v>334</v>
      </c>
      <c r="E9" s="100">
        <f t="shared" si="2"/>
        <v>334</v>
      </c>
      <c r="F9" s="100">
        <f t="shared" si="3"/>
        <v>501</v>
      </c>
      <c r="G9" s="100">
        <f t="shared" si="4"/>
        <v>668</v>
      </c>
      <c r="H9" s="100">
        <f t="shared" si="5"/>
        <v>668</v>
      </c>
      <c r="I9" s="100">
        <f t="shared" si="6"/>
        <v>668</v>
      </c>
      <c r="J9" s="100">
        <f t="shared" si="7"/>
        <v>668</v>
      </c>
      <c r="K9" s="100">
        <f t="shared" si="8"/>
        <v>668</v>
      </c>
      <c r="L9" s="100">
        <f t="shared" si="9"/>
        <v>668</v>
      </c>
      <c r="M9" s="100">
        <f t="shared" si="10"/>
        <v>668</v>
      </c>
      <c r="N9" s="100">
        <f t="shared" si="11"/>
        <v>668</v>
      </c>
      <c r="O9" s="100">
        <f t="shared" si="12"/>
        <v>668</v>
      </c>
      <c r="P9" s="100">
        <f t="shared" si="13"/>
        <v>668</v>
      </c>
      <c r="Q9" s="100">
        <f t="shared" si="14"/>
        <v>668</v>
      </c>
      <c r="R9" s="98">
        <f t="shared" si="15"/>
        <v>0</v>
      </c>
      <c r="S9" s="98">
        <f t="shared" si="16"/>
        <v>0</v>
      </c>
      <c r="T9" s="98">
        <f t="shared" si="17"/>
        <v>167</v>
      </c>
      <c r="U9" s="98">
        <f t="shared" si="18"/>
        <v>668</v>
      </c>
      <c r="V9" s="98">
        <f t="shared" si="19"/>
        <v>668</v>
      </c>
      <c r="W9" s="98">
        <f t="shared" si="20"/>
        <v>668</v>
      </c>
      <c r="X9" s="98">
        <f t="shared" si="21"/>
        <v>668</v>
      </c>
      <c r="Y9" s="98">
        <f t="shared" si="22"/>
        <v>668</v>
      </c>
      <c r="Z9" s="98">
        <f t="shared" si="23"/>
        <v>668</v>
      </c>
      <c r="AA9" s="98">
        <f t="shared" si="24"/>
        <v>668</v>
      </c>
      <c r="AB9" s="98">
        <f t="shared" si="25"/>
        <v>668</v>
      </c>
      <c r="AC9" s="98">
        <f t="shared" si="26"/>
        <v>668</v>
      </c>
      <c r="AD9" s="98">
        <f t="shared" si="27"/>
        <v>668</v>
      </c>
      <c r="AE9" s="98">
        <f t="shared" si="28"/>
        <v>668</v>
      </c>
      <c r="AF9" s="99">
        <v>0.5</v>
      </c>
      <c r="AG9" s="99">
        <v>0.5</v>
      </c>
      <c r="AH9" s="99">
        <v>0.75</v>
      </c>
      <c r="AI9" s="99">
        <v>1</v>
      </c>
      <c r="AJ9" s="99">
        <v>1</v>
      </c>
      <c r="AK9" s="99">
        <v>1</v>
      </c>
      <c r="AL9" s="99">
        <v>1</v>
      </c>
      <c r="AM9" s="99">
        <v>1</v>
      </c>
      <c r="AN9" s="99">
        <v>1</v>
      </c>
      <c r="AO9" s="99">
        <v>1</v>
      </c>
      <c r="AP9" s="99">
        <v>1</v>
      </c>
      <c r="AQ9" s="99">
        <v>1</v>
      </c>
      <c r="AR9" s="99">
        <v>1</v>
      </c>
      <c r="AS9" s="99">
        <v>1</v>
      </c>
      <c r="AT9" s="97">
        <v>0</v>
      </c>
      <c r="AU9" s="97">
        <v>0</v>
      </c>
      <c r="AV9" s="97">
        <v>0.25</v>
      </c>
      <c r="AW9" s="97">
        <v>1</v>
      </c>
      <c r="AX9" s="97">
        <v>1</v>
      </c>
      <c r="AY9" s="97">
        <v>1</v>
      </c>
      <c r="AZ9" s="97">
        <v>1</v>
      </c>
      <c r="BA9" s="97">
        <v>1</v>
      </c>
      <c r="BB9" s="97">
        <v>1</v>
      </c>
      <c r="BC9" s="97">
        <v>1</v>
      </c>
      <c r="BD9" s="97">
        <v>1</v>
      </c>
      <c r="BE9" s="97">
        <v>1</v>
      </c>
      <c r="BF9" s="97">
        <v>1</v>
      </c>
      <c r="BG9" s="97">
        <v>1</v>
      </c>
    </row>
    <row r="10" spans="1:59" x14ac:dyDescent="0.35">
      <c r="A10" s="96">
        <v>1350</v>
      </c>
      <c r="B10" s="95">
        <v>193</v>
      </c>
      <c r="C10" s="95">
        <f t="shared" si="29"/>
        <v>772</v>
      </c>
      <c r="D10" s="100">
        <f t="shared" si="1"/>
        <v>386</v>
      </c>
      <c r="E10" s="100">
        <f t="shared" si="2"/>
        <v>386</v>
      </c>
      <c r="F10" s="100">
        <f t="shared" si="3"/>
        <v>579</v>
      </c>
      <c r="G10" s="100">
        <f t="shared" si="4"/>
        <v>772</v>
      </c>
      <c r="H10" s="100">
        <f t="shared" si="5"/>
        <v>772</v>
      </c>
      <c r="I10" s="100">
        <f t="shared" si="6"/>
        <v>772</v>
      </c>
      <c r="J10" s="100">
        <f t="shared" si="7"/>
        <v>772</v>
      </c>
      <c r="K10" s="100">
        <f t="shared" si="8"/>
        <v>772</v>
      </c>
      <c r="L10" s="100">
        <f t="shared" si="9"/>
        <v>772</v>
      </c>
      <c r="M10" s="100">
        <f t="shared" si="10"/>
        <v>772</v>
      </c>
      <c r="N10" s="100">
        <f t="shared" si="11"/>
        <v>772</v>
      </c>
      <c r="O10" s="100">
        <f t="shared" si="12"/>
        <v>772</v>
      </c>
      <c r="P10" s="100">
        <f t="shared" si="13"/>
        <v>772</v>
      </c>
      <c r="Q10" s="100">
        <f t="shared" si="14"/>
        <v>772</v>
      </c>
      <c r="R10" s="98">
        <f t="shared" si="15"/>
        <v>0</v>
      </c>
      <c r="S10" s="98">
        <f t="shared" si="16"/>
        <v>0</v>
      </c>
      <c r="T10" s="98">
        <f t="shared" si="17"/>
        <v>193</v>
      </c>
      <c r="U10" s="98">
        <f t="shared" si="18"/>
        <v>772</v>
      </c>
      <c r="V10" s="98">
        <f t="shared" si="19"/>
        <v>772</v>
      </c>
      <c r="W10" s="98">
        <f t="shared" si="20"/>
        <v>772</v>
      </c>
      <c r="X10" s="98">
        <f t="shared" si="21"/>
        <v>772</v>
      </c>
      <c r="Y10" s="98">
        <f t="shared" si="22"/>
        <v>772</v>
      </c>
      <c r="Z10" s="98">
        <f t="shared" si="23"/>
        <v>772</v>
      </c>
      <c r="AA10" s="98">
        <f t="shared" si="24"/>
        <v>772</v>
      </c>
      <c r="AB10" s="98">
        <f t="shared" si="25"/>
        <v>772</v>
      </c>
      <c r="AC10" s="98">
        <f t="shared" si="26"/>
        <v>772</v>
      </c>
      <c r="AD10" s="98">
        <f t="shared" si="27"/>
        <v>772</v>
      </c>
      <c r="AE10" s="98">
        <f t="shared" si="28"/>
        <v>772</v>
      </c>
      <c r="AF10" s="99">
        <v>0.5</v>
      </c>
      <c r="AG10" s="99">
        <v>0.5</v>
      </c>
      <c r="AH10" s="99">
        <v>0.75</v>
      </c>
      <c r="AI10" s="99">
        <v>1</v>
      </c>
      <c r="AJ10" s="99">
        <v>1</v>
      </c>
      <c r="AK10" s="99">
        <v>1</v>
      </c>
      <c r="AL10" s="99">
        <v>1</v>
      </c>
      <c r="AM10" s="99">
        <v>1</v>
      </c>
      <c r="AN10" s="99">
        <v>1</v>
      </c>
      <c r="AO10" s="99">
        <v>1</v>
      </c>
      <c r="AP10" s="99">
        <v>1</v>
      </c>
      <c r="AQ10" s="99">
        <v>1</v>
      </c>
      <c r="AR10" s="99">
        <v>1</v>
      </c>
      <c r="AS10" s="99">
        <v>1</v>
      </c>
      <c r="AT10" s="97">
        <v>0</v>
      </c>
      <c r="AU10" s="97">
        <v>0</v>
      </c>
      <c r="AV10" s="97">
        <v>0.25</v>
      </c>
      <c r="AW10" s="97">
        <v>1</v>
      </c>
      <c r="AX10" s="97">
        <v>1</v>
      </c>
      <c r="AY10" s="97">
        <v>1</v>
      </c>
      <c r="AZ10" s="97">
        <v>1</v>
      </c>
      <c r="BA10" s="97">
        <v>1</v>
      </c>
      <c r="BB10" s="97">
        <v>1</v>
      </c>
      <c r="BC10" s="97">
        <v>1</v>
      </c>
      <c r="BD10" s="97">
        <v>1</v>
      </c>
      <c r="BE10" s="97">
        <v>1</v>
      </c>
      <c r="BF10" s="97">
        <v>1</v>
      </c>
      <c r="BG10" s="97">
        <v>1</v>
      </c>
    </row>
    <row r="11" spans="1:59" x14ac:dyDescent="0.35">
      <c r="A11" s="96">
        <v>1450</v>
      </c>
      <c r="B11" s="95">
        <v>220</v>
      </c>
      <c r="C11" s="95">
        <f t="shared" si="29"/>
        <v>880</v>
      </c>
      <c r="D11" s="100">
        <f t="shared" si="1"/>
        <v>440</v>
      </c>
      <c r="E11" s="100">
        <f t="shared" si="2"/>
        <v>440</v>
      </c>
      <c r="F11" s="100">
        <f t="shared" si="3"/>
        <v>660</v>
      </c>
      <c r="G11" s="100">
        <f t="shared" si="4"/>
        <v>880</v>
      </c>
      <c r="H11" s="100">
        <f t="shared" si="5"/>
        <v>880</v>
      </c>
      <c r="I11" s="100">
        <f t="shared" si="6"/>
        <v>880</v>
      </c>
      <c r="J11" s="100">
        <f t="shared" si="7"/>
        <v>880</v>
      </c>
      <c r="K11" s="100">
        <f t="shared" si="8"/>
        <v>880</v>
      </c>
      <c r="L11" s="100">
        <f t="shared" si="9"/>
        <v>880</v>
      </c>
      <c r="M11" s="100">
        <f t="shared" si="10"/>
        <v>880</v>
      </c>
      <c r="N11" s="100">
        <f t="shared" si="11"/>
        <v>880</v>
      </c>
      <c r="O11" s="100">
        <f t="shared" si="12"/>
        <v>880</v>
      </c>
      <c r="P11" s="100">
        <f t="shared" si="13"/>
        <v>880</v>
      </c>
      <c r="Q11" s="100">
        <f t="shared" si="14"/>
        <v>880</v>
      </c>
      <c r="R11" s="98">
        <f t="shared" si="15"/>
        <v>0</v>
      </c>
      <c r="S11" s="98">
        <f t="shared" si="16"/>
        <v>0</v>
      </c>
      <c r="T11" s="98">
        <f t="shared" si="17"/>
        <v>220</v>
      </c>
      <c r="U11" s="98">
        <f t="shared" si="18"/>
        <v>880</v>
      </c>
      <c r="V11" s="98">
        <f t="shared" si="19"/>
        <v>880</v>
      </c>
      <c r="W11" s="98">
        <f t="shared" si="20"/>
        <v>880</v>
      </c>
      <c r="X11" s="98">
        <f t="shared" si="21"/>
        <v>880</v>
      </c>
      <c r="Y11" s="98">
        <f t="shared" si="22"/>
        <v>880</v>
      </c>
      <c r="Z11" s="98">
        <f t="shared" si="23"/>
        <v>880</v>
      </c>
      <c r="AA11" s="98">
        <f t="shared" si="24"/>
        <v>880</v>
      </c>
      <c r="AB11" s="98">
        <f t="shared" si="25"/>
        <v>880</v>
      </c>
      <c r="AC11" s="98">
        <f t="shared" si="26"/>
        <v>880</v>
      </c>
      <c r="AD11" s="98">
        <f t="shared" si="27"/>
        <v>880</v>
      </c>
      <c r="AE11" s="98">
        <f t="shared" si="28"/>
        <v>880</v>
      </c>
      <c r="AF11" s="99">
        <v>0.5</v>
      </c>
      <c r="AG11" s="99">
        <v>0.5</v>
      </c>
      <c r="AH11" s="99">
        <v>0.75</v>
      </c>
      <c r="AI11" s="99">
        <v>1</v>
      </c>
      <c r="AJ11" s="99">
        <v>1</v>
      </c>
      <c r="AK11" s="99">
        <v>1</v>
      </c>
      <c r="AL11" s="99">
        <v>1</v>
      </c>
      <c r="AM11" s="99">
        <v>1</v>
      </c>
      <c r="AN11" s="99">
        <v>1</v>
      </c>
      <c r="AO11" s="99">
        <v>1</v>
      </c>
      <c r="AP11" s="99">
        <v>1</v>
      </c>
      <c r="AQ11" s="99">
        <v>1</v>
      </c>
      <c r="AR11" s="99">
        <v>1</v>
      </c>
      <c r="AS11" s="99">
        <v>1</v>
      </c>
      <c r="AT11" s="97">
        <v>0</v>
      </c>
      <c r="AU11" s="97">
        <v>0</v>
      </c>
      <c r="AV11" s="97">
        <v>0.25</v>
      </c>
      <c r="AW11" s="97">
        <v>1</v>
      </c>
      <c r="AX11" s="97">
        <v>1</v>
      </c>
      <c r="AY11" s="97">
        <v>1</v>
      </c>
      <c r="AZ11" s="97">
        <v>1</v>
      </c>
      <c r="BA11" s="97">
        <v>1</v>
      </c>
      <c r="BB11" s="97">
        <v>1</v>
      </c>
      <c r="BC11" s="97">
        <v>1</v>
      </c>
      <c r="BD11" s="97">
        <v>1</v>
      </c>
      <c r="BE11" s="97">
        <v>1</v>
      </c>
      <c r="BF11" s="97">
        <v>1</v>
      </c>
      <c r="BG11" s="97">
        <v>1</v>
      </c>
    </row>
    <row r="12" spans="1:59" x14ac:dyDescent="0.35">
      <c r="A12" s="96">
        <v>1550</v>
      </c>
      <c r="B12" s="95">
        <v>246</v>
      </c>
      <c r="C12" s="95">
        <f t="shared" si="29"/>
        <v>984</v>
      </c>
      <c r="D12" s="100">
        <f t="shared" si="1"/>
        <v>492</v>
      </c>
      <c r="E12" s="100">
        <f t="shared" si="2"/>
        <v>492</v>
      </c>
      <c r="F12" s="100">
        <f t="shared" si="3"/>
        <v>738</v>
      </c>
      <c r="G12" s="100">
        <f t="shared" si="4"/>
        <v>984</v>
      </c>
      <c r="H12" s="100">
        <f t="shared" si="5"/>
        <v>984</v>
      </c>
      <c r="I12" s="100">
        <f t="shared" si="6"/>
        <v>984</v>
      </c>
      <c r="J12" s="100">
        <f t="shared" si="7"/>
        <v>984</v>
      </c>
      <c r="K12" s="100">
        <f t="shared" si="8"/>
        <v>984</v>
      </c>
      <c r="L12" s="100">
        <f t="shared" si="9"/>
        <v>984</v>
      </c>
      <c r="M12" s="100">
        <f t="shared" si="10"/>
        <v>984</v>
      </c>
      <c r="N12" s="100">
        <f t="shared" si="11"/>
        <v>984</v>
      </c>
      <c r="O12" s="100">
        <f t="shared" si="12"/>
        <v>984</v>
      </c>
      <c r="P12" s="100">
        <f t="shared" si="13"/>
        <v>984</v>
      </c>
      <c r="Q12" s="100">
        <f t="shared" si="14"/>
        <v>984</v>
      </c>
      <c r="R12" s="98">
        <f t="shared" si="15"/>
        <v>0</v>
      </c>
      <c r="S12" s="98">
        <f t="shared" si="16"/>
        <v>0</v>
      </c>
      <c r="T12" s="98">
        <f t="shared" si="17"/>
        <v>246</v>
      </c>
      <c r="U12" s="98">
        <f t="shared" si="18"/>
        <v>984</v>
      </c>
      <c r="V12" s="98">
        <f t="shared" si="19"/>
        <v>984</v>
      </c>
      <c r="W12" s="98">
        <f t="shared" si="20"/>
        <v>984</v>
      </c>
      <c r="X12" s="98">
        <f t="shared" si="21"/>
        <v>984</v>
      </c>
      <c r="Y12" s="98">
        <f t="shared" si="22"/>
        <v>984</v>
      </c>
      <c r="Z12" s="98">
        <f t="shared" si="23"/>
        <v>984</v>
      </c>
      <c r="AA12" s="98">
        <f t="shared" si="24"/>
        <v>984</v>
      </c>
      <c r="AB12" s="98">
        <f t="shared" si="25"/>
        <v>984</v>
      </c>
      <c r="AC12" s="98">
        <f t="shared" si="26"/>
        <v>984</v>
      </c>
      <c r="AD12" s="98">
        <f t="shared" si="27"/>
        <v>984</v>
      </c>
      <c r="AE12" s="98">
        <f t="shared" si="28"/>
        <v>984</v>
      </c>
      <c r="AF12" s="99">
        <v>0.5</v>
      </c>
      <c r="AG12" s="99">
        <v>0.5</v>
      </c>
      <c r="AH12" s="99">
        <v>0.75</v>
      </c>
      <c r="AI12" s="99">
        <v>1</v>
      </c>
      <c r="AJ12" s="99">
        <v>1</v>
      </c>
      <c r="AK12" s="99">
        <v>1</v>
      </c>
      <c r="AL12" s="99">
        <v>1</v>
      </c>
      <c r="AM12" s="99">
        <v>1</v>
      </c>
      <c r="AN12" s="99">
        <v>1</v>
      </c>
      <c r="AO12" s="99">
        <v>1</v>
      </c>
      <c r="AP12" s="99">
        <v>1</v>
      </c>
      <c r="AQ12" s="99">
        <v>1</v>
      </c>
      <c r="AR12" s="99">
        <v>1</v>
      </c>
      <c r="AS12" s="99">
        <v>1</v>
      </c>
      <c r="AT12" s="97">
        <v>0</v>
      </c>
      <c r="AU12" s="97">
        <v>0</v>
      </c>
      <c r="AV12" s="97">
        <v>0.25</v>
      </c>
      <c r="AW12" s="97">
        <v>1</v>
      </c>
      <c r="AX12" s="97">
        <v>1</v>
      </c>
      <c r="AY12" s="97">
        <v>1</v>
      </c>
      <c r="AZ12" s="97">
        <v>1</v>
      </c>
      <c r="BA12" s="97">
        <v>1</v>
      </c>
      <c r="BB12" s="97">
        <v>1</v>
      </c>
      <c r="BC12" s="97">
        <v>1</v>
      </c>
      <c r="BD12" s="97">
        <v>1</v>
      </c>
      <c r="BE12" s="97">
        <v>1</v>
      </c>
      <c r="BF12" s="97">
        <v>1</v>
      </c>
      <c r="BG12" s="97">
        <v>1</v>
      </c>
    </row>
    <row r="13" spans="1:59" x14ac:dyDescent="0.35">
      <c r="A13" s="96">
        <v>1650</v>
      </c>
      <c r="B13" s="95">
        <v>272</v>
      </c>
      <c r="C13" s="95">
        <f t="shared" si="29"/>
        <v>1088</v>
      </c>
      <c r="D13" s="100">
        <f t="shared" si="1"/>
        <v>544</v>
      </c>
      <c r="E13" s="100">
        <f t="shared" si="2"/>
        <v>544</v>
      </c>
      <c r="F13" s="100">
        <f t="shared" si="3"/>
        <v>816</v>
      </c>
      <c r="G13" s="100">
        <f t="shared" si="4"/>
        <v>1088</v>
      </c>
      <c r="H13" s="100">
        <f t="shared" si="5"/>
        <v>1088</v>
      </c>
      <c r="I13" s="100">
        <f t="shared" si="6"/>
        <v>1088</v>
      </c>
      <c r="J13" s="100">
        <f t="shared" si="7"/>
        <v>1088</v>
      </c>
      <c r="K13" s="100">
        <f t="shared" si="8"/>
        <v>1088</v>
      </c>
      <c r="L13" s="100">
        <f t="shared" si="9"/>
        <v>1088</v>
      </c>
      <c r="M13" s="100">
        <f t="shared" si="10"/>
        <v>1088</v>
      </c>
      <c r="N13" s="100">
        <f t="shared" si="11"/>
        <v>1088</v>
      </c>
      <c r="O13" s="100">
        <f t="shared" si="12"/>
        <v>1088</v>
      </c>
      <c r="P13" s="100">
        <f t="shared" si="13"/>
        <v>1088</v>
      </c>
      <c r="Q13" s="100">
        <f t="shared" si="14"/>
        <v>1088</v>
      </c>
      <c r="R13" s="98">
        <f t="shared" si="15"/>
        <v>0</v>
      </c>
      <c r="S13" s="98">
        <f t="shared" si="16"/>
        <v>0</v>
      </c>
      <c r="T13" s="98">
        <f t="shared" si="17"/>
        <v>272</v>
      </c>
      <c r="U13" s="98">
        <f t="shared" si="18"/>
        <v>1088</v>
      </c>
      <c r="V13" s="98">
        <f t="shared" si="19"/>
        <v>1088</v>
      </c>
      <c r="W13" s="98">
        <f t="shared" si="20"/>
        <v>1088</v>
      </c>
      <c r="X13" s="98">
        <f t="shared" si="21"/>
        <v>1088</v>
      </c>
      <c r="Y13" s="98">
        <f t="shared" si="22"/>
        <v>1088</v>
      </c>
      <c r="Z13" s="98">
        <f t="shared" si="23"/>
        <v>1088</v>
      </c>
      <c r="AA13" s="98">
        <f t="shared" si="24"/>
        <v>1088</v>
      </c>
      <c r="AB13" s="98">
        <f t="shared" si="25"/>
        <v>1088</v>
      </c>
      <c r="AC13" s="98">
        <f t="shared" si="26"/>
        <v>1088</v>
      </c>
      <c r="AD13" s="98">
        <f t="shared" si="27"/>
        <v>1088</v>
      </c>
      <c r="AE13" s="98">
        <f t="shared" si="28"/>
        <v>1088</v>
      </c>
      <c r="AF13" s="99">
        <v>0.5</v>
      </c>
      <c r="AG13" s="99">
        <v>0.5</v>
      </c>
      <c r="AH13" s="99">
        <v>0.75</v>
      </c>
      <c r="AI13" s="99">
        <v>1</v>
      </c>
      <c r="AJ13" s="99">
        <v>1</v>
      </c>
      <c r="AK13" s="99">
        <v>1</v>
      </c>
      <c r="AL13" s="99">
        <v>1</v>
      </c>
      <c r="AM13" s="99">
        <v>1</v>
      </c>
      <c r="AN13" s="99">
        <v>1</v>
      </c>
      <c r="AO13" s="99">
        <v>1</v>
      </c>
      <c r="AP13" s="99">
        <v>1</v>
      </c>
      <c r="AQ13" s="99">
        <v>1</v>
      </c>
      <c r="AR13" s="99">
        <v>1</v>
      </c>
      <c r="AS13" s="99">
        <v>1</v>
      </c>
      <c r="AT13" s="97">
        <v>0</v>
      </c>
      <c r="AU13" s="97">
        <v>0</v>
      </c>
      <c r="AV13" s="97">
        <v>0.25</v>
      </c>
      <c r="AW13" s="97">
        <v>1</v>
      </c>
      <c r="AX13" s="97">
        <v>1</v>
      </c>
      <c r="AY13" s="97">
        <v>1</v>
      </c>
      <c r="AZ13" s="97">
        <v>1</v>
      </c>
      <c r="BA13" s="97">
        <v>1</v>
      </c>
      <c r="BB13" s="97">
        <v>1</v>
      </c>
      <c r="BC13" s="97">
        <v>1</v>
      </c>
      <c r="BD13" s="97">
        <v>1</v>
      </c>
      <c r="BE13" s="97">
        <v>1</v>
      </c>
      <c r="BF13" s="97">
        <v>1</v>
      </c>
      <c r="BG13" s="97">
        <v>1</v>
      </c>
    </row>
    <row r="14" spans="1:59" x14ac:dyDescent="0.35">
      <c r="A14" s="96">
        <v>1750</v>
      </c>
      <c r="B14" s="95">
        <v>298</v>
      </c>
      <c r="C14" s="95">
        <f t="shared" si="29"/>
        <v>1192</v>
      </c>
      <c r="D14" s="100">
        <f t="shared" si="1"/>
        <v>596</v>
      </c>
      <c r="E14" s="100">
        <f t="shared" si="2"/>
        <v>596</v>
      </c>
      <c r="F14" s="100">
        <f t="shared" si="3"/>
        <v>894</v>
      </c>
      <c r="G14" s="100">
        <f t="shared" si="4"/>
        <v>1192</v>
      </c>
      <c r="H14" s="100">
        <f t="shared" si="5"/>
        <v>1192</v>
      </c>
      <c r="I14" s="100">
        <f t="shared" si="6"/>
        <v>1192</v>
      </c>
      <c r="J14" s="100">
        <f t="shared" si="7"/>
        <v>1192</v>
      </c>
      <c r="K14" s="100">
        <f t="shared" si="8"/>
        <v>1192</v>
      </c>
      <c r="L14" s="100">
        <f t="shared" si="9"/>
        <v>1192</v>
      </c>
      <c r="M14" s="100">
        <f t="shared" si="10"/>
        <v>1192</v>
      </c>
      <c r="N14" s="100">
        <f t="shared" si="11"/>
        <v>1192</v>
      </c>
      <c r="O14" s="100">
        <f t="shared" si="12"/>
        <v>1192</v>
      </c>
      <c r="P14" s="100">
        <f t="shared" si="13"/>
        <v>1192</v>
      </c>
      <c r="Q14" s="100">
        <f t="shared" si="14"/>
        <v>1192</v>
      </c>
      <c r="R14" s="98">
        <f t="shared" si="15"/>
        <v>0</v>
      </c>
      <c r="S14" s="98">
        <f t="shared" si="16"/>
        <v>0</v>
      </c>
      <c r="T14" s="98">
        <f t="shared" si="17"/>
        <v>298</v>
      </c>
      <c r="U14" s="98">
        <f t="shared" si="18"/>
        <v>1192</v>
      </c>
      <c r="V14" s="98">
        <f t="shared" si="19"/>
        <v>1192</v>
      </c>
      <c r="W14" s="98">
        <f t="shared" si="20"/>
        <v>1192</v>
      </c>
      <c r="X14" s="98">
        <f t="shared" si="21"/>
        <v>1192</v>
      </c>
      <c r="Y14" s="98">
        <f t="shared" si="22"/>
        <v>1192</v>
      </c>
      <c r="Z14" s="98">
        <f t="shared" si="23"/>
        <v>1192</v>
      </c>
      <c r="AA14" s="98">
        <f t="shared" si="24"/>
        <v>1192</v>
      </c>
      <c r="AB14" s="98">
        <f t="shared" si="25"/>
        <v>1192</v>
      </c>
      <c r="AC14" s="98">
        <f t="shared" si="26"/>
        <v>1192</v>
      </c>
      <c r="AD14" s="98">
        <f t="shared" si="27"/>
        <v>1192</v>
      </c>
      <c r="AE14" s="98">
        <f t="shared" si="28"/>
        <v>1192</v>
      </c>
      <c r="AF14" s="99">
        <v>0.5</v>
      </c>
      <c r="AG14" s="99">
        <v>0.5</v>
      </c>
      <c r="AH14" s="99">
        <v>0.75</v>
      </c>
      <c r="AI14" s="99">
        <v>1</v>
      </c>
      <c r="AJ14" s="99">
        <v>1</v>
      </c>
      <c r="AK14" s="99">
        <v>1</v>
      </c>
      <c r="AL14" s="99">
        <v>1</v>
      </c>
      <c r="AM14" s="99">
        <v>1</v>
      </c>
      <c r="AN14" s="99">
        <v>1</v>
      </c>
      <c r="AO14" s="99">
        <v>1</v>
      </c>
      <c r="AP14" s="99">
        <v>1</v>
      </c>
      <c r="AQ14" s="99">
        <v>1</v>
      </c>
      <c r="AR14" s="99">
        <v>1</v>
      </c>
      <c r="AS14" s="99">
        <v>1</v>
      </c>
      <c r="AT14" s="97">
        <v>0</v>
      </c>
      <c r="AU14" s="97">
        <v>0</v>
      </c>
      <c r="AV14" s="97">
        <v>0.25</v>
      </c>
      <c r="AW14" s="97">
        <v>1</v>
      </c>
      <c r="AX14" s="97">
        <v>1</v>
      </c>
      <c r="AY14" s="97">
        <v>1</v>
      </c>
      <c r="AZ14" s="97">
        <v>1</v>
      </c>
      <c r="BA14" s="97">
        <v>1</v>
      </c>
      <c r="BB14" s="97">
        <v>1</v>
      </c>
      <c r="BC14" s="97">
        <v>1</v>
      </c>
      <c r="BD14" s="97">
        <v>1</v>
      </c>
      <c r="BE14" s="97">
        <v>1</v>
      </c>
      <c r="BF14" s="97">
        <v>1</v>
      </c>
      <c r="BG14" s="97">
        <v>1</v>
      </c>
    </row>
    <row r="15" spans="1:59" x14ac:dyDescent="0.35">
      <c r="A15" s="96">
        <v>1850</v>
      </c>
      <c r="B15" s="95">
        <v>325</v>
      </c>
      <c r="C15" s="95">
        <f t="shared" si="29"/>
        <v>1300</v>
      </c>
      <c r="D15" s="100">
        <f t="shared" si="1"/>
        <v>650</v>
      </c>
      <c r="E15" s="100">
        <f t="shared" si="2"/>
        <v>650</v>
      </c>
      <c r="F15" s="100">
        <f t="shared" si="3"/>
        <v>975</v>
      </c>
      <c r="G15" s="100">
        <f t="shared" si="4"/>
        <v>1300</v>
      </c>
      <c r="H15" s="100">
        <f t="shared" si="5"/>
        <v>1300</v>
      </c>
      <c r="I15" s="100">
        <f t="shared" si="6"/>
        <v>1300</v>
      </c>
      <c r="J15" s="100">
        <f t="shared" si="7"/>
        <v>1300</v>
      </c>
      <c r="K15" s="100">
        <f t="shared" si="8"/>
        <v>1300</v>
      </c>
      <c r="L15" s="100">
        <f t="shared" si="9"/>
        <v>1300</v>
      </c>
      <c r="M15" s="100">
        <f t="shared" si="10"/>
        <v>1300</v>
      </c>
      <c r="N15" s="100">
        <f t="shared" si="11"/>
        <v>1300</v>
      </c>
      <c r="O15" s="100">
        <f t="shared" si="12"/>
        <v>1300</v>
      </c>
      <c r="P15" s="100">
        <f t="shared" si="13"/>
        <v>1300</v>
      </c>
      <c r="Q15" s="100">
        <f t="shared" si="14"/>
        <v>1300</v>
      </c>
      <c r="R15" s="98">
        <f t="shared" si="15"/>
        <v>0</v>
      </c>
      <c r="S15" s="98">
        <f t="shared" si="16"/>
        <v>0</v>
      </c>
      <c r="T15" s="98">
        <f t="shared" si="17"/>
        <v>325</v>
      </c>
      <c r="U15" s="98">
        <f t="shared" si="18"/>
        <v>1300</v>
      </c>
      <c r="V15" s="98">
        <f t="shared" si="19"/>
        <v>1300</v>
      </c>
      <c r="W15" s="98">
        <f t="shared" si="20"/>
        <v>1300</v>
      </c>
      <c r="X15" s="98">
        <f t="shared" si="21"/>
        <v>1300</v>
      </c>
      <c r="Y15" s="98">
        <f t="shared" si="22"/>
        <v>1300</v>
      </c>
      <c r="Z15" s="98">
        <f t="shared" si="23"/>
        <v>1300</v>
      </c>
      <c r="AA15" s="98">
        <f t="shared" si="24"/>
        <v>1300</v>
      </c>
      <c r="AB15" s="98">
        <f t="shared" si="25"/>
        <v>1300</v>
      </c>
      <c r="AC15" s="98">
        <f t="shared" si="26"/>
        <v>1300</v>
      </c>
      <c r="AD15" s="98">
        <f t="shared" si="27"/>
        <v>1300</v>
      </c>
      <c r="AE15" s="98">
        <f t="shared" si="28"/>
        <v>1300</v>
      </c>
      <c r="AF15" s="99">
        <v>0.5</v>
      </c>
      <c r="AG15" s="99">
        <v>0.5</v>
      </c>
      <c r="AH15" s="99">
        <v>0.75</v>
      </c>
      <c r="AI15" s="99">
        <v>1</v>
      </c>
      <c r="AJ15" s="99">
        <v>1</v>
      </c>
      <c r="AK15" s="99">
        <v>1</v>
      </c>
      <c r="AL15" s="99">
        <v>1</v>
      </c>
      <c r="AM15" s="99">
        <v>1</v>
      </c>
      <c r="AN15" s="99">
        <v>1</v>
      </c>
      <c r="AO15" s="99">
        <v>1</v>
      </c>
      <c r="AP15" s="99">
        <v>1</v>
      </c>
      <c r="AQ15" s="99">
        <v>1</v>
      </c>
      <c r="AR15" s="99">
        <v>1</v>
      </c>
      <c r="AS15" s="99">
        <v>1</v>
      </c>
      <c r="AT15" s="97">
        <v>0</v>
      </c>
      <c r="AU15" s="97">
        <v>0</v>
      </c>
      <c r="AV15" s="97">
        <v>0.25</v>
      </c>
      <c r="AW15" s="97">
        <v>1</v>
      </c>
      <c r="AX15" s="97">
        <v>1</v>
      </c>
      <c r="AY15" s="97">
        <v>1</v>
      </c>
      <c r="AZ15" s="97">
        <v>1</v>
      </c>
      <c r="BA15" s="97">
        <v>1</v>
      </c>
      <c r="BB15" s="97">
        <v>1</v>
      </c>
      <c r="BC15" s="97">
        <v>1</v>
      </c>
      <c r="BD15" s="97">
        <v>1</v>
      </c>
      <c r="BE15" s="97">
        <v>1</v>
      </c>
      <c r="BF15" s="97">
        <v>1</v>
      </c>
      <c r="BG15" s="97">
        <v>1</v>
      </c>
    </row>
    <row r="16" spans="1:59" x14ac:dyDescent="0.35">
      <c r="A16" s="96">
        <v>1950</v>
      </c>
      <c r="B16" s="95">
        <v>351</v>
      </c>
      <c r="C16" s="95">
        <f t="shared" si="29"/>
        <v>1404</v>
      </c>
      <c r="D16" s="100">
        <f t="shared" si="1"/>
        <v>702</v>
      </c>
      <c r="E16" s="100">
        <f t="shared" si="2"/>
        <v>702</v>
      </c>
      <c r="F16" s="100">
        <f t="shared" si="3"/>
        <v>1053</v>
      </c>
      <c r="G16" s="100">
        <f t="shared" si="4"/>
        <v>1404</v>
      </c>
      <c r="H16" s="100">
        <f t="shared" si="5"/>
        <v>1404</v>
      </c>
      <c r="I16" s="100">
        <f t="shared" si="6"/>
        <v>1404</v>
      </c>
      <c r="J16" s="100">
        <f t="shared" si="7"/>
        <v>1404</v>
      </c>
      <c r="K16" s="100">
        <f t="shared" si="8"/>
        <v>1404</v>
      </c>
      <c r="L16" s="100">
        <f t="shared" si="9"/>
        <v>1404</v>
      </c>
      <c r="M16" s="100">
        <f t="shared" si="10"/>
        <v>1404</v>
      </c>
      <c r="N16" s="100">
        <f t="shared" si="11"/>
        <v>1404</v>
      </c>
      <c r="O16" s="100">
        <f t="shared" si="12"/>
        <v>1404</v>
      </c>
      <c r="P16" s="100">
        <f t="shared" si="13"/>
        <v>1404</v>
      </c>
      <c r="Q16" s="100">
        <f t="shared" si="14"/>
        <v>1404</v>
      </c>
      <c r="R16" s="98">
        <f t="shared" si="15"/>
        <v>0</v>
      </c>
      <c r="S16" s="98">
        <f t="shared" si="16"/>
        <v>0</v>
      </c>
      <c r="T16" s="98">
        <f t="shared" si="17"/>
        <v>351</v>
      </c>
      <c r="U16" s="98">
        <f t="shared" si="18"/>
        <v>1404</v>
      </c>
      <c r="V16" s="98">
        <f t="shared" si="19"/>
        <v>1404</v>
      </c>
      <c r="W16" s="98">
        <f t="shared" si="20"/>
        <v>1404</v>
      </c>
      <c r="X16" s="98">
        <f t="shared" si="21"/>
        <v>1404</v>
      </c>
      <c r="Y16" s="98">
        <f t="shared" si="22"/>
        <v>1404</v>
      </c>
      <c r="Z16" s="98">
        <f t="shared" si="23"/>
        <v>1404</v>
      </c>
      <c r="AA16" s="98">
        <f t="shared" si="24"/>
        <v>1404</v>
      </c>
      <c r="AB16" s="98">
        <f t="shared" si="25"/>
        <v>1404</v>
      </c>
      <c r="AC16" s="98">
        <f t="shared" si="26"/>
        <v>1404</v>
      </c>
      <c r="AD16" s="98">
        <f t="shared" si="27"/>
        <v>1404</v>
      </c>
      <c r="AE16" s="98">
        <f t="shared" si="28"/>
        <v>1404</v>
      </c>
      <c r="AF16" s="99">
        <v>0.5</v>
      </c>
      <c r="AG16" s="99">
        <v>0.5</v>
      </c>
      <c r="AH16" s="99">
        <v>0.75</v>
      </c>
      <c r="AI16" s="99">
        <v>1</v>
      </c>
      <c r="AJ16" s="99">
        <v>1</v>
      </c>
      <c r="AK16" s="99">
        <v>1</v>
      </c>
      <c r="AL16" s="99">
        <v>1</v>
      </c>
      <c r="AM16" s="99">
        <v>1</v>
      </c>
      <c r="AN16" s="99">
        <v>1</v>
      </c>
      <c r="AO16" s="99">
        <v>1</v>
      </c>
      <c r="AP16" s="99">
        <v>1</v>
      </c>
      <c r="AQ16" s="99">
        <v>1</v>
      </c>
      <c r="AR16" s="99">
        <v>1</v>
      </c>
      <c r="AS16" s="99">
        <v>1</v>
      </c>
      <c r="AT16" s="97">
        <v>0</v>
      </c>
      <c r="AU16" s="97">
        <v>0</v>
      </c>
      <c r="AV16" s="97">
        <v>0.25</v>
      </c>
      <c r="AW16" s="97">
        <v>1</v>
      </c>
      <c r="AX16" s="97">
        <v>1</v>
      </c>
      <c r="AY16" s="97">
        <v>1</v>
      </c>
      <c r="AZ16" s="97">
        <v>1</v>
      </c>
      <c r="BA16" s="97">
        <v>1</v>
      </c>
      <c r="BB16" s="97">
        <v>1</v>
      </c>
      <c r="BC16" s="97">
        <v>1</v>
      </c>
      <c r="BD16" s="97">
        <v>1</v>
      </c>
      <c r="BE16" s="97">
        <v>1</v>
      </c>
      <c r="BF16" s="97">
        <v>1</v>
      </c>
      <c r="BG16" s="97">
        <v>1</v>
      </c>
    </row>
    <row r="17" spans="1:59" x14ac:dyDescent="0.35">
      <c r="A17" s="96">
        <v>2050</v>
      </c>
      <c r="B17" s="95">
        <v>377</v>
      </c>
      <c r="C17" s="95">
        <f t="shared" si="29"/>
        <v>1508</v>
      </c>
      <c r="D17" s="100">
        <f t="shared" si="1"/>
        <v>754</v>
      </c>
      <c r="E17" s="100">
        <f t="shared" si="2"/>
        <v>754</v>
      </c>
      <c r="F17" s="100">
        <f t="shared" si="3"/>
        <v>1131</v>
      </c>
      <c r="G17" s="100">
        <f t="shared" si="4"/>
        <v>1508</v>
      </c>
      <c r="H17" s="100">
        <f t="shared" si="5"/>
        <v>1508</v>
      </c>
      <c r="I17" s="100">
        <f t="shared" si="6"/>
        <v>1508</v>
      </c>
      <c r="J17" s="100">
        <f t="shared" si="7"/>
        <v>1508</v>
      </c>
      <c r="K17" s="100">
        <f t="shared" si="8"/>
        <v>1508</v>
      </c>
      <c r="L17" s="100">
        <f t="shared" si="9"/>
        <v>1508</v>
      </c>
      <c r="M17" s="100">
        <f t="shared" si="10"/>
        <v>1508</v>
      </c>
      <c r="N17" s="100">
        <f t="shared" si="11"/>
        <v>1508</v>
      </c>
      <c r="O17" s="100">
        <f t="shared" si="12"/>
        <v>1508</v>
      </c>
      <c r="P17" s="100">
        <f t="shared" si="13"/>
        <v>1508</v>
      </c>
      <c r="Q17" s="100">
        <f t="shared" si="14"/>
        <v>1508</v>
      </c>
      <c r="R17" s="98">
        <f t="shared" si="15"/>
        <v>0</v>
      </c>
      <c r="S17" s="98">
        <f t="shared" si="16"/>
        <v>0</v>
      </c>
      <c r="T17" s="98">
        <f t="shared" si="17"/>
        <v>377</v>
      </c>
      <c r="U17" s="98">
        <f t="shared" si="18"/>
        <v>1508</v>
      </c>
      <c r="V17" s="98">
        <f t="shared" si="19"/>
        <v>1508</v>
      </c>
      <c r="W17" s="98">
        <f t="shared" si="20"/>
        <v>1508</v>
      </c>
      <c r="X17" s="98">
        <f t="shared" si="21"/>
        <v>1508</v>
      </c>
      <c r="Y17" s="98">
        <f t="shared" si="22"/>
        <v>1508</v>
      </c>
      <c r="Z17" s="98">
        <f t="shared" si="23"/>
        <v>1508</v>
      </c>
      <c r="AA17" s="98">
        <f t="shared" si="24"/>
        <v>1508</v>
      </c>
      <c r="AB17" s="98">
        <f t="shared" si="25"/>
        <v>1508</v>
      </c>
      <c r="AC17" s="98">
        <f t="shared" si="26"/>
        <v>1508</v>
      </c>
      <c r="AD17" s="98">
        <f t="shared" si="27"/>
        <v>1508</v>
      </c>
      <c r="AE17" s="98">
        <f t="shared" si="28"/>
        <v>1508</v>
      </c>
      <c r="AF17" s="99">
        <v>0.5</v>
      </c>
      <c r="AG17" s="99">
        <v>0.5</v>
      </c>
      <c r="AH17" s="99">
        <v>0.75</v>
      </c>
      <c r="AI17" s="99">
        <v>1</v>
      </c>
      <c r="AJ17" s="99">
        <v>1</v>
      </c>
      <c r="AK17" s="99">
        <v>1</v>
      </c>
      <c r="AL17" s="99">
        <v>1</v>
      </c>
      <c r="AM17" s="99">
        <v>1</v>
      </c>
      <c r="AN17" s="99">
        <v>1</v>
      </c>
      <c r="AO17" s="99">
        <v>1</v>
      </c>
      <c r="AP17" s="99">
        <v>1</v>
      </c>
      <c r="AQ17" s="99">
        <v>1</v>
      </c>
      <c r="AR17" s="99">
        <v>1</v>
      </c>
      <c r="AS17" s="99">
        <v>1</v>
      </c>
      <c r="AT17" s="97">
        <v>0</v>
      </c>
      <c r="AU17" s="97">
        <v>0</v>
      </c>
      <c r="AV17" s="97">
        <v>0.25</v>
      </c>
      <c r="AW17" s="97">
        <v>1</v>
      </c>
      <c r="AX17" s="97">
        <v>1</v>
      </c>
      <c r="AY17" s="97">
        <v>1</v>
      </c>
      <c r="AZ17" s="97">
        <v>1</v>
      </c>
      <c r="BA17" s="97">
        <v>1</v>
      </c>
      <c r="BB17" s="97">
        <v>1</v>
      </c>
      <c r="BC17" s="97">
        <v>1</v>
      </c>
      <c r="BD17" s="97">
        <v>1</v>
      </c>
      <c r="BE17" s="97">
        <v>1</v>
      </c>
      <c r="BF17" s="97">
        <v>1</v>
      </c>
      <c r="BG17" s="97">
        <v>1</v>
      </c>
    </row>
  </sheetData>
  <mergeCells count="5">
    <mergeCell ref="AT1:BG1"/>
    <mergeCell ref="AF1:AS1"/>
    <mergeCell ref="B1:C1"/>
    <mergeCell ref="R1:AE1"/>
    <mergeCell ref="D1:Q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76372-A020-4F20-947E-02308446C25C}">
  <sheetPr codeName="Sheet5"/>
  <dimension ref="A1:B16"/>
  <sheetViews>
    <sheetView showGridLines="0" workbookViewId="0"/>
  </sheetViews>
  <sheetFormatPr defaultRowHeight="14.5" x14ac:dyDescent="0.35"/>
  <cols>
    <col min="2" max="2" width="9.1796875" customWidth="1"/>
  </cols>
  <sheetData>
    <row r="1" spans="1:2" ht="15" thickBot="1" x14ac:dyDescent="0.4">
      <c r="A1" s="173" t="s">
        <v>214</v>
      </c>
      <c r="B1" s="186" t="s">
        <v>215</v>
      </c>
    </row>
    <row r="2" spans="1:2" x14ac:dyDescent="0.35">
      <c r="A2" s="221">
        <v>0</v>
      </c>
      <c r="B2" s="231">
        <v>0</v>
      </c>
    </row>
    <row r="3" spans="1:2" x14ac:dyDescent="0.35">
      <c r="A3" s="174">
        <v>1</v>
      </c>
      <c r="B3" s="187">
        <v>0</v>
      </c>
    </row>
    <row r="4" spans="1:2" x14ac:dyDescent="0.35">
      <c r="A4" s="175">
        <v>2</v>
      </c>
      <c r="B4" s="188">
        <v>0</v>
      </c>
    </row>
    <row r="5" spans="1:2" x14ac:dyDescent="0.35">
      <c r="A5" s="175">
        <v>3</v>
      </c>
      <c r="B5" s="188">
        <v>0</v>
      </c>
    </row>
    <row r="6" spans="1:2" x14ac:dyDescent="0.35">
      <c r="A6" s="175">
        <v>4</v>
      </c>
      <c r="B6" s="188">
        <v>40</v>
      </c>
    </row>
    <row r="7" spans="1:2" x14ac:dyDescent="0.35">
      <c r="A7" s="175">
        <v>5</v>
      </c>
      <c r="B7" s="188">
        <v>0</v>
      </c>
    </row>
    <row r="8" spans="1:2" x14ac:dyDescent="0.35">
      <c r="A8" s="175">
        <v>6</v>
      </c>
      <c r="B8" s="188">
        <v>40</v>
      </c>
    </row>
    <row r="9" spans="1:2" x14ac:dyDescent="0.35">
      <c r="A9" s="175">
        <v>7</v>
      </c>
      <c r="B9" s="188">
        <v>0</v>
      </c>
    </row>
    <row r="10" spans="1:2" x14ac:dyDescent="0.35">
      <c r="A10" s="175">
        <v>8</v>
      </c>
      <c r="B10" s="188">
        <v>40</v>
      </c>
    </row>
    <row r="11" spans="1:2" x14ac:dyDescent="0.35">
      <c r="A11" s="175">
        <v>9</v>
      </c>
      <c r="B11" s="188">
        <v>40</v>
      </c>
    </row>
    <row r="12" spans="1:2" x14ac:dyDescent="0.35">
      <c r="A12" s="175">
        <v>10</v>
      </c>
      <c r="B12" s="188">
        <v>40</v>
      </c>
    </row>
    <row r="13" spans="1:2" x14ac:dyDescent="0.35">
      <c r="A13" s="175">
        <v>11</v>
      </c>
      <c r="B13" s="188">
        <v>40</v>
      </c>
    </row>
    <row r="14" spans="1:2" x14ac:dyDescent="0.35">
      <c r="A14" s="175">
        <v>12</v>
      </c>
      <c r="B14" s="188">
        <v>40</v>
      </c>
    </row>
    <row r="15" spans="1:2" x14ac:dyDescent="0.35">
      <c r="A15" s="175">
        <v>13</v>
      </c>
      <c r="B15" s="188">
        <v>40</v>
      </c>
    </row>
    <row r="16" spans="1:2" ht="15" thickBot="1" x14ac:dyDescent="0.4">
      <c r="A16" s="176">
        <v>14</v>
      </c>
      <c r="B16" s="189">
        <v>40</v>
      </c>
    </row>
  </sheetData>
  <sheetProtection sheet="1" objects="1" scenarios="1" selectLockedCell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48009-EF48-4C85-A056-EDDD5F57C85A}">
  <sheetPr codeName="Sheet9"/>
  <dimension ref="A1:B19"/>
  <sheetViews>
    <sheetView showGridLines="0" workbookViewId="0">
      <selection activeCell="B2" sqref="B2"/>
    </sheetView>
  </sheetViews>
  <sheetFormatPr defaultRowHeight="14.5" x14ac:dyDescent="0.35"/>
  <sheetData>
    <row r="1" spans="1:2" ht="15" thickBot="1" x14ac:dyDescent="0.4">
      <c r="A1" s="173" t="s">
        <v>214</v>
      </c>
      <c r="B1" s="186" t="s">
        <v>294</v>
      </c>
    </row>
    <row r="2" spans="1:2" x14ac:dyDescent="0.35">
      <c r="A2" s="244">
        <v>2023</v>
      </c>
      <c r="B2" s="248">
        <v>0.21</v>
      </c>
    </row>
    <row r="3" spans="1:2" x14ac:dyDescent="0.35">
      <c r="A3" s="245">
        <v>2024</v>
      </c>
      <c r="B3" s="249">
        <v>0.22</v>
      </c>
    </row>
    <row r="4" spans="1:2" x14ac:dyDescent="0.35">
      <c r="A4" s="246">
        <v>2025</v>
      </c>
      <c r="B4" s="250">
        <f>B3</f>
        <v>0.22</v>
      </c>
    </row>
    <row r="5" spans="1:2" x14ac:dyDescent="0.35">
      <c r="A5" s="246">
        <v>2026</v>
      </c>
      <c r="B5" s="250">
        <f t="shared" ref="B5:B19" si="0">B4</f>
        <v>0.22</v>
      </c>
    </row>
    <row r="6" spans="1:2" x14ac:dyDescent="0.35">
      <c r="A6" s="246">
        <v>2027</v>
      </c>
      <c r="B6" s="250">
        <f t="shared" si="0"/>
        <v>0.22</v>
      </c>
    </row>
    <row r="7" spans="1:2" x14ac:dyDescent="0.35">
      <c r="A7" s="246">
        <v>2028</v>
      </c>
      <c r="B7" s="250">
        <f t="shared" si="0"/>
        <v>0.22</v>
      </c>
    </row>
    <row r="8" spans="1:2" x14ac:dyDescent="0.35">
      <c r="A8" s="246">
        <v>2029</v>
      </c>
      <c r="B8" s="250">
        <f t="shared" si="0"/>
        <v>0.22</v>
      </c>
    </row>
    <row r="9" spans="1:2" x14ac:dyDescent="0.35">
      <c r="A9" s="246">
        <v>2030</v>
      </c>
      <c r="B9" s="250">
        <f t="shared" si="0"/>
        <v>0.22</v>
      </c>
    </row>
    <row r="10" spans="1:2" x14ac:dyDescent="0.35">
      <c r="A10" s="246">
        <v>2031</v>
      </c>
      <c r="B10" s="250">
        <f t="shared" si="0"/>
        <v>0.22</v>
      </c>
    </row>
    <row r="11" spans="1:2" x14ac:dyDescent="0.35">
      <c r="A11" s="246">
        <v>2032</v>
      </c>
      <c r="B11" s="250">
        <f t="shared" si="0"/>
        <v>0.22</v>
      </c>
    </row>
    <row r="12" spans="1:2" x14ac:dyDescent="0.35">
      <c r="A12" s="246">
        <v>2033</v>
      </c>
      <c r="B12" s="250">
        <f t="shared" si="0"/>
        <v>0.22</v>
      </c>
    </row>
    <row r="13" spans="1:2" x14ac:dyDescent="0.35">
      <c r="A13" s="246">
        <v>2034</v>
      </c>
      <c r="B13" s="250">
        <f t="shared" si="0"/>
        <v>0.22</v>
      </c>
    </row>
    <row r="14" spans="1:2" x14ac:dyDescent="0.35">
      <c r="A14" s="246">
        <v>2035</v>
      </c>
      <c r="B14" s="250">
        <f t="shared" si="0"/>
        <v>0.22</v>
      </c>
    </row>
    <row r="15" spans="1:2" x14ac:dyDescent="0.35">
      <c r="A15" s="246">
        <v>2036</v>
      </c>
      <c r="B15" s="250">
        <f t="shared" si="0"/>
        <v>0.22</v>
      </c>
    </row>
    <row r="16" spans="1:2" x14ac:dyDescent="0.35">
      <c r="A16" s="246">
        <v>2037</v>
      </c>
      <c r="B16" s="250">
        <f t="shared" si="0"/>
        <v>0.22</v>
      </c>
    </row>
    <row r="17" spans="1:2" x14ac:dyDescent="0.35">
      <c r="A17" s="246">
        <v>2038</v>
      </c>
      <c r="B17" s="250">
        <f t="shared" si="0"/>
        <v>0.22</v>
      </c>
    </row>
    <row r="18" spans="1:2" x14ac:dyDescent="0.35">
      <c r="A18" s="246">
        <v>2039</v>
      </c>
      <c r="B18" s="250">
        <f t="shared" si="0"/>
        <v>0.22</v>
      </c>
    </row>
    <row r="19" spans="1:2" ht="15" thickBot="1" x14ac:dyDescent="0.4">
      <c r="A19" s="247">
        <v>2040</v>
      </c>
      <c r="B19" s="251">
        <f t="shared" si="0"/>
        <v>0.22</v>
      </c>
    </row>
  </sheetData>
  <sheetProtection sheet="1" objects="1" scenarios="1" selectLockedCells="1"/>
  <pageMargins left="0.7" right="0.7" top="0.75" bottom="0.75" header="0.3" footer="0.3"/>
  <ignoredErrors>
    <ignoredError sqref="B4:B19" unlocked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CDE96-4D81-4074-A10A-46B423BD4742}">
  <sheetPr codeName="Sheet8"/>
  <dimension ref="B2:K23"/>
  <sheetViews>
    <sheetView showGridLines="0" workbookViewId="0">
      <selection activeCell="H19" sqref="H19"/>
    </sheetView>
  </sheetViews>
  <sheetFormatPr defaultRowHeight="14.5" x14ac:dyDescent="0.35"/>
  <cols>
    <col min="3" max="7" width="13.26953125" customWidth="1"/>
    <col min="8" max="10" width="16.54296875" customWidth="1"/>
  </cols>
  <sheetData>
    <row r="2" spans="2:11" x14ac:dyDescent="0.35">
      <c r="B2" s="209" t="s">
        <v>228</v>
      </c>
      <c r="C2" s="220" t="s">
        <v>291</v>
      </c>
    </row>
    <row r="3" spans="2:11" x14ac:dyDescent="0.35">
      <c r="B3" s="209" t="s">
        <v>45</v>
      </c>
      <c r="C3" s="275" t="str" cm="1">
        <f t="array" aca="1" ref="C3" ca="1">INDIRECT("Comparison!" &amp; C2 &amp; "2",TRUE)</f>
        <v>Smart Fortwo</v>
      </c>
      <c r="D3" s="276"/>
    </row>
    <row r="4" spans="2:11" x14ac:dyDescent="0.35">
      <c r="B4" s="210" t="s">
        <v>46</v>
      </c>
      <c r="C4" s="277" t="str" cm="1">
        <f t="array" aca="1" ref="C4" ca="1">INDIRECT("Comparison!" &amp; C2 &amp; "3",TRUE)</f>
        <v>Electric Drive</v>
      </c>
      <c r="D4" s="278"/>
    </row>
    <row r="5" spans="2:11" ht="15" thickBot="1" x14ac:dyDescent="0.4"/>
    <row r="6" spans="2:11" ht="30" customHeight="1" thickBot="1" x14ac:dyDescent="0.4">
      <c r="B6" s="232" t="s">
        <v>214</v>
      </c>
      <c r="C6" s="233" t="s">
        <v>227</v>
      </c>
      <c r="D6" s="234" t="s">
        <v>290</v>
      </c>
      <c r="E6" s="234" t="s">
        <v>81</v>
      </c>
      <c r="F6" s="234" t="s">
        <v>82</v>
      </c>
      <c r="G6" s="234" t="s">
        <v>92</v>
      </c>
      <c r="H6" s="236" t="s">
        <v>98</v>
      </c>
      <c r="I6" s="236" t="s">
        <v>159</v>
      </c>
      <c r="J6" s="237" t="s">
        <v>216</v>
      </c>
      <c r="K6" s="235" t="s">
        <v>75</v>
      </c>
    </row>
    <row r="7" spans="2:11" x14ac:dyDescent="0.35">
      <c r="B7" s="193">
        <v>0</v>
      </c>
      <c r="C7" s="211" t="str" cm="1">
        <f t="array" aca="1" ref="C7" ca="1">IF(ROUND((TODAY()-IF(INDIRECT("Comparison!" &amp; C$2 &amp; "47",TRUE)="",TODAY(),INDIRECT("Comparison!" &amp; C$2 &amp; "57",TRUE)))/365.25,0)-$B7=0,INDIRECT("Comparison!" &amp; C$2 &amp; "40",TRUE),IF(ROUND((TODAY()-IF(INDIRECT("Comparison!" &amp; C$2 &amp; "57",TRUE)="",TODAY(),INDIRECT("Comparison!" &amp; C$2 &amp; "57",TRUE)))/365.25,0)-B7&lt;0,0,""))</f>
        <v/>
      </c>
      <c r="D7" s="212" t="str" cm="1">
        <f t="array" aca="1" ref="D7" ca="1">IF(ROUND((TODAY()-IF(INDIRECT("Comparison!" &amp; C$2 &amp; "47",TRUE)="",TODAY(),INDIRECT("Comparison!" &amp; C$2 &amp; "57",TRUE)))/365.25,0)-$B7&lt;=0,INDIRECT("Comparison!" &amp; C$2 &amp; "45",TRUE),"")</f>
        <v/>
      </c>
      <c r="E7" s="212" t="str" cm="1">
        <f t="array" aca="1" ref="E7" ca="1">IF(ROUND((TODAY()-IF(INDIRECT("Comparison!" &amp; C$2 &amp; "47",TRUE)="",TODAY(),INDIRECT("Comparison!" &amp; C$2 &amp; "57",TRUE)))/365.25,0)-$B7&lt;=0,INDIRECT("Comparison!" &amp; C$2 &amp; "46",TRUE),"")</f>
        <v/>
      </c>
      <c r="F7" s="212" t="str" cm="1">
        <f t="array" aca="1" ref="F7" ca="1">IF(ROUND((TODAY()-IF(INDIRECT("Comparison!" &amp; C$2 &amp; "47",TRUE)="",TODAY(),INDIRECT("Comparison!" &amp; C$2 &amp; "57",TRUE)))/365.25,0)-$B7&lt;=0,IF(INDIRECT("Comparison!" &amp; C$2 &amp; "8",TRUE)="Electric",Maintenance!$D3,IF(INDIRECT("Comparison!" &amp; C$2 &amp; "8",TRUE)="PHEV",Maintenance!$C3,Maintenance!$B3)),"")</f>
        <v/>
      </c>
      <c r="G7" s="212" t="str" cm="1">
        <f t="array" aca="1" ref="G7" ca="1">IF(ROUND((TODAY()-IF(INDIRECT("Comparison!" &amp; C$2 &amp; "47",TRUE)="",TODAY(),INDIRECT("Comparison!" &amp; C$2 &amp; "57",TRUE)))/365.25,0)-$B7&lt;=0,INDIRECT("Comparison!" &amp; C$2 &amp; "48",TRUE),"")</f>
        <v/>
      </c>
      <c r="H7" s="212" t="str" cm="1">
        <f t="array" aca="1" ref="H7" ca="1">IF(ROUND((TODAY()-IF(INDIRECT("Comparison!" &amp; C$2 &amp; "47",TRUE)="",TODAY(),INDIRECT("Comparison!" &amp; C$2 &amp; "57",TRUE)))/365.25,0)-$B7&lt;=0,INDEX(MRB!$C$3:$C$17,16-MATCH(INDIRECT("Comparison!"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"57",TRUE)))/365.25,0)-$B7+1),1),"")</f>
        <v/>
      </c>
      <c r="I7" s="212" t="str" cm="1">
        <f t="array" aca="1" ref="I7" ca="1">IF(ROUND((TODAY()-IF(INDIRECT("Comparison!" &amp; C$2 &amp; "47",TRUE)="",TODAY(),INDIRECT("Comparison!" &amp; C$2 &amp; "57",TRUE)))/365.25,0)-$B7&lt;=0,APK!$B2,"")</f>
        <v/>
      </c>
      <c r="J7" s="213" t="str" cm="1">
        <f t="array" aca="1" ref="J7" ca="1">IF(ROUND((TODAY()-IF(INDIRECT("Comparison!" &amp; C$2 &amp; "47",TRUE)="",TODAY(),INDIRECT("Comparison!" &amp; C$2 &amp; "57",TRUE)))/365.25,0)-$B7&lt;=0,INDIRECT("Comparison!" &amp; C$2 &amp; "51",TRUE),"")</f>
        <v/>
      </c>
      <c r="K7" s="196" t="str">
        <f ca="1">IF(SUM(C7:J7)=0,"",SUM(C7:J7))</f>
        <v/>
      </c>
    </row>
    <row r="8" spans="2:11" x14ac:dyDescent="0.35">
      <c r="B8" s="194">
        <v>1</v>
      </c>
      <c r="C8" s="214" t="str" cm="1">
        <f t="array" aca="1" ref="C8" ca="1">IF(ROUND((TODAY()-IF(INDIRECT("Comparison!" &amp; C$2 &amp; "47",TRUE)="",TODAY(),INDIRECT("Comparison!" &amp; C$2 &amp; "57",TRUE)))/365.25,0)-$B8=0,INDIRECT("Comparison!" &amp; C$2 &amp; "40",TRUE),IF(ROUND((TODAY()-IF(INDIRECT("Comparison!" &amp; C$2 &amp; "57",TRUE)="",TODAY(),INDIRECT("Comparison!" &amp; C$2 &amp; "57",TRUE)))/365.25,0)-B8&lt;0,0,""))</f>
        <v/>
      </c>
      <c r="D8" s="215" t="str" cm="1">
        <f t="array" aca="1" ref="D8" ca="1">IF(ROUND((TODAY()-IF(INDIRECT("Comparison!" &amp; C$2 &amp; "47",TRUE)="",TODAY(),INDIRECT("Comparison!" &amp; C$2 &amp; "57",TRUE)))/365.25,0)-$B8&lt;=0,INDIRECT("Comparison!" &amp; C$2 &amp; "45",TRUE),"")</f>
        <v/>
      </c>
      <c r="E8" s="215" t="str" cm="1">
        <f t="array" aca="1" ref="E8" ca="1">IF(ROUND((TODAY()-IF(INDIRECT("Comparison!" &amp; C$2 &amp; "47",TRUE)="",TODAY(),INDIRECT("Comparison!" &amp; C$2 &amp; "57",TRUE)))/365.25,0)-$B8&lt;=0,INDIRECT("Comparison!" &amp; C$2 &amp; "46",TRUE),"")</f>
        <v/>
      </c>
      <c r="F8" s="215" t="str" cm="1">
        <f t="array" aca="1" ref="F8" ca="1">IF(ROUND((TODAY()-IF(INDIRECT("Comparison!" &amp; C$2 &amp; "47",TRUE)="",TODAY(),INDIRECT("Comparison!" &amp; C$2 &amp; "57",TRUE)))/365.25,0)-$B8&lt;=0,IF(INDIRECT("Comparison!" &amp; C$2 &amp; "8",TRUE)="Electric",Maintenance!$D4,IF(INDIRECT("Comparison!" &amp; C$2 &amp; "8",TRUE)="PHEV",Maintenance!$C4,Maintenance!$B4)),"")</f>
        <v/>
      </c>
      <c r="G8" s="215" t="str" cm="1">
        <f t="array" aca="1" ref="G8" ca="1">IF(ROUND((TODAY()-IF(INDIRECT("Comparison!" &amp; C$2 &amp; "47",TRUE)="",TODAY(),INDIRECT("Comparison!" &amp; C$2 &amp; "57",TRUE)))/365.25,0)-$B8&lt;=0,INDIRECT("Comparison!" &amp; C$2 &amp; "48",TRUE),"")</f>
        <v/>
      </c>
      <c r="H8" s="215" t="str" cm="1">
        <f t="array" aca="1" ref="H8" ca="1">IF(ROUND((TODAY()-IF(INDIRECT("Comparison!" &amp; C$2 &amp; "47",TRUE)="",TODAY(),INDIRECT("Comparison!" &amp; C$2 &amp; "57",TRUE)))/365.25,0)-$B8&lt;=0,INDEX(MRB!$C$3:$C$17,16-MATCH(INDIRECT("Comparison!"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"57",TRUE)))/365.25,0)-$B8+1),1),"")</f>
        <v/>
      </c>
      <c r="I8" s="215" t="str" cm="1">
        <f t="array" aca="1" ref="I8" ca="1">IF(ROUND((TODAY()-IF(INDIRECT("Comparison!" &amp; C$2 &amp; "47",TRUE)="",TODAY(),INDIRECT("Comparison!" &amp; C$2 &amp; "57",TRUE)))/365.25,0)-$B8&lt;=0,APK!$B3,"")</f>
        <v/>
      </c>
      <c r="J8" s="216" t="str" cm="1">
        <f t="array" aca="1" ref="J8" ca="1">IF(ROUND((TODAY()-IF(INDIRECT("Comparison!" &amp; C$2 &amp; "47",TRUE)="",TODAY(),INDIRECT("Comparison!" &amp; C$2 &amp; "57",TRUE)))/365.25,0)-$B8&lt;=0,INDIRECT("Comparison!" &amp; C$2 &amp; "51",TRUE),"")</f>
        <v/>
      </c>
      <c r="K8" s="197" t="str">
        <f t="shared" ref="K8:K21" ca="1" si="0">IF(SUM(C8:J8)=0,"",SUM(C8:J8))</f>
        <v/>
      </c>
    </row>
    <row r="9" spans="2:11" x14ac:dyDescent="0.35">
      <c r="B9" s="194">
        <v>2</v>
      </c>
      <c r="C9" s="214" t="str" cm="1">
        <f t="array" aca="1" ref="C9" ca="1">IF(ROUND((TODAY()-IF(INDIRECT("Comparison!" &amp; C$2 &amp; "47",TRUE)="",TODAY(),INDIRECT("Comparison!" &amp; C$2 &amp; "57",TRUE)))/365.25,0)-$B9=0,INDIRECT("Comparison!" &amp; C$2 &amp; "40",TRUE),IF(ROUND((TODAY()-IF(INDIRECT("Comparison!" &amp; C$2 &amp; "57",TRUE)="",TODAY(),INDIRECT("Comparison!" &amp; C$2 &amp; "57",TRUE)))/365.25,0)-B9&lt;0,0,""))</f>
        <v/>
      </c>
      <c r="D9" s="215" t="str" cm="1">
        <f t="array" aca="1" ref="D9" ca="1">IF(ROUND((TODAY()-IF(INDIRECT("Comparison!" &amp; C$2 &amp; "47",TRUE)="",TODAY(),INDIRECT("Comparison!" &amp; C$2 &amp; "57",TRUE)))/365.25,0)-$B9&lt;=0,INDIRECT("Comparison!" &amp; C$2 &amp; "45",TRUE),"")</f>
        <v/>
      </c>
      <c r="E9" s="215" t="str" cm="1">
        <f t="array" aca="1" ref="E9" ca="1">IF(ROUND((TODAY()-IF(INDIRECT("Comparison!" &amp; C$2 &amp; "47",TRUE)="",TODAY(),INDIRECT("Comparison!" &amp; C$2 &amp; "57",TRUE)))/365.25,0)-$B9&lt;=0,INDIRECT("Comparison!" &amp; C$2 &amp; "46",TRUE),"")</f>
        <v/>
      </c>
      <c r="F9" s="215" t="str" cm="1">
        <f t="array" aca="1" ref="F9" ca="1">IF(ROUND((TODAY()-IF(INDIRECT("Comparison!" &amp; C$2 &amp; "47",TRUE)="",TODAY(),INDIRECT("Comparison!" &amp; C$2 &amp; "57",TRUE)))/365.25,0)-$B9&lt;=0,IF(INDIRECT("Comparison!" &amp; C$2 &amp; "8",TRUE)="Electric",Maintenance!$D5,IF(INDIRECT("Comparison!" &amp; C$2 &amp; "8",TRUE)="PHEV",Maintenance!$C5,Maintenance!$B5)),"")</f>
        <v/>
      </c>
      <c r="G9" s="215" t="str" cm="1">
        <f t="array" aca="1" ref="G9" ca="1">IF(ROUND((TODAY()-IF(INDIRECT("Comparison!" &amp; C$2 &amp; "47",TRUE)="",TODAY(),INDIRECT("Comparison!" &amp; C$2 &amp; "57",TRUE)))/365.25,0)-$B9&lt;=0,INDIRECT("Comparison!" &amp; C$2 &amp; "48",TRUE),"")</f>
        <v/>
      </c>
      <c r="H9" s="215" t="str" cm="1">
        <f t="array" aca="1" ref="H9" ca="1">IF(ROUND((TODAY()-IF(INDIRECT("Comparison!" &amp; C$2 &amp; "47",TRUE)="",TODAY(),INDIRECT("Comparison!" &amp; C$2 &amp; "57",TRUE)))/365.25,0)-$B9&lt;=0,INDEX(MRB!$C$3:$C$17,16-MATCH(INDIRECT("Comparison!"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"57",TRUE)))/365.25,0)-$B9+1),1),"")</f>
        <v/>
      </c>
      <c r="I9" s="215" t="str" cm="1">
        <f t="array" aca="1" ref="I9" ca="1">IF(ROUND((TODAY()-IF(INDIRECT("Comparison!" &amp; C$2 &amp; "47",TRUE)="",TODAY(),INDIRECT("Comparison!" &amp; C$2 &amp; "57",TRUE)))/365.25,0)-$B9&lt;=0,APK!$B4,"")</f>
        <v/>
      </c>
      <c r="J9" s="216" t="str" cm="1">
        <f t="array" aca="1" ref="J9" ca="1">IF(ROUND((TODAY()-IF(INDIRECT("Comparison!" &amp; C$2 &amp; "47",TRUE)="",TODAY(),INDIRECT("Comparison!" &amp; C$2 &amp; "57",TRUE)))/365.25,0)-$B9&lt;=0,INDIRECT("Comparison!" &amp; C$2 &amp; "51",TRUE),"")</f>
        <v/>
      </c>
      <c r="K9" s="197" t="str">
        <f t="shared" ca="1" si="0"/>
        <v/>
      </c>
    </row>
    <row r="10" spans="2:11" x14ac:dyDescent="0.35">
      <c r="B10" s="194">
        <v>3</v>
      </c>
      <c r="C10" s="214" t="str" cm="1">
        <f t="array" aca="1" ref="C10" ca="1">IF(ROUND((TODAY()-IF(INDIRECT("Comparison!" &amp; C$2 &amp; "47",TRUE)="",TODAY(),INDIRECT("Comparison!" &amp; C$2 &amp; "57",TRUE)))/365.25,0)-$B10=0,INDIRECT("Comparison!" &amp; C$2 &amp; "40",TRUE),IF(ROUND((TODAY()-IF(INDIRECT("Comparison!" &amp; C$2 &amp; "57",TRUE)="",TODAY(),INDIRECT("Comparison!" &amp; C$2 &amp; "57",TRUE)))/365.25,0)-B10&lt;0,0,""))</f>
        <v/>
      </c>
      <c r="D10" s="215" t="str" cm="1">
        <f t="array" aca="1" ref="D10" ca="1">IF(ROUND((TODAY()-IF(INDIRECT("Comparison!" &amp; C$2 &amp; "47",TRUE)="",TODAY(),INDIRECT("Comparison!" &amp; C$2 &amp; "57",TRUE)))/365.25,0)-$B10&lt;=0,INDIRECT("Comparison!" &amp; C$2 &amp; "45",TRUE),"")</f>
        <v/>
      </c>
      <c r="E10" s="215" t="str" cm="1">
        <f t="array" aca="1" ref="E10" ca="1">IF(ROUND((TODAY()-IF(INDIRECT("Comparison!" &amp; C$2 &amp; "47",TRUE)="",TODAY(),INDIRECT("Comparison!" &amp; C$2 &amp; "57",TRUE)))/365.25,0)-$B10&lt;=0,INDIRECT("Comparison!" &amp; C$2 &amp; "46",TRUE),"")</f>
        <v/>
      </c>
      <c r="F10" s="215" t="str" cm="1">
        <f t="array" aca="1" ref="F10" ca="1">IF(ROUND((TODAY()-IF(INDIRECT("Comparison!" &amp; C$2 &amp; "47",TRUE)="",TODAY(),INDIRECT("Comparison!" &amp; C$2 &amp; "57",TRUE)))/365.25,0)-$B10&lt;=0,IF(INDIRECT("Comparison!" &amp; C$2 &amp; "8",TRUE)="Electric",Maintenance!$D6,IF(INDIRECT("Comparison!" &amp; C$2 &amp; "8",TRUE)="PHEV",Maintenance!$C6,Maintenance!$B6)),"")</f>
        <v/>
      </c>
      <c r="G10" s="215" t="str" cm="1">
        <f t="array" aca="1" ref="G10" ca="1">IF(ROUND((TODAY()-IF(INDIRECT("Comparison!" &amp; C$2 &amp; "47",TRUE)="",TODAY(),INDIRECT("Comparison!" &amp; C$2 &amp; "57",TRUE)))/365.25,0)-$B10&lt;=0,INDIRECT("Comparison!" &amp; C$2 &amp; "48",TRUE),"")</f>
        <v/>
      </c>
      <c r="H10" s="215" t="str" cm="1">
        <f t="array" aca="1" ref="H10" ca="1">IF(ROUND((TODAY()-IF(INDIRECT("Comparison!" &amp; C$2 &amp; "47",TRUE)="",TODAY(),INDIRECT("Comparison!" &amp; C$2 &amp; "57",TRUE)))/365.25,0)-$B10&lt;=0,INDEX(MRB!$C$3:$C$17,16-MATCH(INDIRECT("Comparison!"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"57",TRUE)))/365.25,0)-$B10+1),1),"")</f>
        <v/>
      </c>
      <c r="I10" s="215" t="str" cm="1">
        <f t="array" aca="1" ref="I10" ca="1">IF(ROUND((TODAY()-IF(INDIRECT("Comparison!" &amp; C$2 &amp; "47",TRUE)="",TODAY(),INDIRECT("Comparison!" &amp; C$2 &amp; "57",TRUE)))/365.25,0)-$B10&lt;=0,APK!$B5,"")</f>
        <v/>
      </c>
      <c r="J10" s="216" t="str" cm="1">
        <f t="array" aca="1" ref="J10" ca="1">IF(ROUND((TODAY()-IF(INDIRECT("Comparison!" &amp; C$2 &amp; "47",TRUE)="",TODAY(),INDIRECT("Comparison!" &amp; C$2 &amp; "57",TRUE)))/365.25,0)-$B10&lt;=0,INDIRECT("Comparison!" &amp; C$2 &amp; "51",TRUE),"")</f>
        <v/>
      </c>
      <c r="K10" s="197" t="str">
        <f t="shared" ca="1" si="0"/>
        <v/>
      </c>
    </row>
    <row r="11" spans="2:11" x14ac:dyDescent="0.35">
      <c r="B11" s="194">
        <v>4</v>
      </c>
      <c r="C11" s="214" t="str" cm="1">
        <f t="array" aca="1" ref="C11" ca="1">IF(ROUND((TODAY()-IF(INDIRECT("Comparison!" &amp; C$2 &amp; "47",TRUE)="",TODAY(),INDIRECT("Comparison!" &amp; C$2 &amp; "57",TRUE)))/365.25,0)-$B11=0,INDIRECT("Comparison!" &amp; C$2 &amp; "40",TRUE),IF(ROUND((TODAY()-IF(INDIRECT("Comparison!" &amp; C$2 &amp; "57",TRUE)="",TODAY(),INDIRECT("Comparison!" &amp; C$2 &amp; "57",TRUE)))/365.25,0)-B11&lt;0,0,""))</f>
        <v/>
      </c>
      <c r="D11" s="215" t="str" cm="1">
        <f t="array" aca="1" ref="D11" ca="1">IF(ROUND((TODAY()-IF(INDIRECT("Comparison!" &amp; C$2 &amp; "47",TRUE)="",TODAY(),INDIRECT("Comparison!" &amp; C$2 &amp; "57",TRUE)))/365.25,0)-$B11&lt;=0,INDIRECT("Comparison!" &amp; C$2 &amp; "45",TRUE),"")</f>
        <v/>
      </c>
      <c r="E11" s="215" t="str" cm="1">
        <f t="array" aca="1" ref="E11" ca="1">IF(ROUND((TODAY()-IF(INDIRECT("Comparison!" &amp; C$2 &amp; "47",TRUE)="",TODAY(),INDIRECT("Comparison!" &amp; C$2 &amp; "57",TRUE)))/365.25,0)-$B11&lt;=0,INDIRECT("Comparison!" &amp; C$2 &amp; "46",TRUE),"")</f>
        <v/>
      </c>
      <c r="F11" s="215" t="str" cm="1">
        <f t="array" aca="1" ref="F11" ca="1">IF(ROUND((TODAY()-IF(INDIRECT("Comparison!" &amp; C$2 &amp; "47",TRUE)="",TODAY(),INDIRECT("Comparison!" &amp; C$2 &amp; "57",TRUE)))/365.25,0)-$B11&lt;=0,IF(INDIRECT("Comparison!" &amp; C$2 &amp; "8",TRUE)="Electric",Maintenance!$D7,IF(INDIRECT("Comparison!" &amp; C$2 &amp; "8",TRUE)="PHEV",Maintenance!$C7,Maintenance!$B7)),"")</f>
        <v/>
      </c>
      <c r="G11" s="215" t="str" cm="1">
        <f t="array" aca="1" ref="G11" ca="1">IF(ROUND((TODAY()-IF(INDIRECT("Comparison!" &amp; C$2 &amp; "47",TRUE)="",TODAY(),INDIRECT("Comparison!" &amp; C$2 &amp; "57",TRUE)))/365.25,0)-$B11&lt;=0,INDIRECT("Comparison!" &amp; C$2 &amp; "48",TRUE),"")</f>
        <v/>
      </c>
      <c r="H11" s="215" t="str" cm="1">
        <f t="array" aca="1" ref="H11" ca="1">IF(ROUND((TODAY()-IF(INDIRECT("Comparison!" &amp; C$2 &amp; "47",TRUE)="",TODAY(),INDIRECT("Comparison!" &amp; C$2 &amp; "57",TRUE)))/365.25,0)-$B11&lt;=0,INDEX(MRB!$C$3:$C$17,16-MATCH(INDIRECT("Comparison!"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"57",TRUE)))/365.25,0)-$B11+1),1),"")</f>
        <v/>
      </c>
      <c r="I11" s="215" t="str" cm="1">
        <f t="array" aca="1" ref="I11" ca="1">IF(ROUND((TODAY()-IF(INDIRECT("Comparison!" &amp; C$2 &amp; "47",TRUE)="",TODAY(),INDIRECT("Comparison!" &amp; C$2 &amp; "57",TRUE)))/365.25,0)-$B11&lt;=0,APK!$B6,"")</f>
        <v/>
      </c>
      <c r="J11" s="216" t="str" cm="1">
        <f t="array" aca="1" ref="J11" ca="1">IF(ROUND((TODAY()-IF(INDIRECT("Comparison!" &amp; C$2 &amp; "47",TRUE)="",TODAY(),INDIRECT("Comparison!" &amp; C$2 &amp; "57",TRUE)))/365.25,0)-$B11&lt;=0,INDIRECT("Comparison!" &amp; C$2 &amp; "51",TRUE),"")</f>
        <v/>
      </c>
      <c r="K11" s="197" t="str">
        <f t="shared" ca="1" si="0"/>
        <v/>
      </c>
    </row>
    <row r="12" spans="2:11" x14ac:dyDescent="0.35">
      <c r="B12" s="194">
        <v>5</v>
      </c>
      <c r="C12" s="214" t="str" cm="1">
        <f t="array" aca="1" ref="C12" ca="1">IF(ROUND((TODAY()-IF(INDIRECT("Comparison!" &amp; C$2 &amp; "47",TRUE)="",TODAY(),INDIRECT("Comparison!" &amp; C$2 &amp; "57",TRUE)))/365.25,0)-$B12=0,INDIRECT("Comparison!" &amp; C$2 &amp; "40",TRUE),IF(ROUND((TODAY()-IF(INDIRECT("Comparison!" &amp; C$2 &amp; "57",TRUE)="",TODAY(),INDIRECT("Comparison!" &amp; C$2 &amp; "57",TRUE)))/365.25,0)-B12&lt;0,0,""))</f>
        <v/>
      </c>
      <c r="D12" s="215" t="str" cm="1">
        <f t="array" aca="1" ref="D12" ca="1">IF(ROUND((TODAY()-IF(INDIRECT("Comparison!" &amp; C$2 &amp; "47",TRUE)="",TODAY(),INDIRECT("Comparison!" &amp; C$2 &amp; "57",TRUE)))/365.25,0)-$B12&lt;=0,INDIRECT("Comparison!" &amp; C$2 &amp; "45",TRUE),"")</f>
        <v/>
      </c>
      <c r="E12" s="215" t="str" cm="1">
        <f t="array" aca="1" ref="E12" ca="1">IF(ROUND((TODAY()-IF(INDIRECT("Comparison!" &amp; C$2 &amp; "47",TRUE)="",TODAY(),INDIRECT("Comparison!" &amp; C$2 &amp; "57",TRUE)))/365.25,0)-$B12&lt;=0,INDIRECT("Comparison!" &amp; C$2 &amp; "46",TRUE),"")</f>
        <v/>
      </c>
      <c r="F12" s="215" t="str" cm="1">
        <f t="array" aca="1" ref="F12" ca="1">IF(ROUND((TODAY()-IF(INDIRECT("Comparison!" &amp; C$2 &amp; "47",TRUE)="",TODAY(),INDIRECT("Comparison!" &amp; C$2 &amp; "57",TRUE)))/365.25,0)-$B12&lt;=0,IF(INDIRECT("Comparison!" &amp; C$2 &amp; "8",TRUE)="Electric",Maintenance!$D8,IF(INDIRECT("Comparison!" &amp; C$2 &amp; "8",TRUE)="PHEV",Maintenance!$C8,Maintenance!$B8)),"")</f>
        <v/>
      </c>
      <c r="G12" s="215" t="str" cm="1">
        <f t="array" aca="1" ref="G12" ca="1">IF(ROUND((TODAY()-IF(INDIRECT("Comparison!" &amp; C$2 &amp; "47",TRUE)="",TODAY(),INDIRECT("Comparison!" &amp; C$2 &amp; "57",TRUE)))/365.25,0)-$B12&lt;=0,INDIRECT("Comparison!" &amp; C$2 &amp; "48",TRUE),"")</f>
        <v/>
      </c>
      <c r="H12" s="215" t="str" cm="1">
        <f t="array" aca="1" ref="H12" ca="1">IF(ROUND((TODAY()-IF(INDIRECT("Comparison!" &amp; C$2 &amp; "47",TRUE)="",TODAY(),INDIRECT("Comparison!" &amp; C$2 &amp; "57",TRUE)))/365.25,0)-$B12&lt;=0,INDEX(MRB!$C$3:$C$17,16-MATCH(INDIRECT("Comparison!"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"57",TRUE)))/365.25,0)-$B12+1),1),"")</f>
        <v/>
      </c>
      <c r="I12" s="215" t="str" cm="1">
        <f t="array" aca="1" ref="I12" ca="1">IF(ROUND((TODAY()-IF(INDIRECT("Comparison!" &amp; C$2 &amp; "47",TRUE)="",TODAY(),INDIRECT("Comparison!" &amp; C$2 &amp; "57",TRUE)))/365.25,0)-$B12&lt;=0,APK!$B7,"")</f>
        <v/>
      </c>
      <c r="J12" s="216" t="str" cm="1">
        <f t="array" aca="1" ref="J12" ca="1">IF(ROUND((TODAY()-IF(INDIRECT("Comparison!" &amp; C$2 &amp; "47",TRUE)="",TODAY(),INDIRECT("Comparison!" &amp; C$2 &amp; "57",TRUE)))/365.25,0)-$B12&lt;=0,INDIRECT("Comparison!" &amp; C$2 &amp; "51",TRUE),"")</f>
        <v/>
      </c>
      <c r="K12" s="197" t="str">
        <f t="shared" ca="1" si="0"/>
        <v/>
      </c>
    </row>
    <row r="13" spans="2:11" x14ac:dyDescent="0.35">
      <c r="B13" s="194">
        <v>6</v>
      </c>
      <c r="C13" s="214" t="str" cm="1">
        <f t="array" aca="1" ref="C13" ca="1">IF(ROUND((TODAY()-IF(INDIRECT("Comparison!" &amp; C$2 &amp; "47",TRUE)="",TODAY(),INDIRECT("Comparison!" &amp; C$2 &amp; "57",TRUE)))/365.25,0)-$B13=0,INDIRECT("Comparison!" &amp; C$2 &amp; "40",TRUE),IF(ROUND((TODAY()-IF(INDIRECT("Comparison!" &amp; C$2 &amp; "57",TRUE)="",TODAY(),INDIRECT("Comparison!" &amp; C$2 &amp; "57",TRUE)))/365.25,0)-B13&lt;0,0,""))</f>
        <v/>
      </c>
      <c r="D13" s="215" t="str" cm="1">
        <f t="array" aca="1" ref="D13" ca="1">IF(ROUND((TODAY()-IF(INDIRECT("Comparison!" &amp; C$2 &amp; "47",TRUE)="",TODAY(),INDIRECT("Comparison!" &amp; C$2 &amp; "57",TRUE)))/365.25,0)-$B13&lt;=0,INDIRECT("Comparison!" &amp; C$2 &amp; "45",TRUE),"")</f>
        <v/>
      </c>
      <c r="E13" s="215" t="str" cm="1">
        <f t="array" aca="1" ref="E13" ca="1">IF(ROUND((TODAY()-IF(INDIRECT("Comparison!" &amp; C$2 &amp; "47",TRUE)="",TODAY(),INDIRECT("Comparison!" &amp; C$2 &amp; "57",TRUE)))/365.25,0)-$B13&lt;=0,INDIRECT("Comparison!" &amp; C$2 &amp; "46",TRUE),"")</f>
        <v/>
      </c>
      <c r="F13" s="215" t="str" cm="1">
        <f t="array" aca="1" ref="F13" ca="1">IF(ROUND((TODAY()-IF(INDIRECT("Comparison!" &amp; C$2 &amp; "47",TRUE)="",TODAY(),INDIRECT("Comparison!" &amp; C$2 &amp; "57",TRUE)))/365.25,0)-$B13&lt;=0,IF(INDIRECT("Comparison!" &amp; C$2 &amp; "8",TRUE)="Electric",Maintenance!$D9,IF(INDIRECT("Comparison!" &amp; C$2 &amp; "8",TRUE)="PHEV",Maintenance!$C9,Maintenance!$B9)),"")</f>
        <v/>
      </c>
      <c r="G13" s="215" t="str" cm="1">
        <f t="array" aca="1" ref="G13" ca="1">IF(ROUND((TODAY()-IF(INDIRECT("Comparison!" &amp; C$2 &amp; "47",TRUE)="",TODAY(),INDIRECT("Comparison!" &amp; C$2 &amp; "57",TRUE)))/365.25,0)-$B13&lt;=0,INDIRECT("Comparison!" &amp; C$2 &amp; "48",TRUE),"")</f>
        <v/>
      </c>
      <c r="H13" s="215" t="str" cm="1">
        <f t="array" aca="1" ref="H13" ca="1">IF(ROUND((TODAY()-IF(INDIRECT("Comparison!" &amp; C$2 &amp; "47",TRUE)="",TODAY(),INDIRECT("Comparison!" &amp; C$2 &amp; "57",TRUE)))/365.25,0)-$B13&lt;=0,INDEX(MRB!$C$3:$C$17,16-MATCH(INDIRECT("Comparison!"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"57",TRUE)))/365.25,0)-$B13+1),1),"")</f>
        <v/>
      </c>
      <c r="I13" s="215" t="str" cm="1">
        <f t="array" aca="1" ref="I13" ca="1">IF(ROUND((TODAY()-IF(INDIRECT("Comparison!" &amp; C$2 &amp; "47",TRUE)="",TODAY(),INDIRECT("Comparison!" &amp; C$2 &amp; "57",TRUE)))/365.25,0)-$B13&lt;=0,APK!$B8,"")</f>
        <v/>
      </c>
      <c r="J13" s="216" t="str" cm="1">
        <f t="array" aca="1" ref="J13" ca="1">IF(ROUND((TODAY()-IF(INDIRECT("Comparison!" &amp; C$2 &amp; "47",TRUE)="",TODAY(),INDIRECT("Comparison!" &amp; C$2 &amp; "57",TRUE)))/365.25,0)-$B13&lt;=0,INDIRECT("Comparison!" &amp; C$2 &amp; "51",TRUE),"")</f>
        <v/>
      </c>
      <c r="K13" s="197" t="str">
        <f t="shared" ca="1" si="0"/>
        <v/>
      </c>
    </row>
    <row r="14" spans="2:11" x14ac:dyDescent="0.35">
      <c r="B14" s="194">
        <v>7</v>
      </c>
      <c r="C14" s="214" t="str" cm="1">
        <f t="array" aca="1" ref="C14" ca="1">IF(ROUND((TODAY()-IF(INDIRECT("Comparison!" &amp; C$2 &amp; "47",TRUE)="",TODAY(),INDIRECT("Comparison!" &amp; C$2 &amp; "57",TRUE)))/365.25,0)-$B14=0,INDIRECT("Comparison!" &amp; C$2 &amp; "40",TRUE),IF(ROUND((TODAY()-IF(INDIRECT("Comparison!" &amp; C$2 &amp; "57",TRUE)="",TODAY(),INDIRECT("Comparison!" &amp; C$2 &amp; "57",TRUE)))/365.25,0)-B14&lt;0,0,""))</f>
        <v/>
      </c>
      <c r="D14" s="215" t="str" cm="1">
        <f t="array" aca="1" ref="D14" ca="1">IF(ROUND((TODAY()-IF(INDIRECT("Comparison!" &amp; C$2 &amp; "47",TRUE)="",TODAY(),INDIRECT("Comparison!" &amp; C$2 &amp; "57",TRUE)))/365.25,0)-$B14&lt;=0,INDIRECT("Comparison!" &amp; C$2 &amp; "45",TRUE),"")</f>
        <v/>
      </c>
      <c r="E14" s="215" t="str" cm="1">
        <f t="array" aca="1" ref="E14" ca="1">IF(ROUND((TODAY()-IF(INDIRECT("Comparison!" &amp; C$2 &amp; "47",TRUE)="",TODAY(),INDIRECT("Comparison!" &amp; C$2 &amp; "57",TRUE)))/365.25,0)-$B14&lt;=0,INDIRECT("Comparison!" &amp; C$2 &amp; "46",TRUE),"")</f>
        <v/>
      </c>
      <c r="F14" s="215" t="str" cm="1">
        <f t="array" aca="1" ref="F14" ca="1">IF(ROUND((TODAY()-IF(INDIRECT("Comparison!" &amp; C$2 &amp; "47",TRUE)="",TODAY(),INDIRECT("Comparison!" &amp; C$2 &amp; "57",TRUE)))/365.25,0)-$B14&lt;=0,IF(INDIRECT("Comparison!" &amp; C$2 &amp; "8",TRUE)="Electric",Maintenance!$D10,IF(INDIRECT("Comparison!" &amp; C$2 &amp; "8",TRUE)="PHEV",Maintenance!$C10,Maintenance!$B10)),"")</f>
        <v/>
      </c>
      <c r="G14" s="215" t="str" cm="1">
        <f t="array" aca="1" ref="G14" ca="1">IF(ROUND((TODAY()-IF(INDIRECT("Comparison!" &amp; C$2 &amp; "47",TRUE)="",TODAY(),INDIRECT("Comparison!" &amp; C$2 &amp; "57",TRUE)))/365.25,0)-$B14&lt;=0,INDIRECT("Comparison!" &amp; C$2 &amp; "48",TRUE),"")</f>
        <v/>
      </c>
      <c r="H14" s="215" t="str" cm="1">
        <f t="array" aca="1" ref="H14" ca="1">IF(ROUND((TODAY()-IF(INDIRECT("Comparison!" &amp; C$2 &amp; "47",TRUE)="",TODAY(),INDIRECT("Comparison!" &amp; C$2 &amp; "57",TRUE)))/365.25,0)-$B14&lt;=0,INDEX(MRB!$C$3:$C$17,16-MATCH(INDIRECT("Comparison!"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"57",TRUE)))/365.25,0)-$B14+1),1),"")</f>
        <v/>
      </c>
      <c r="I14" s="215" t="str" cm="1">
        <f t="array" aca="1" ref="I14" ca="1">IF(ROUND((TODAY()-IF(INDIRECT("Comparison!" &amp; C$2 &amp; "47",TRUE)="",TODAY(),INDIRECT("Comparison!" &amp; C$2 &amp; "57",TRUE)))/365.25,0)-$B14&lt;=0,APK!$B9,"")</f>
        <v/>
      </c>
      <c r="J14" s="216" t="str" cm="1">
        <f t="array" aca="1" ref="J14" ca="1">IF(ROUND((TODAY()-IF(INDIRECT("Comparison!" &amp; C$2 &amp; "47",TRUE)="",TODAY(),INDIRECT("Comparison!" &amp; C$2 &amp; "57",TRUE)))/365.25,0)-$B14&lt;=0,INDIRECT("Comparison!" &amp; C$2 &amp; "51",TRUE),"")</f>
        <v/>
      </c>
      <c r="K14" s="197" t="str">
        <f t="shared" ca="1" si="0"/>
        <v/>
      </c>
    </row>
    <row r="15" spans="2:11" x14ac:dyDescent="0.35">
      <c r="B15" s="194">
        <v>8</v>
      </c>
      <c r="C15" s="214" t="str" cm="1">
        <f t="array" aca="1" ref="C15" ca="1">IF(ROUND((TODAY()-IF(INDIRECT("Comparison!" &amp; C$2 &amp; "47",TRUE)="",TODAY(),INDIRECT("Comparison!" &amp; C$2 &amp; "57",TRUE)))/365.25,0)-$B15=0,INDIRECT("Comparison!" &amp; C$2 &amp; "40",TRUE),IF(ROUND((TODAY()-IF(INDIRECT("Comparison!" &amp; C$2 &amp; "57",TRUE)="",TODAY(),INDIRECT("Comparison!" &amp; C$2 &amp; "57",TRUE)))/365.25,0)-B15&lt;0,0,""))</f>
        <v/>
      </c>
      <c r="D15" s="215" t="str" cm="1">
        <f t="array" aca="1" ref="D15" ca="1">IF(ROUND((TODAY()-IF(INDIRECT("Comparison!" &amp; C$2 &amp; "47",TRUE)="",TODAY(),INDIRECT("Comparison!" &amp; C$2 &amp; "57",TRUE)))/365.25,0)-$B15&lt;=0,INDIRECT("Comparison!" &amp; C$2 &amp; "45",TRUE),"")</f>
        <v/>
      </c>
      <c r="E15" s="215" t="str" cm="1">
        <f t="array" aca="1" ref="E15" ca="1">IF(ROUND((TODAY()-IF(INDIRECT("Comparison!" &amp; C$2 &amp; "47",TRUE)="",TODAY(),INDIRECT("Comparison!" &amp; C$2 &amp; "57",TRUE)))/365.25,0)-$B15&lt;=0,INDIRECT("Comparison!" &amp; C$2 &amp; "46",TRUE),"")</f>
        <v/>
      </c>
      <c r="F15" s="215" t="str" cm="1">
        <f t="array" aca="1" ref="F15" ca="1">IF(ROUND((TODAY()-IF(INDIRECT("Comparison!" &amp; C$2 &amp; "47",TRUE)="",TODAY(),INDIRECT("Comparison!" &amp; C$2 &amp; "57",TRUE)))/365.25,0)-$B15&lt;=0,IF(INDIRECT("Comparison!" &amp; C$2 &amp; "8",TRUE)="Electric",Maintenance!$D11,IF(INDIRECT("Comparison!" &amp; C$2 &amp; "8",TRUE)="PHEV",Maintenance!$C11,Maintenance!$B11)),"")</f>
        <v/>
      </c>
      <c r="G15" s="215" t="str" cm="1">
        <f t="array" aca="1" ref="G15" ca="1">IF(ROUND((TODAY()-IF(INDIRECT("Comparison!" &amp; C$2 &amp; "47",TRUE)="",TODAY(),INDIRECT("Comparison!" &amp; C$2 &amp; "57",TRUE)))/365.25,0)-$B15&lt;=0,INDIRECT("Comparison!" &amp; C$2 &amp; "48",TRUE),"")</f>
        <v/>
      </c>
      <c r="H15" s="215" t="str" cm="1">
        <f t="array" aca="1" ref="H15" ca="1">IF(ROUND((TODAY()-IF(INDIRECT("Comparison!" &amp; C$2 &amp; "47",TRUE)="",TODAY(),INDIRECT("Comparison!" &amp; C$2 &amp; "57",TRUE)))/365.25,0)-$B15&lt;=0,INDEX(MRB!$C$3:$C$17,16-MATCH(INDIRECT("Comparison!"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"57",TRUE)))/365.25,0)-$B15+1),1),"")</f>
        <v/>
      </c>
      <c r="I15" s="215" t="str" cm="1">
        <f t="array" aca="1" ref="I15" ca="1">IF(ROUND((TODAY()-IF(INDIRECT("Comparison!" &amp; C$2 &amp; "47",TRUE)="",TODAY(),INDIRECT("Comparison!" &amp; C$2 &amp; "57",TRUE)))/365.25,0)-$B15&lt;=0,APK!$B10,"")</f>
        <v/>
      </c>
      <c r="J15" s="216" t="str" cm="1">
        <f t="array" aca="1" ref="J15" ca="1">IF(ROUND((TODAY()-IF(INDIRECT("Comparison!" &amp; C$2 &amp; "47",TRUE)="",TODAY(),INDIRECT("Comparison!" &amp; C$2 &amp; "57",TRUE)))/365.25,0)-$B15&lt;=0,INDIRECT("Comparison!" &amp; C$2 &amp; "51",TRUE),"")</f>
        <v/>
      </c>
      <c r="K15" s="197" t="str">
        <f t="shared" ca="1" si="0"/>
        <v/>
      </c>
    </row>
    <row r="16" spans="2:11" x14ac:dyDescent="0.35">
      <c r="B16" s="194">
        <v>9</v>
      </c>
      <c r="C16" s="214" t="str" cm="1">
        <f t="array" aca="1" ref="C16" ca="1">IF(ROUND((TODAY()-IF(INDIRECT("Comparison!" &amp; C$2 &amp; "47",TRUE)="",TODAY(),INDIRECT("Comparison!" &amp; C$2 &amp; "57",TRUE)))/365.25,0)-$B16=0,INDIRECT("Comparison!" &amp; C$2 &amp; "40",TRUE),IF(ROUND((TODAY()-IF(INDIRECT("Comparison!" &amp; C$2 &amp; "57",TRUE)="",TODAY(),INDIRECT("Comparison!" &amp; C$2 &amp; "57",TRUE)))/365.25,0)-B16&lt;0,0,""))</f>
        <v/>
      </c>
      <c r="D16" s="215" t="str" cm="1">
        <f t="array" aca="1" ref="D16" ca="1">IF(ROUND((TODAY()-IF(INDIRECT("Comparison!" &amp; C$2 &amp; "47",TRUE)="",TODAY(),INDIRECT("Comparison!" &amp; C$2 &amp; "57",TRUE)))/365.25,0)-$B16&lt;=0,INDIRECT("Comparison!" &amp; C$2 &amp; "45",TRUE),"")</f>
        <v/>
      </c>
      <c r="E16" s="215" t="str" cm="1">
        <f t="array" aca="1" ref="E16" ca="1">IF(ROUND((TODAY()-IF(INDIRECT("Comparison!" &amp; C$2 &amp; "47",TRUE)="",TODAY(),INDIRECT("Comparison!" &amp; C$2 &amp; "57",TRUE)))/365.25,0)-$B16&lt;=0,INDIRECT("Comparison!" &amp; C$2 &amp; "46",TRUE),"")</f>
        <v/>
      </c>
      <c r="F16" s="215" t="str" cm="1">
        <f t="array" aca="1" ref="F16" ca="1">IF(ROUND((TODAY()-IF(INDIRECT("Comparison!" &amp; C$2 &amp; "47",TRUE)="",TODAY(),INDIRECT("Comparison!" &amp; C$2 &amp; "57",TRUE)))/365.25,0)-$B16&lt;=0,IF(INDIRECT("Comparison!" &amp; C$2 &amp; "8",TRUE)="Electric",Maintenance!$D12,IF(INDIRECT("Comparison!" &amp; C$2 &amp; "8",TRUE)="PHEV",Maintenance!$C12,Maintenance!$B12)),"")</f>
        <v/>
      </c>
      <c r="G16" s="215" t="str" cm="1">
        <f t="array" aca="1" ref="G16" ca="1">IF(ROUND((TODAY()-IF(INDIRECT("Comparison!" &amp; C$2 &amp; "47",TRUE)="",TODAY(),INDIRECT("Comparison!" &amp; C$2 &amp; "57",TRUE)))/365.25,0)-$B16&lt;=0,INDIRECT("Comparison!" &amp; C$2 &amp; "48",TRUE),"")</f>
        <v/>
      </c>
      <c r="H16" s="215" t="str" cm="1">
        <f t="array" aca="1" ref="H16" ca="1">IF(ROUND((TODAY()-IF(INDIRECT("Comparison!" &amp; C$2 &amp; "47",TRUE)="",TODAY(),INDIRECT("Comparison!" &amp; C$2 &amp; "57",TRUE)))/365.25,0)-$B16&lt;=0,INDEX(MRB!$C$3:$C$17,16-MATCH(INDIRECT("Comparison!"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"57",TRUE)))/365.25,0)-$B16+1),1),"")</f>
        <v/>
      </c>
      <c r="I16" s="215" t="str" cm="1">
        <f t="array" aca="1" ref="I16" ca="1">IF(ROUND((TODAY()-IF(INDIRECT("Comparison!" &amp; C$2 &amp; "47",TRUE)="",TODAY(),INDIRECT("Comparison!" &amp; C$2 &amp; "57",TRUE)))/365.25,0)-$B16&lt;=0,APK!$B11,"")</f>
        <v/>
      </c>
      <c r="J16" s="216" t="str" cm="1">
        <f t="array" aca="1" ref="J16" ca="1">IF(ROUND((TODAY()-IF(INDIRECT("Comparison!" &amp; C$2 &amp; "47",TRUE)="",TODAY(),INDIRECT("Comparison!" &amp; C$2 &amp; "57",TRUE)))/365.25,0)-$B16&lt;=0,INDIRECT("Comparison!" &amp; C$2 &amp; "51",TRUE),"")</f>
        <v/>
      </c>
      <c r="K16" s="197" t="str">
        <f t="shared" ca="1" si="0"/>
        <v/>
      </c>
    </row>
    <row r="17" spans="2:11" x14ac:dyDescent="0.35">
      <c r="B17" s="194">
        <v>10</v>
      </c>
      <c r="C17" s="214" cm="1">
        <f t="array" aca="1" ref="C17" ca="1">IF(ROUND((TODAY()-IF(INDIRECT("Comparison!" &amp; C$2 &amp; "47",TRUE)="",TODAY(),INDIRECT("Comparison!" &amp; C$2 &amp; "57",TRUE)))/365.25,0)-$B17=0,INDIRECT("Comparison!" &amp; C$2 &amp; "40",TRUE),IF(ROUND((TODAY()-IF(INDIRECT("Comparison!" &amp; C$2 &amp; "57",TRUE)="",TODAY(),INDIRECT("Comparison!" &amp; C$2 &amp; "57",TRUE)))/365.25,0)-B17&lt;0,0,""))</f>
        <v>6850</v>
      </c>
      <c r="D17" s="215" cm="1">
        <f t="array" aca="1" ref="D17" ca="1">IF(ROUND((TODAY()-IF(INDIRECT("Comparison!" &amp; C$2 &amp; "47",TRUE)="",TODAY(),INDIRECT("Comparison!" &amp; C$2 &amp; "57",TRUE)))/365.25,0)-$B17&lt;=0,INDIRECT("Comparison!" &amp; C$2 &amp; "45",TRUE),"")</f>
        <v>165.88800000000001</v>
      </c>
      <c r="E17" s="215" cm="1">
        <f t="array" aca="1" ref="E17" ca="1">IF(ROUND((TODAY()-IF(INDIRECT("Comparison!" &amp; C$2 &amp; "47",TRUE)="",TODAY(),INDIRECT("Comparison!" &amp; C$2 &amp; "57",TRUE)))/365.25,0)-$B17&lt;=0,INDIRECT("Comparison!" &amp; C$2 &amp; "46",TRUE),"")</f>
        <v>660</v>
      </c>
      <c r="F17" s="215" cm="1">
        <f t="array" aca="1" ref="F17" ca="1">IF(ROUND((TODAY()-IF(INDIRECT("Comparison!" &amp; C$2 &amp; "47",TRUE)="",TODAY(),INDIRECT("Comparison!" &amp; C$2 &amp; "57",TRUE)))/365.25,0)-$B17&lt;=0,IF(INDIRECT("Comparison!" &amp; C$2 &amp; "8",TRUE)="Electric",Maintenance!$D13,IF(INDIRECT("Comparison!" &amp; C$2 &amp; "8",TRUE)="PHEV",Maintenance!$C13,Maintenance!$B13)),"")</f>
        <v>220</v>
      </c>
      <c r="G17" s="215" cm="1">
        <f t="array" aca="1" ref="G17" ca="1">IF(ROUND((TODAY()-IF(INDIRECT("Comparison!" &amp; C$2 &amp; "47",TRUE)="",TODAY(),INDIRECT("Comparison!" &amp; C$2 &amp; "57",TRUE)))/365.25,0)-$B17&lt;=0,INDIRECT("Comparison!" &amp; C$2 &amp; "48",TRUE),"")</f>
        <v>90</v>
      </c>
      <c r="H17" s="215" cm="1">
        <f t="array" aca="1" ref="H17" ca="1">IF(ROUND((TODAY()-IF(INDIRECT("Comparison!" &amp; C$2 &amp; "47",TRUE)="",TODAY(),INDIRECT("Comparison!" &amp; C$2 &amp; "57",TRUE)))/365.25,0)-$B17&lt;=0,INDEX(MRB!$C$3:$C$17,16-MATCH(INDIRECT("Comparison!"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"57",TRUE)))/365.25,0)-$B17+1),1),"")</f>
        <v>0</v>
      </c>
      <c r="I17" s="215" cm="1">
        <f t="array" aca="1" ref="I17" ca="1">IF(ROUND((TODAY()-IF(INDIRECT("Comparison!" &amp; C$2 &amp; "47",TRUE)="",TODAY(),INDIRECT("Comparison!" &amp; C$2 &amp; "57",TRUE)))/365.25,0)-$B17&lt;=0,APK!$B12,"")</f>
        <v>40</v>
      </c>
      <c r="J17" s="216" cm="1">
        <f t="array" aca="1" ref="J17" ca="1">IF(ROUND((TODAY()-IF(INDIRECT("Comparison!" &amp; C$2 &amp; "47",TRUE)="",TODAY(),INDIRECT("Comparison!" &amp; C$2 &amp; "57",TRUE)))/365.25,0)-$B17&lt;=0,INDIRECT("Comparison!" &amp; C$2 &amp; "51",TRUE),"")</f>
        <v>-1247.3999999999999</v>
      </c>
      <c r="K17" s="197">
        <f t="shared" ca="1" si="0"/>
        <v>6778.4880000000003</v>
      </c>
    </row>
    <row r="18" spans="2:11" x14ac:dyDescent="0.35">
      <c r="B18" s="194">
        <v>11</v>
      </c>
      <c r="C18" s="214" cm="1">
        <f t="array" aca="1" ref="C18" ca="1">IF(ROUND((TODAY()-IF(INDIRECT("Comparison!" &amp; C$2 &amp; "47",TRUE)="",TODAY(),INDIRECT("Comparison!" &amp; C$2 &amp; "57",TRUE)))/365.25,0)-$B18=0,INDIRECT("Comparison!" &amp; C$2 &amp; "40",TRUE),IF(ROUND((TODAY()-IF(INDIRECT("Comparison!" &amp; C$2 &amp; "57",TRUE)="",TODAY(),INDIRECT("Comparison!" &amp; C$2 &amp; "57",TRUE)))/365.25,0)-B18&lt;0,0,""))</f>
        <v>0</v>
      </c>
      <c r="D18" s="215" cm="1">
        <f t="array" aca="1" ref="D18" ca="1">IF(ROUND((TODAY()-IF(INDIRECT("Comparison!" &amp; C$2 &amp; "47",TRUE)="",TODAY(),INDIRECT("Comparison!" &amp; C$2 &amp; "57",TRUE)))/365.25,0)-$B18&lt;=0,INDIRECT("Comparison!" &amp; C$2 &amp; "45",TRUE),"")</f>
        <v>165.88800000000001</v>
      </c>
      <c r="E18" s="215" cm="1">
        <f t="array" aca="1" ref="E18" ca="1">IF(ROUND((TODAY()-IF(INDIRECT("Comparison!" &amp; C$2 &amp; "47",TRUE)="",TODAY(),INDIRECT("Comparison!" &amp; C$2 &amp; "57",TRUE)))/365.25,0)-$B18&lt;=0,INDIRECT("Comparison!" &amp; C$2 &amp; "46",TRUE),"")</f>
        <v>660</v>
      </c>
      <c r="F18" s="215" cm="1">
        <f t="array" aca="1" ref="F18" ca="1">IF(ROUND((TODAY()-IF(INDIRECT("Comparison!" &amp; C$2 &amp; "47",TRUE)="",TODAY(),INDIRECT("Comparison!" &amp; C$2 &amp; "57",TRUE)))/365.25,0)-$B18&lt;=0,IF(INDIRECT("Comparison!" &amp; C$2 &amp; "8",TRUE)="Electric",Maintenance!$D14,IF(INDIRECT("Comparison!" &amp; C$2 &amp; "8",TRUE)="PHEV",Maintenance!$C14,Maintenance!$B14)),"")</f>
        <v>240</v>
      </c>
      <c r="G18" s="215" cm="1">
        <f t="array" aca="1" ref="G18" ca="1">IF(ROUND((TODAY()-IF(INDIRECT("Comparison!" &amp; C$2 &amp; "47",TRUE)="",TODAY(),INDIRECT("Comparison!" &amp; C$2 &amp; "57",TRUE)))/365.25,0)-$B18&lt;=0,INDIRECT("Comparison!" &amp; C$2 &amp; "48",TRUE),"")</f>
        <v>90</v>
      </c>
      <c r="H18" s="215" cm="1">
        <f t="array" aca="1" ref="H18" ca="1">IF(ROUND((TODAY()-IF(INDIRECT("Comparison!" &amp; C$2 &amp; "47",TRUE)="",TODAY(),INDIRECT("Comparison!" &amp; C$2 &amp; "57",TRUE)))/365.25,0)-$B18&lt;=0,INDEX(MRB!$C$3:$C$17,16-MATCH(INDIRECT("Comparison!"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"57",TRUE)))/365.25,0)-$B18+1),1),"")</f>
        <v>0</v>
      </c>
      <c r="I18" s="215" cm="1">
        <f t="array" aca="1" ref="I18" ca="1">IF(ROUND((TODAY()-IF(INDIRECT("Comparison!" &amp; C$2 &amp; "47",TRUE)="",TODAY(),INDIRECT("Comparison!" &amp; C$2 &amp; "57",TRUE)))/365.25,0)-$B18&lt;=0,APK!$B13,"")</f>
        <v>40</v>
      </c>
      <c r="J18" s="216" cm="1">
        <f t="array" aca="1" ref="J18" ca="1">IF(ROUND((TODAY()-IF(INDIRECT("Comparison!" &amp; C$2 &amp; "47",TRUE)="",TODAY(),INDIRECT("Comparison!" &amp; C$2 &amp; "57",TRUE)))/365.25,0)-$B18&lt;=0,INDIRECT("Comparison!" &amp; C$2 &amp; "51",TRUE),"")</f>
        <v>-1247.3999999999999</v>
      </c>
      <c r="K18" s="197">
        <f t="shared" ca="1" si="0"/>
        <v>-51.511999999999944</v>
      </c>
    </row>
    <row r="19" spans="2:11" x14ac:dyDescent="0.35">
      <c r="B19" s="194">
        <v>12</v>
      </c>
      <c r="C19" s="214" cm="1">
        <f t="array" aca="1" ref="C19" ca="1">IF(ROUND((TODAY()-IF(INDIRECT("Comparison!" &amp; C$2 &amp; "47",TRUE)="",TODAY(),INDIRECT("Comparison!" &amp; C$2 &amp; "57",TRUE)))/365.25,0)-$B19=0,INDIRECT("Comparison!" &amp; C$2 &amp; "40",TRUE),IF(ROUND((TODAY()-IF(INDIRECT("Comparison!" &amp; C$2 &amp; "57",TRUE)="",TODAY(),INDIRECT("Comparison!" &amp; C$2 &amp; "57",TRUE)))/365.25,0)-B19&lt;0,0,""))</f>
        <v>0</v>
      </c>
      <c r="D19" s="215" cm="1">
        <f t="array" aca="1" ref="D19" ca="1">IF(ROUND((TODAY()-IF(INDIRECT("Comparison!" &amp; C$2 &amp; "47",TRUE)="",TODAY(),INDIRECT("Comparison!" &amp; C$2 &amp; "57",TRUE)))/365.25,0)-$B19&lt;=0,INDIRECT("Comparison!" &amp; C$2 &amp; "45",TRUE),"")</f>
        <v>165.88800000000001</v>
      </c>
      <c r="E19" s="215" cm="1">
        <f t="array" aca="1" ref="E19" ca="1">IF(ROUND((TODAY()-IF(INDIRECT("Comparison!" &amp; C$2 &amp; "47",TRUE)="",TODAY(),INDIRECT("Comparison!" &amp; C$2 &amp; "57",TRUE)))/365.25,0)-$B19&lt;=0,INDIRECT("Comparison!" &amp; C$2 &amp; "46",TRUE),"")</f>
        <v>660</v>
      </c>
      <c r="F19" s="215" cm="1">
        <f t="array" aca="1" ref="F19" ca="1">IF(ROUND((TODAY()-IF(INDIRECT("Comparison!" &amp; C$2 &amp; "47",TRUE)="",TODAY(),INDIRECT("Comparison!" &amp; C$2 &amp; "57",TRUE)))/365.25,0)-$B19&lt;=0,IF(INDIRECT("Comparison!" &amp; C$2 &amp; "8",TRUE)="Electric",Maintenance!$D15,IF(INDIRECT("Comparison!" &amp; C$2 &amp; "8",TRUE)="PHEV",Maintenance!$C15,Maintenance!$B15)),"")</f>
        <v>260</v>
      </c>
      <c r="G19" s="215" cm="1">
        <f t="array" aca="1" ref="G19" ca="1">IF(ROUND((TODAY()-IF(INDIRECT("Comparison!" &amp; C$2 &amp; "47",TRUE)="",TODAY(),INDIRECT("Comparison!" &amp; C$2 &amp; "57",TRUE)))/365.25,0)-$B19&lt;=0,INDIRECT("Comparison!" &amp; C$2 &amp; "48",TRUE),"")</f>
        <v>90</v>
      </c>
      <c r="H19" s="215" cm="1">
        <f t="array" aca="1" ref="H19" ca="1">IF(ROUND((TODAY()-IF(INDIRECT("Comparison!" &amp; C$2 &amp; "47",TRUE)="",TODAY(),INDIRECT("Comparison!" &amp; C$2 &amp; "57",TRUE)))/365.25,0)-$B19&lt;=0,INDEX(MRB!$C$3:$C$17,16-MATCH(INDIRECT("Comparison!"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"57",TRUE)))/365.25,0)-$B19+1),1),"")</f>
        <v>352</v>
      </c>
      <c r="I19" s="215" cm="1">
        <f t="array" aca="1" ref="I19" ca="1">IF(ROUND((TODAY()-IF(INDIRECT("Comparison!" &amp; C$2 &amp; "47",TRUE)="",TODAY(),INDIRECT("Comparison!" &amp; C$2 &amp; "57",TRUE)))/365.25,0)-$B19&lt;=0,APK!$B14,"")</f>
        <v>40</v>
      </c>
      <c r="J19" s="216" cm="1">
        <f t="array" aca="1" ref="J19" ca="1">IF(ROUND((TODAY()-IF(INDIRECT("Comparison!" &amp; C$2 &amp; "47",TRUE)="",TODAY(),INDIRECT("Comparison!" &amp; C$2 &amp; "57",TRUE)))/365.25,0)-$B19&lt;=0,INDIRECT("Comparison!" &amp; C$2 &amp; "51",TRUE),"")</f>
        <v>-1247.3999999999999</v>
      </c>
      <c r="K19" s="197">
        <f t="shared" ca="1" si="0"/>
        <v>320.48800000000006</v>
      </c>
    </row>
    <row r="20" spans="2:11" x14ac:dyDescent="0.35">
      <c r="B20" s="194">
        <v>13</v>
      </c>
      <c r="C20" s="214" cm="1">
        <f t="array" aca="1" ref="C20" ca="1">IF(ROUND((TODAY()-IF(INDIRECT("Comparison!" &amp; C$2 &amp; "47",TRUE)="",TODAY(),INDIRECT("Comparison!" &amp; C$2 &amp; "57",TRUE)))/365.25,0)-$B20=0,INDIRECT("Comparison!" &amp; C$2 &amp; "40",TRUE),IF(ROUND((TODAY()-IF(INDIRECT("Comparison!" &amp; C$2 &amp; "57",TRUE)="",TODAY(),INDIRECT("Comparison!" &amp; C$2 &amp; "57",TRUE)))/365.25,0)-B20&lt;0,0,""))</f>
        <v>0</v>
      </c>
      <c r="D20" s="215" cm="1">
        <f t="array" aca="1" ref="D20" ca="1">IF(ROUND((TODAY()-IF(INDIRECT("Comparison!" &amp; C$2 &amp; "47",TRUE)="",TODAY(),INDIRECT("Comparison!" &amp; C$2 &amp; "57",TRUE)))/365.25,0)-$B20&lt;=0,INDIRECT("Comparison!" &amp; C$2 &amp; "45",TRUE),"")</f>
        <v>165.88800000000001</v>
      </c>
      <c r="E20" s="215" cm="1">
        <f t="array" aca="1" ref="E20" ca="1">IF(ROUND((TODAY()-IF(INDIRECT("Comparison!" &amp; C$2 &amp; "47",TRUE)="",TODAY(),INDIRECT("Comparison!" &amp; C$2 &amp; "57",TRUE)))/365.25,0)-$B20&lt;=0,INDIRECT("Comparison!" &amp; C$2 &amp; "46",TRUE),"")</f>
        <v>660</v>
      </c>
      <c r="F20" s="215" cm="1">
        <f t="array" aca="1" ref="F20" ca="1">IF(ROUND((TODAY()-IF(INDIRECT("Comparison!" &amp; C$2 &amp; "47",TRUE)="",TODAY(),INDIRECT("Comparison!" &amp; C$2 &amp; "57",TRUE)))/365.25,0)-$B20&lt;=0,IF(INDIRECT("Comparison!" &amp; C$2 &amp; "8",TRUE)="Electric",Maintenance!$D16,IF(INDIRECT("Comparison!" &amp; C$2 &amp; "8",TRUE)="PHEV",Maintenance!$C16,Maintenance!$B16)),"")</f>
        <v>280</v>
      </c>
      <c r="G20" s="215" cm="1">
        <f t="array" aca="1" ref="G20" ca="1">IF(ROUND((TODAY()-IF(INDIRECT("Comparison!" &amp; C$2 &amp; "47",TRUE)="",TODAY(),INDIRECT("Comparison!" &amp; C$2 &amp; "57",TRUE)))/365.25,0)-$B20&lt;=0,INDIRECT("Comparison!" &amp; C$2 &amp; "48",TRUE),"")</f>
        <v>90</v>
      </c>
      <c r="H20" s="215" cm="1">
        <f t="array" aca="1" ref="H20" ca="1">IF(ROUND((TODAY()-IF(INDIRECT("Comparison!" &amp; C$2 &amp; "47",TRUE)="",TODAY(),INDIRECT("Comparison!" &amp; C$2 &amp; "57",TRUE)))/365.25,0)-$B20&lt;=0,INDEX(MRB!$C$3:$C$17,16-MATCH(INDIRECT("Comparison!"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"57",TRUE)))/365.25,0)-$B20+1),1),"")</f>
        <v>352</v>
      </c>
      <c r="I20" s="215" cm="1">
        <f t="array" aca="1" ref="I20" ca="1">IF(ROUND((TODAY()-IF(INDIRECT("Comparison!" &amp; C$2 &amp; "47",TRUE)="",TODAY(),INDIRECT("Comparison!" &amp; C$2 &amp; "57",TRUE)))/365.25,0)-$B20&lt;=0,APK!$B15,"")</f>
        <v>40</v>
      </c>
      <c r="J20" s="216" cm="1">
        <f t="array" aca="1" ref="J20" ca="1">IF(ROUND((TODAY()-IF(INDIRECT("Comparison!" &amp; C$2 &amp; "47",TRUE)="",TODAY(),INDIRECT("Comparison!" &amp; C$2 &amp; "57",TRUE)))/365.25,0)-$B20&lt;=0,INDIRECT("Comparison!" &amp; C$2 &amp; "51",TRUE),"")</f>
        <v>-1247.3999999999999</v>
      </c>
      <c r="K20" s="197">
        <f t="shared" ca="1" si="0"/>
        <v>340.48800000000006</v>
      </c>
    </row>
    <row r="21" spans="2:11" ht="15" thickBot="1" x14ac:dyDescent="0.4">
      <c r="B21" s="195">
        <v>14</v>
      </c>
      <c r="C21" s="217" cm="1">
        <f t="array" aca="1" ref="C21" ca="1">-INDIRECT("Comparison!" &amp; C2 &amp; "42",TRUE)</f>
        <v>-2000</v>
      </c>
      <c r="D21" s="218"/>
      <c r="E21" s="218"/>
      <c r="F21" s="218"/>
      <c r="G21" s="218"/>
      <c r="H21" s="218"/>
      <c r="I21" s="218"/>
      <c r="J21" s="219"/>
      <c r="K21" s="198">
        <f t="shared" ca="1" si="0"/>
        <v>-2000</v>
      </c>
    </row>
    <row r="22" spans="2:11" x14ac:dyDescent="0.35">
      <c r="B22" s="207" t="s">
        <v>161</v>
      </c>
      <c r="C22" s="201">
        <f ca="1">IFERROR(SUM(C7:C21)/(COUNT(C7:C21)-1),"")</f>
        <v>1212.5</v>
      </c>
      <c r="D22" s="202">
        <f ca="1">IFERROR(SUM(D7:D21)/COUNT(D7:D21),"")</f>
        <v>165.88800000000001</v>
      </c>
      <c r="E22" s="202">
        <f t="shared" ref="E22:J22" ca="1" si="1">IFERROR(SUM(E7:E21)/COUNT(E7:E21),"")</f>
        <v>660</v>
      </c>
      <c r="F22" s="202">
        <f t="shared" ca="1" si="1"/>
        <v>250</v>
      </c>
      <c r="G22" s="202">
        <f t="shared" ca="1" si="1"/>
        <v>90</v>
      </c>
      <c r="H22" s="202">
        <f t="shared" ca="1" si="1"/>
        <v>176</v>
      </c>
      <c r="I22" s="202">
        <f t="shared" ca="1" si="1"/>
        <v>40</v>
      </c>
      <c r="J22" s="203">
        <f t="shared" ca="1" si="1"/>
        <v>-1247.3999999999999</v>
      </c>
      <c r="K22" s="199">
        <f t="shared" ref="K22" ca="1" si="2">SUM(K7:K21)/COUNT(K7:K21)</f>
        <v>1077.5904000000003</v>
      </c>
    </row>
    <row r="23" spans="2:11" ht="15" thickBot="1" x14ac:dyDescent="0.4">
      <c r="B23" s="208" t="s">
        <v>75</v>
      </c>
      <c r="C23" s="204">
        <f ca="1">SUM(C7:C21)</f>
        <v>4850</v>
      </c>
      <c r="D23" s="205">
        <f ca="1">SUM(D7:D21)</f>
        <v>663.55200000000002</v>
      </c>
      <c r="E23" s="205">
        <f t="shared" ref="E23:K23" ca="1" si="3">SUM(E7:E21)</f>
        <v>2640</v>
      </c>
      <c r="F23" s="205">
        <f t="shared" ca="1" si="3"/>
        <v>1000</v>
      </c>
      <c r="G23" s="205">
        <f t="shared" ca="1" si="3"/>
        <v>360</v>
      </c>
      <c r="H23" s="205">
        <f t="shared" ca="1" si="3"/>
        <v>704</v>
      </c>
      <c r="I23" s="205">
        <f t="shared" ca="1" si="3"/>
        <v>160</v>
      </c>
      <c r="J23" s="206">
        <f t="shared" ca="1" si="3"/>
        <v>-4989.5999999999995</v>
      </c>
      <c r="K23" s="200">
        <f t="shared" ca="1" si="3"/>
        <v>5387.9520000000011</v>
      </c>
    </row>
  </sheetData>
  <sheetProtection selectLockedCells="1"/>
  <mergeCells count="2">
    <mergeCell ref="C3:D3"/>
    <mergeCell ref="C4:D4"/>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7162D-1BE7-4827-AA72-9012D73F19FB}">
  <sheetPr codeName="Sheet7"/>
  <dimension ref="B1:D27"/>
  <sheetViews>
    <sheetView showGridLines="0" workbookViewId="0">
      <selection activeCell="C20" sqref="C20"/>
    </sheetView>
  </sheetViews>
  <sheetFormatPr defaultRowHeight="14.5" x14ac:dyDescent="0.35"/>
  <cols>
    <col min="2" max="2" width="60" bestFit="1" customWidth="1"/>
    <col min="3" max="3" width="29.453125" customWidth="1"/>
    <col min="4" max="4" width="76.81640625" bestFit="1" customWidth="1"/>
  </cols>
  <sheetData>
    <row r="1" spans="2:4" ht="15" thickBot="1" x14ac:dyDescent="0.4"/>
    <row r="2" spans="2:4" ht="15" thickBot="1" x14ac:dyDescent="0.4">
      <c r="B2" s="106" t="s">
        <v>168</v>
      </c>
      <c r="C2" s="107" t="s">
        <v>43</v>
      </c>
      <c r="D2" s="108" t="s">
        <v>169</v>
      </c>
    </row>
    <row r="3" spans="2:4" x14ac:dyDescent="0.35">
      <c r="B3" s="113" t="s">
        <v>186</v>
      </c>
      <c r="C3" s="109" t="s">
        <v>53</v>
      </c>
      <c r="D3" s="110" t="s">
        <v>187</v>
      </c>
    </row>
    <row r="4" spans="2:4" x14ac:dyDescent="0.35">
      <c r="B4" s="113" t="s">
        <v>186</v>
      </c>
      <c r="C4" s="109" t="s">
        <v>54</v>
      </c>
      <c r="D4" s="110" t="s">
        <v>188</v>
      </c>
    </row>
    <row r="5" spans="2:4" x14ac:dyDescent="0.35">
      <c r="B5" s="113" t="s">
        <v>174</v>
      </c>
      <c r="C5" s="109" t="s">
        <v>55</v>
      </c>
      <c r="D5" s="110" t="s">
        <v>175</v>
      </c>
    </row>
    <row r="6" spans="2:4" x14ac:dyDescent="0.35">
      <c r="B6" s="21" t="s">
        <v>178</v>
      </c>
      <c r="C6" s="109" t="s">
        <v>286</v>
      </c>
      <c r="D6" s="24" t="s">
        <v>288</v>
      </c>
    </row>
    <row r="7" spans="2:4" x14ac:dyDescent="0.35">
      <c r="B7" s="21" t="s">
        <v>178</v>
      </c>
      <c r="C7" s="111" t="s">
        <v>100</v>
      </c>
      <c r="D7" s="24" t="s">
        <v>287</v>
      </c>
    </row>
    <row r="8" spans="2:4" x14ac:dyDescent="0.35">
      <c r="B8" s="21"/>
      <c r="C8" s="111"/>
      <c r="D8" s="24"/>
    </row>
    <row r="9" spans="2:4" x14ac:dyDescent="0.35">
      <c r="B9" s="21" t="s">
        <v>180</v>
      </c>
      <c r="C9" s="111" t="s">
        <v>179</v>
      </c>
      <c r="D9" s="24" t="s">
        <v>181</v>
      </c>
    </row>
    <row r="10" spans="2:4" x14ac:dyDescent="0.35">
      <c r="B10" s="21" t="s">
        <v>173</v>
      </c>
      <c r="C10" s="111" t="s">
        <v>163</v>
      </c>
      <c r="D10" s="24" t="s">
        <v>176</v>
      </c>
    </row>
    <row r="11" spans="2:4" x14ac:dyDescent="0.35">
      <c r="B11" s="21" t="s">
        <v>177</v>
      </c>
      <c r="C11" s="111" t="s">
        <v>99</v>
      </c>
      <c r="D11" s="24" t="s">
        <v>182</v>
      </c>
    </row>
    <row r="12" spans="2:4" x14ac:dyDescent="0.35">
      <c r="B12" s="21" t="s">
        <v>185</v>
      </c>
      <c r="C12" s="111" t="s">
        <v>183</v>
      </c>
      <c r="D12" s="24" t="s">
        <v>184</v>
      </c>
    </row>
    <row r="13" spans="2:4" x14ac:dyDescent="0.35">
      <c r="B13" s="21" t="s">
        <v>222</v>
      </c>
      <c r="C13" s="111" t="s">
        <v>223</v>
      </c>
      <c r="D13" s="24" t="s">
        <v>224</v>
      </c>
    </row>
    <row r="14" spans="2:4" x14ac:dyDescent="0.35">
      <c r="B14" s="21"/>
      <c r="C14" s="111"/>
      <c r="D14" s="24"/>
    </row>
    <row r="15" spans="2:4" x14ac:dyDescent="0.35">
      <c r="B15" s="21" t="s">
        <v>172</v>
      </c>
      <c r="C15" s="111" t="s">
        <v>170</v>
      </c>
      <c r="D15" s="24" t="s">
        <v>171</v>
      </c>
    </row>
    <row r="16" spans="2:4" x14ac:dyDescent="0.35">
      <c r="B16" s="114"/>
      <c r="C16" s="115"/>
      <c r="D16" s="116"/>
    </row>
    <row r="17" spans="2:4" x14ac:dyDescent="0.35">
      <c r="B17" s="114" t="s">
        <v>189</v>
      </c>
      <c r="C17" s="115" t="s">
        <v>158</v>
      </c>
      <c r="D17" s="116" t="s">
        <v>285</v>
      </c>
    </row>
    <row r="18" spans="2:4" x14ac:dyDescent="0.35">
      <c r="B18" s="114"/>
      <c r="C18" s="115"/>
      <c r="D18" s="116"/>
    </row>
    <row r="19" spans="2:4" x14ac:dyDescent="0.35">
      <c r="B19" s="114" t="s">
        <v>191</v>
      </c>
      <c r="C19" s="115" t="s">
        <v>154</v>
      </c>
      <c r="D19" s="116" t="s">
        <v>197</v>
      </c>
    </row>
    <row r="20" spans="2:4" x14ac:dyDescent="0.35">
      <c r="B20" s="114" t="s">
        <v>194</v>
      </c>
      <c r="C20" s="115" t="s">
        <v>156</v>
      </c>
      <c r="D20" s="116" t="s">
        <v>197</v>
      </c>
    </row>
    <row r="21" spans="2:4" x14ac:dyDescent="0.35">
      <c r="B21" s="114" t="s">
        <v>213</v>
      </c>
      <c r="C21" s="115" t="s">
        <v>212</v>
      </c>
      <c r="D21" s="116" t="s">
        <v>249</v>
      </c>
    </row>
    <row r="22" spans="2:4" x14ac:dyDescent="0.35">
      <c r="B22" s="114" t="s">
        <v>190</v>
      </c>
      <c r="C22" s="115" t="s">
        <v>151</v>
      </c>
      <c r="D22" s="116" t="s">
        <v>197</v>
      </c>
    </row>
    <row r="23" spans="2:4" x14ac:dyDescent="0.35">
      <c r="B23" s="114" t="s">
        <v>192</v>
      </c>
      <c r="C23" s="115" t="s">
        <v>152</v>
      </c>
      <c r="D23" s="116" t="s">
        <v>197</v>
      </c>
    </row>
    <row r="24" spans="2:4" x14ac:dyDescent="0.35">
      <c r="B24" s="114" t="s">
        <v>196</v>
      </c>
      <c r="C24" s="115" t="s">
        <v>153</v>
      </c>
      <c r="D24" s="116" t="s">
        <v>197</v>
      </c>
    </row>
    <row r="25" spans="2:4" x14ac:dyDescent="0.35">
      <c r="B25" s="114" t="s">
        <v>193</v>
      </c>
      <c r="C25" s="115" t="s">
        <v>155</v>
      </c>
      <c r="D25" s="116" t="s">
        <v>197</v>
      </c>
    </row>
    <row r="26" spans="2:4" x14ac:dyDescent="0.35">
      <c r="B26" s="114" t="s">
        <v>195</v>
      </c>
      <c r="C26" s="115" t="s">
        <v>157</v>
      </c>
      <c r="D26" s="116" t="s">
        <v>197</v>
      </c>
    </row>
    <row r="27" spans="2:4" ht="15" thickBot="1" x14ac:dyDescent="0.4">
      <c r="B27" s="20"/>
      <c r="C27" s="112"/>
      <c r="D27" s="25"/>
    </row>
  </sheetData>
  <hyperlinks>
    <hyperlink ref="C5" r:id="rId1" xr:uid="{4AF75B00-93C0-4CA4-8ACE-97390F56EBCE}"/>
    <hyperlink ref="C15" r:id="rId2" xr:uid="{08F43B8F-6113-4829-9B8F-EE22201AD472}"/>
    <hyperlink ref="C10" r:id="rId3" xr:uid="{06516EF3-8AC7-44D7-B8D1-451BD5329678}"/>
    <hyperlink ref="C11" r:id="rId4" xr:uid="{3D3C0B9F-185D-4AF0-9974-DEA8F55F763C}"/>
    <hyperlink ref="C7" r:id="rId5" xr:uid="{0074B2CE-EE4E-495F-8E0B-D8F975D6F835}"/>
    <hyperlink ref="C9" r:id="rId6" xr:uid="{724B0F3F-31A9-47F0-992A-4D755C451AA4}"/>
    <hyperlink ref="C12" r:id="rId7" xr:uid="{4033181A-3D6D-4197-A1BA-C2E6E4D99E42}"/>
    <hyperlink ref="C4" r:id="rId8" xr:uid="{FD0F8F4F-D270-4380-B593-C8E31A89663A}"/>
    <hyperlink ref="C24" r:id="rId9" xr:uid="{C2A5564A-8E61-43D1-A794-B84D8F13AE26}"/>
    <hyperlink ref="C3" r:id="rId10" xr:uid="{D523DE67-B3FA-4417-97CD-0E93C14B151F}"/>
    <hyperlink ref="C17" r:id="rId11" location="/request" xr:uid="{0C0B53D8-2F1B-42E2-9C0C-EA63C3CAE039}"/>
    <hyperlink ref="C22" r:id="rId12" xr:uid="{D4FD330E-2991-449C-A2B4-AFC77F6DD7D5}"/>
    <hyperlink ref="C19" r:id="rId13" xr:uid="{664F923B-E2A0-4094-9775-C372F3BB9BE5}"/>
    <hyperlink ref="C23" r:id="rId14" xr:uid="{94519E6E-97D4-4960-B455-61F12EADAFE7}"/>
    <hyperlink ref="C25" r:id="rId15" xr:uid="{5DA8A988-D293-4CF5-AFAC-1CD4904FC3E9}"/>
    <hyperlink ref="C20" r:id="rId16" xr:uid="{256F66D3-2432-4EDB-A982-62A923E76594}"/>
    <hyperlink ref="C26" r:id="rId17" xr:uid="{19606D80-05F4-4DAF-B4EB-88B4FF3A1724}"/>
    <hyperlink ref="C21" r:id="rId18" xr:uid="{8DB23885-8D4F-4C69-8DDC-517C12719D70}"/>
    <hyperlink ref="C13" r:id="rId19" xr:uid="{E127A8A0-95D0-4338-9242-E940917F91D7}"/>
    <hyperlink ref="C6" r:id="rId20" xr:uid="{C40583B3-491A-415D-A264-23D35EE77C88}"/>
  </hyperlinks>
  <pageMargins left="0.7" right="0.7" top="0.75" bottom="0.75" header="0.3" footer="0.3"/>
  <pageSetup paperSize="9" orientation="portrait" r:id="rId21"/>
</worksheet>
</file>

<file path=docMetadata/LabelInfo.xml><?xml version="1.0" encoding="utf-8"?>
<clbl:labelList xmlns:clbl="http://schemas.microsoft.com/office/2020/mipLabelMetadata">
  <clbl:label id="{3976fa30-1907-4356-8241-62ea5e1c0256}" enabled="1" method="Standard" siteId="{9a5cacd0-2bef-4dd7-ac5c-7ebe1f54f495}"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Instructions</vt:lpstr>
      <vt:lpstr>Usage and energy</vt:lpstr>
      <vt:lpstr>Comparison</vt:lpstr>
      <vt:lpstr>Import</vt:lpstr>
      <vt:lpstr>Maintenance</vt:lpstr>
      <vt:lpstr>MRB</vt:lpstr>
      <vt:lpstr>APK</vt:lpstr>
      <vt:lpstr>Travel allowance</vt:lpstr>
      <vt:lpstr>Cost per year</vt:lpstr>
      <vt:lpstr>Links</vt:lpstr>
      <vt:lpstr>At_work_price</vt:lpstr>
      <vt:lpstr>Commuting_km</vt:lpstr>
      <vt:lpstr>Extra_urban_km</vt:lpstr>
      <vt:lpstr>Off_peak_charge</vt:lpstr>
      <vt:lpstr>Off_peak_price</vt:lpstr>
      <vt:lpstr>Parking_permit</vt:lpstr>
      <vt:lpstr>Peak_charge</vt:lpstr>
      <vt:lpstr>Peak_price</vt:lpstr>
      <vt:lpstr>Petrol_price</vt:lpstr>
      <vt:lpstr>Urban_km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Marin</dc:creator>
  <cp:lastModifiedBy>Pablo Marin</cp:lastModifiedBy>
  <dcterms:created xsi:type="dcterms:W3CDTF">2022-04-09T19:01:31Z</dcterms:created>
  <dcterms:modified xsi:type="dcterms:W3CDTF">2023-04-11T16:25:58Z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976fa30-1907-4356-8241-62ea5e1c0256_Enabled">
    <vt:lpwstr>true</vt:lpwstr>
  </property>
  <property fmtid="{D5CDD505-2E9C-101B-9397-08002B2CF9AE}" pid="3" name="MSIP_Label_3976fa30-1907-4356-8241-62ea5e1c0256_SetDate">
    <vt:lpwstr>2022-10-31T14:50:57Z</vt:lpwstr>
  </property>
  <property fmtid="{D5CDD505-2E9C-101B-9397-08002B2CF9AE}" pid="4" name="MSIP_Label_3976fa30-1907-4356-8241-62ea5e1c0256_Method">
    <vt:lpwstr>Standard</vt:lpwstr>
  </property>
  <property fmtid="{D5CDD505-2E9C-101B-9397-08002B2CF9AE}" pid="5" name="MSIP_Label_3976fa30-1907-4356-8241-62ea5e1c0256_Name">
    <vt:lpwstr>ESA UNCLASSIFIED – For ESA Official Use Only</vt:lpwstr>
  </property>
  <property fmtid="{D5CDD505-2E9C-101B-9397-08002B2CF9AE}" pid="6" name="MSIP_Label_3976fa30-1907-4356-8241-62ea5e1c0256_SiteId">
    <vt:lpwstr>9a5cacd0-2bef-4dd7-ac5c-7ebe1f54f495</vt:lpwstr>
  </property>
  <property fmtid="{D5CDD505-2E9C-101B-9397-08002B2CF9AE}" pid="7" name="MSIP_Label_3976fa30-1907-4356-8241-62ea5e1c0256_ActionId">
    <vt:lpwstr>984ea1bd-6a45-4eef-b02e-52ab49c691b9</vt:lpwstr>
  </property>
  <property fmtid="{D5CDD505-2E9C-101B-9397-08002B2CF9AE}" pid="8" name="MSIP_Label_3976fa30-1907-4356-8241-62ea5e1c0256_ContentBits">
    <vt:lpwstr>0</vt:lpwstr>
  </property>
</Properties>
</file>