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blo.Marin\Downloads\"/>
    </mc:Choice>
  </mc:AlternateContent>
  <xr:revisionPtr revIDLastSave="0" documentId="13_ncr:1_{29853FEA-7DB5-4B52-ACFC-097E1A6D219E}" xr6:coauthVersionLast="47" xr6:coauthVersionMax="47" xr10:uidLastSave="{00000000-0000-0000-0000-000000000000}"/>
  <bookViews>
    <workbookView xWindow="-110" yWindow="-110" windowWidth="38620" windowHeight="21100" xr2:uid="{8FDD10F0-C759-4E27-8885-9746AB5DA979}"/>
  </bookViews>
  <sheets>
    <sheet name="Usage and energy" sheetId="4" r:id="rId1"/>
    <sheet name="Comparison" sheetId="2" r:id="rId2"/>
    <sheet name="Maintenance" sheetId="9" r:id="rId3"/>
    <sheet name="MRB" sheetId="15" r:id="rId4"/>
    <sheet name="APK" sheetId="10" r:id="rId5"/>
    <sheet name="Links" sheetId="3" r:id="rId6"/>
    <sheet name="Import" sheetId="13" r:id="rId7"/>
  </sheets>
  <definedNames>
    <definedName name="At_work_price">'Usage and energy'!$C$12</definedName>
    <definedName name="Commuting_km">'Usage and energy'!$C$3</definedName>
    <definedName name="Extra_urban_km">'Usage and energy'!$C$5</definedName>
    <definedName name="Off_peak_charge">'Usage and energy'!$G$10</definedName>
    <definedName name="Off_peak_price">'Usage and energy'!$C$10</definedName>
    <definedName name="Parking_permit">'Usage and energy'!$C$15</definedName>
    <definedName name="Peak_charge">'Usage and energy'!$G$11</definedName>
    <definedName name="Peak_price">'Usage and energy'!$C$11</definedName>
    <definedName name="Petrol_price">'Usage and energy'!$C$9</definedName>
    <definedName name="Travel_allowance">'Usage and energy'!$G$4</definedName>
    <definedName name="Travel_allowance_rate">'Usage and energy'!$G$3</definedName>
    <definedName name="Urban_km">'Usage and energy'!$C$4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2" l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C41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3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70" i="2"/>
  <c r="H51" i="2" l="1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H49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D43" i="2"/>
  <c r="D51" i="2" s="1"/>
  <c r="E43" i="2"/>
  <c r="E51" i="2" s="1"/>
  <c r="F43" i="2"/>
  <c r="F49" i="2" s="1"/>
  <c r="G43" i="2"/>
  <c r="G49" i="2" s="1"/>
  <c r="H43" i="2"/>
  <c r="I43" i="2"/>
  <c r="I49" i="2" s="1"/>
  <c r="J43" i="2"/>
  <c r="J51" i="2" s="1"/>
  <c r="K43" i="2"/>
  <c r="K51" i="2" s="1"/>
  <c r="L43" i="2"/>
  <c r="L49" i="2" s="1"/>
  <c r="M43" i="2"/>
  <c r="M51" i="2" s="1"/>
  <c r="N43" i="2"/>
  <c r="N49" i="2" s="1"/>
  <c r="O43" i="2"/>
  <c r="O49" i="2" s="1"/>
  <c r="P43" i="2"/>
  <c r="P51" i="2" s="1"/>
  <c r="Q43" i="2"/>
  <c r="Q49" i="2" s="1"/>
  <c r="R43" i="2"/>
  <c r="R51" i="2" s="1"/>
  <c r="S43" i="2"/>
  <c r="S51" i="2" s="1"/>
  <c r="T43" i="2"/>
  <c r="T49" i="2" s="1"/>
  <c r="U43" i="2"/>
  <c r="U51" i="2" s="1"/>
  <c r="V43" i="2"/>
  <c r="V49" i="2" s="1"/>
  <c r="G4" i="4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G6" i="15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H6" i="15"/>
  <c r="I6" i="15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J6" i="15"/>
  <c r="K6" i="15"/>
  <c r="L6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N6" i="15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O6" i="15"/>
  <c r="O7" i="15" s="1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P6" i="15"/>
  <c r="Q6" i="15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R6" i="15"/>
  <c r="S6" i="15"/>
  <c r="T6" i="15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J7" i="15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K7" i="15"/>
  <c r="L7" i="15"/>
  <c r="P7" i="15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R7" i="15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S7" i="15"/>
  <c r="T7" i="15"/>
  <c r="K8" i="15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L8" i="15"/>
  <c r="S8" i="15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T8" i="15"/>
  <c r="L9" i="15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T9" i="15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G5" i="15"/>
  <c r="G23" i="15" s="1"/>
  <c r="H5" i="15"/>
  <c r="I5" i="15"/>
  <c r="J5" i="15"/>
  <c r="K5" i="15"/>
  <c r="L5" i="15"/>
  <c r="M5" i="15"/>
  <c r="N5" i="15"/>
  <c r="O5" i="15"/>
  <c r="O23" i="15" s="1"/>
  <c r="P5" i="15"/>
  <c r="Q5" i="15"/>
  <c r="R5" i="15"/>
  <c r="S5" i="15"/>
  <c r="T5" i="15"/>
  <c r="F5" i="15"/>
  <c r="C47" i="2"/>
  <c r="B71" i="2"/>
  <c r="B72" i="2"/>
  <c r="B73" i="2"/>
  <c r="B74" i="2"/>
  <c r="E94" i="2" s="1"/>
  <c r="E114" i="2" s="1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70" i="2"/>
  <c r="C43" i="2"/>
  <c r="C51" i="2" s="1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M23" i="15"/>
  <c r="L51" i="2" l="1"/>
  <c r="I51" i="2"/>
  <c r="D49" i="2"/>
  <c r="T51" i="2"/>
  <c r="Q51" i="2"/>
  <c r="O51" i="2"/>
  <c r="G51" i="2"/>
  <c r="V51" i="2"/>
  <c r="N51" i="2"/>
  <c r="F51" i="2"/>
  <c r="U49" i="2"/>
  <c r="M49" i="2"/>
  <c r="E49" i="2"/>
  <c r="S49" i="2"/>
  <c r="K49" i="2"/>
  <c r="R49" i="2"/>
  <c r="J49" i="2"/>
  <c r="P49" i="2"/>
  <c r="V93" i="2"/>
  <c r="V113" i="2" s="1"/>
  <c r="L107" i="2"/>
  <c r="L127" i="2" s="1"/>
  <c r="E99" i="2"/>
  <c r="E119" i="2" s="1"/>
  <c r="L91" i="2"/>
  <c r="L111" i="2" s="1"/>
  <c r="J105" i="2"/>
  <c r="J125" i="2" s="1"/>
  <c r="E102" i="2"/>
  <c r="E122" i="2" s="1"/>
  <c r="R98" i="2"/>
  <c r="R118" i="2" s="1"/>
  <c r="L97" i="2"/>
  <c r="L117" i="2" s="1"/>
  <c r="P96" i="2"/>
  <c r="P116" i="2" s="1"/>
  <c r="E103" i="2"/>
  <c r="E123" i="2" s="1"/>
  <c r="H95" i="2"/>
  <c r="H115" i="2" s="1"/>
  <c r="L90" i="2"/>
  <c r="L110" i="2" s="1"/>
  <c r="R103" i="2"/>
  <c r="R123" i="2" s="1"/>
  <c r="T99" i="2"/>
  <c r="T119" i="2" s="1"/>
  <c r="J102" i="2"/>
  <c r="J122" i="2" s="1"/>
  <c r="J96" i="2"/>
  <c r="J116" i="2" s="1"/>
  <c r="N95" i="2"/>
  <c r="N115" i="2" s="1"/>
  <c r="T103" i="2"/>
  <c r="T123" i="2" s="1"/>
  <c r="L94" i="2"/>
  <c r="L114" i="2" s="1"/>
  <c r="H94" i="2"/>
  <c r="H114" i="2" s="1"/>
  <c r="V102" i="2"/>
  <c r="V122" i="2" s="1"/>
  <c r="E91" i="2"/>
  <c r="E111" i="2" s="1"/>
  <c r="H102" i="2"/>
  <c r="H122" i="2" s="1"/>
  <c r="N99" i="2"/>
  <c r="N119" i="2" s="1"/>
  <c r="L93" i="2"/>
  <c r="L113" i="2" s="1"/>
  <c r="H103" i="2"/>
  <c r="H123" i="2" s="1"/>
  <c r="U101" i="2"/>
  <c r="U121" i="2" s="1"/>
  <c r="V91" i="2"/>
  <c r="V111" i="2" s="1"/>
  <c r="N100" i="2"/>
  <c r="N120" i="2" s="1"/>
  <c r="V100" i="2"/>
  <c r="V120" i="2" s="1"/>
  <c r="U100" i="2"/>
  <c r="U120" i="2" s="1"/>
  <c r="R100" i="2"/>
  <c r="R120" i="2" s="1"/>
  <c r="T100" i="2"/>
  <c r="T120" i="2" s="1"/>
  <c r="E100" i="2"/>
  <c r="E120" i="2" s="1"/>
  <c r="H100" i="2"/>
  <c r="H120" i="2" s="1"/>
  <c r="J100" i="2"/>
  <c r="J120" i="2" s="1"/>
  <c r="L100" i="2"/>
  <c r="L120" i="2" s="1"/>
  <c r="E105" i="2"/>
  <c r="E125" i="2" s="1"/>
  <c r="V105" i="2"/>
  <c r="V125" i="2" s="1"/>
  <c r="U105" i="2"/>
  <c r="U125" i="2" s="1"/>
  <c r="H105" i="2"/>
  <c r="H125" i="2" s="1"/>
  <c r="R105" i="2"/>
  <c r="R125" i="2" s="1"/>
  <c r="L105" i="2"/>
  <c r="L125" i="2" s="1"/>
  <c r="N105" i="2"/>
  <c r="N125" i="2" s="1"/>
  <c r="P105" i="2"/>
  <c r="P125" i="2" s="1"/>
  <c r="T105" i="2"/>
  <c r="T125" i="2" s="1"/>
  <c r="H104" i="2"/>
  <c r="H124" i="2" s="1"/>
  <c r="U104" i="2"/>
  <c r="U124" i="2" s="1"/>
  <c r="J104" i="2"/>
  <c r="J124" i="2" s="1"/>
  <c r="P104" i="2"/>
  <c r="P124" i="2" s="1"/>
  <c r="R104" i="2"/>
  <c r="R124" i="2" s="1"/>
  <c r="E104" i="2"/>
  <c r="E124" i="2" s="1"/>
  <c r="T104" i="2"/>
  <c r="T124" i="2" s="1"/>
  <c r="V104" i="2"/>
  <c r="V124" i="2" s="1"/>
  <c r="P106" i="2"/>
  <c r="P126" i="2" s="1"/>
  <c r="L104" i="2"/>
  <c r="L124" i="2" s="1"/>
  <c r="N90" i="2"/>
  <c r="N110" i="2" s="1"/>
  <c r="V90" i="2"/>
  <c r="V110" i="2" s="1"/>
  <c r="U90" i="2"/>
  <c r="U110" i="2" s="1"/>
  <c r="E90" i="2"/>
  <c r="E110" i="2" s="1"/>
  <c r="P90" i="2"/>
  <c r="P110" i="2" s="1"/>
  <c r="H90" i="2"/>
  <c r="H110" i="2" s="1"/>
  <c r="R90" i="2"/>
  <c r="R110" i="2" s="1"/>
  <c r="T90" i="2"/>
  <c r="T110" i="2" s="1"/>
  <c r="J90" i="2"/>
  <c r="J110" i="2" s="1"/>
  <c r="N98" i="2"/>
  <c r="N118" i="2" s="1"/>
  <c r="V98" i="2"/>
  <c r="V118" i="2" s="1"/>
  <c r="E98" i="2"/>
  <c r="E118" i="2" s="1"/>
  <c r="P98" i="2"/>
  <c r="P118" i="2" s="1"/>
  <c r="U98" i="2"/>
  <c r="U118" i="2" s="1"/>
  <c r="T98" i="2"/>
  <c r="T118" i="2" s="1"/>
  <c r="H98" i="2"/>
  <c r="H118" i="2" s="1"/>
  <c r="J98" i="2"/>
  <c r="J118" i="2" s="1"/>
  <c r="J97" i="2"/>
  <c r="J117" i="2" s="1"/>
  <c r="R97" i="2"/>
  <c r="R117" i="2" s="1"/>
  <c r="E97" i="2"/>
  <c r="E117" i="2" s="1"/>
  <c r="N97" i="2"/>
  <c r="N117" i="2" s="1"/>
  <c r="U97" i="2"/>
  <c r="U117" i="2" s="1"/>
  <c r="T97" i="2"/>
  <c r="T117" i="2" s="1"/>
  <c r="V97" i="2"/>
  <c r="V117" i="2" s="1"/>
  <c r="H97" i="2"/>
  <c r="H117" i="2" s="1"/>
  <c r="N96" i="2"/>
  <c r="N116" i="2" s="1"/>
  <c r="V96" i="2"/>
  <c r="V116" i="2" s="1"/>
  <c r="L96" i="2"/>
  <c r="L116" i="2" s="1"/>
  <c r="U96" i="2"/>
  <c r="U116" i="2" s="1"/>
  <c r="R96" i="2"/>
  <c r="R116" i="2" s="1"/>
  <c r="T96" i="2"/>
  <c r="T116" i="2" s="1"/>
  <c r="E96" i="2"/>
  <c r="E116" i="2" s="1"/>
  <c r="H96" i="2"/>
  <c r="H116" i="2" s="1"/>
  <c r="N104" i="2"/>
  <c r="N124" i="2" s="1"/>
  <c r="T107" i="2"/>
  <c r="T127" i="2" s="1"/>
  <c r="L98" i="2"/>
  <c r="L118" i="2" s="1"/>
  <c r="J106" i="2"/>
  <c r="J126" i="2" s="1"/>
  <c r="R106" i="2"/>
  <c r="R126" i="2" s="1"/>
  <c r="U106" i="2"/>
  <c r="U126" i="2" s="1"/>
  <c r="E106" i="2"/>
  <c r="E126" i="2" s="1"/>
  <c r="L106" i="2"/>
  <c r="L126" i="2" s="1"/>
  <c r="T106" i="2"/>
  <c r="T126" i="2" s="1"/>
  <c r="N106" i="2"/>
  <c r="N126" i="2" s="1"/>
  <c r="V106" i="2"/>
  <c r="V126" i="2" s="1"/>
  <c r="H106" i="2"/>
  <c r="H126" i="2" s="1"/>
  <c r="H101" i="2"/>
  <c r="H121" i="2" s="1"/>
  <c r="P97" i="2"/>
  <c r="P117" i="2" s="1"/>
  <c r="N92" i="2"/>
  <c r="N112" i="2" s="1"/>
  <c r="V92" i="2"/>
  <c r="V112" i="2" s="1"/>
  <c r="H92" i="2"/>
  <c r="H112" i="2" s="1"/>
  <c r="R92" i="2"/>
  <c r="R112" i="2" s="1"/>
  <c r="U92" i="2"/>
  <c r="U112" i="2" s="1"/>
  <c r="J92" i="2"/>
  <c r="J112" i="2" s="1"/>
  <c r="E92" i="2"/>
  <c r="E112" i="2" s="1"/>
  <c r="L92" i="2"/>
  <c r="L112" i="2" s="1"/>
  <c r="P92" i="2"/>
  <c r="P112" i="2" s="1"/>
  <c r="T92" i="2"/>
  <c r="T112" i="2" s="1"/>
  <c r="P100" i="2"/>
  <c r="P120" i="2" s="1"/>
  <c r="O102" i="2"/>
  <c r="O122" i="2" s="1"/>
  <c r="P103" i="2"/>
  <c r="P123" i="2" s="1"/>
  <c r="J103" i="2"/>
  <c r="J123" i="2" s="1"/>
  <c r="L103" i="2"/>
  <c r="L123" i="2" s="1"/>
  <c r="J95" i="2"/>
  <c r="J115" i="2" s="1"/>
  <c r="R95" i="2"/>
  <c r="R115" i="2" s="1"/>
  <c r="L95" i="2"/>
  <c r="L115" i="2" s="1"/>
  <c r="V95" i="2"/>
  <c r="V115" i="2" s="1"/>
  <c r="E107" i="2"/>
  <c r="E127" i="2" s="1"/>
  <c r="N103" i="2"/>
  <c r="N123" i="2" s="1"/>
  <c r="L99" i="2"/>
  <c r="L119" i="2" s="1"/>
  <c r="E93" i="2"/>
  <c r="E113" i="2" s="1"/>
  <c r="N91" i="2"/>
  <c r="N111" i="2" s="1"/>
  <c r="F102" i="2"/>
  <c r="F122" i="2" s="1"/>
  <c r="M102" i="2"/>
  <c r="M122" i="2" s="1"/>
  <c r="I102" i="2"/>
  <c r="I122" i="2" s="1"/>
  <c r="R102" i="2"/>
  <c r="R122" i="2" s="1"/>
  <c r="K102" i="2"/>
  <c r="K122" i="2" s="1"/>
  <c r="T102" i="2"/>
  <c r="T122" i="2" s="1"/>
  <c r="D102" i="2"/>
  <c r="D122" i="2" s="1"/>
  <c r="N102" i="2"/>
  <c r="N122" i="2" s="1"/>
  <c r="N94" i="2"/>
  <c r="N114" i="2" s="1"/>
  <c r="V94" i="2"/>
  <c r="V114" i="2" s="1"/>
  <c r="J94" i="2"/>
  <c r="J114" i="2" s="1"/>
  <c r="T94" i="2"/>
  <c r="T114" i="2" s="1"/>
  <c r="H99" i="2"/>
  <c r="H119" i="2" s="1"/>
  <c r="E95" i="2"/>
  <c r="E115" i="2" s="1"/>
  <c r="J101" i="2"/>
  <c r="J121" i="2" s="1"/>
  <c r="J93" i="2"/>
  <c r="J113" i="2" s="1"/>
  <c r="R93" i="2"/>
  <c r="R113" i="2" s="1"/>
  <c r="H93" i="2"/>
  <c r="H113" i="2" s="1"/>
  <c r="T93" i="2"/>
  <c r="T113" i="2" s="1"/>
  <c r="P102" i="2"/>
  <c r="P122" i="2" s="1"/>
  <c r="E101" i="2"/>
  <c r="E121" i="2" s="1"/>
  <c r="T95" i="2"/>
  <c r="T115" i="2" s="1"/>
  <c r="R94" i="2"/>
  <c r="R114" i="2" s="1"/>
  <c r="P93" i="2"/>
  <c r="P113" i="2" s="1"/>
  <c r="N107" i="2"/>
  <c r="N127" i="2" s="1"/>
  <c r="V107" i="2"/>
  <c r="V127" i="2" s="1"/>
  <c r="H107" i="2"/>
  <c r="H127" i="2" s="1"/>
  <c r="P107" i="2"/>
  <c r="P127" i="2" s="1"/>
  <c r="J107" i="2"/>
  <c r="J127" i="2" s="1"/>
  <c r="R107" i="2"/>
  <c r="R127" i="2" s="1"/>
  <c r="J99" i="2"/>
  <c r="J119" i="2" s="1"/>
  <c r="R99" i="2"/>
  <c r="R119" i="2" s="1"/>
  <c r="P99" i="2"/>
  <c r="P119" i="2" s="1"/>
  <c r="J91" i="2"/>
  <c r="J111" i="2" s="1"/>
  <c r="R91" i="2"/>
  <c r="R111" i="2" s="1"/>
  <c r="P91" i="2"/>
  <c r="P111" i="2" s="1"/>
  <c r="H91" i="2"/>
  <c r="H111" i="2" s="1"/>
  <c r="T91" i="2"/>
  <c r="T111" i="2" s="1"/>
  <c r="U91" i="2"/>
  <c r="U111" i="2" s="1"/>
  <c r="V103" i="2"/>
  <c r="V123" i="2" s="1"/>
  <c r="L102" i="2"/>
  <c r="L122" i="2" s="1"/>
  <c r="V99" i="2"/>
  <c r="V119" i="2" s="1"/>
  <c r="P95" i="2"/>
  <c r="P115" i="2" s="1"/>
  <c r="P94" i="2"/>
  <c r="P114" i="2" s="1"/>
  <c r="N93" i="2"/>
  <c r="N113" i="2" s="1"/>
  <c r="C95" i="2"/>
  <c r="C115" i="2" s="1"/>
  <c r="C103" i="2"/>
  <c r="C123" i="2" s="1"/>
  <c r="C107" i="2"/>
  <c r="C127" i="2" s="1"/>
  <c r="C99" i="2"/>
  <c r="C119" i="2" s="1"/>
  <c r="C91" i="2"/>
  <c r="C111" i="2" s="1"/>
  <c r="C101" i="2"/>
  <c r="C121" i="2" s="1"/>
  <c r="C93" i="2"/>
  <c r="C113" i="2" s="1"/>
  <c r="C90" i="2"/>
  <c r="C110" i="2" s="1"/>
  <c r="C100" i="2"/>
  <c r="C120" i="2" s="1"/>
  <c r="C92" i="2"/>
  <c r="C112" i="2" s="1"/>
  <c r="C104" i="2"/>
  <c r="C124" i="2" s="1"/>
  <c r="C96" i="2"/>
  <c r="C116" i="2" s="1"/>
  <c r="C102" i="2"/>
  <c r="C122" i="2" s="1"/>
  <c r="C94" i="2"/>
  <c r="C114" i="2" s="1"/>
  <c r="C105" i="2"/>
  <c r="C125" i="2" s="1"/>
  <c r="C97" i="2"/>
  <c r="C117" i="2" s="1"/>
  <c r="C106" i="2"/>
  <c r="C126" i="2" s="1"/>
  <c r="C98" i="2"/>
  <c r="C118" i="2" s="1"/>
  <c r="P23" i="15"/>
  <c r="H23" i="15"/>
  <c r="J24" i="15"/>
  <c r="R24" i="15"/>
  <c r="K24" i="15"/>
  <c r="S24" i="15"/>
  <c r="L24" i="15"/>
  <c r="T24" i="15"/>
  <c r="F24" i="15"/>
  <c r="N24" i="15"/>
  <c r="P24" i="15"/>
  <c r="H24" i="15"/>
  <c r="I24" i="15"/>
  <c r="Q24" i="15"/>
  <c r="N23" i="15"/>
  <c r="F23" i="15"/>
  <c r="I23" i="15"/>
  <c r="Q23" i="15"/>
  <c r="J23" i="15"/>
  <c r="R23" i="15"/>
  <c r="K23" i="15"/>
  <c r="S23" i="15"/>
  <c r="L23" i="15"/>
  <c r="T23" i="15"/>
  <c r="C52" i="2"/>
  <c r="C49" i="2"/>
  <c r="C40" i="2"/>
  <c r="J50" i="2" l="1"/>
  <c r="E50" i="2"/>
  <c r="C50" i="2"/>
  <c r="U102" i="2"/>
  <c r="U122" i="2" s="1"/>
  <c r="Q102" i="2"/>
  <c r="Q122" i="2" s="1"/>
  <c r="S97" i="2"/>
  <c r="S117" i="2" s="1"/>
  <c r="K90" i="2"/>
  <c r="K110" i="2" s="1"/>
  <c r="G102" i="2"/>
  <c r="G122" i="2" s="1"/>
  <c r="S92" i="2"/>
  <c r="S112" i="2" s="1"/>
  <c r="K97" i="2"/>
  <c r="K117" i="2" s="1"/>
  <c r="D92" i="2"/>
  <c r="D112" i="2" s="1"/>
  <c r="G90" i="2"/>
  <c r="G110" i="2" s="1"/>
  <c r="Q91" i="2"/>
  <c r="Q111" i="2" s="1"/>
  <c r="K98" i="2"/>
  <c r="K118" i="2" s="1"/>
  <c r="S91" i="2"/>
  <c r="S111" i="2" s="1"/>
  <c r="I91" i="2"/>
  <c r="I111" i="2" s="1"/>
  <c r="G91" i="2"/>
  <c r="G111" i="2" s="1"/>
  <c r="O97" i="2"/>
  <c r="O117" i="2" s="1"/>
  <c r="D91" i="2"/>
  <c r="D111" i="2" s="1"/>
  <c r="K91" i="2"/>
  <c r="K111" i="2" s="1"/>
  <c r="O91" i="2"/>
  <c r="O111" i="2" s="1"/>
  <c r="G101" i="2"/>
  <c r="G121" i="2" s="1"/>
  <c r="D95" i="2"/>
  <c r="D115" i="2" s="1"/>
  <c r="Q92" i="2"/>
  <c r="Q112" i="2" s="1"/>
  <c r="F96" i="2"/>
  <c r="F116" i="2" s="1"/>
  <c r="G97" i="2"/>
  <c r="G117" i="2" s="1"/>
  <c r="F98" i="2"/>
  <c r="F118" i="2" s="1"/>
  <c r="Q90" i="2"/>
  <c r="Q110" i="2" s="1"/>
  <c r="F104" i="2"/>
  <c r="F124" i="2" s="1"/>
  <c r="O101" i="2"/>
  <c r="O121" i="2" s="1"/>
  <c r="O98" i="2"/>
  <c r="O118" i="2" s="1"/>
  <c r="M101" i="2"/>
  <c r="M121" i="2" s="1"/>
  <c r="I101" i="2"/>
  <c r="I121" i="2" s="1"/>
  <c r="D96" i="2"/>
  <c r="D116" i="2" s="1"/>
  <c r="D98" i="2"/>
  <c r="D118" i="2" s="1"/>
  <c r="M90" i="2"/>
  <c r="M110" i="2" s="1"/>
  <c r="M105" i="2"/>
  <c r="M125" i="2" s="1"/>
  <c r="D101" i="2"/>
  <c r="D121" i="2" s="1"/>
  <c r="F94" i="2"/>
  <c r="F114" i="2" s="1"/>
  <c r="S102" i="2"/>
  <c r="S122" i="2" s="1"/>
  <c r="S90" i="2"/>
  <c r="S110" i="2" s="1"/>
  <c r="O90" i="2"/>
  <c r="O110" i="2" s="1"/>
  <c r="F90" i="2"/>
  <c r="F110" i="2" s="1"/>
  <c r="Q101" i="2"/>
  <c r="Q121" i="2" s="1"/>
  <c r="G105" i="2"/>
  <c r="G125" i="2" s="1"/>
  <c r="I96" i="2"/>
  <c r="I116" i="2" s="1"/>
  <c r="M97" i="2"/>
  <c r="M117" i="2" s="1"/>
  <c r="S98" i="2"/>
  <c r="S118" i="2" s="1"/>
  <c r="I90" i="2"/>
  <c r="I110" i="2" s="1"/>
  <c r="D90" i="2"/>
  <c r="D110" i="2" s="1"/>
  <c r="K105" i="2"/>
  <c r="K125" i="2" s="1"/>
  <c r="Q105" i="2"/>
  <c r="Q125" i="2" s="1"/>
  <c r="K101" i="2"/>
  <c r="K121" i="2" s="1"/>
  <c r="D103" i="2"/>
  <c r="D123" i="2" s="1"/>
  <c r="D97" i="2"/>
  <c r="D117" i="2" s="1"/>
  <c r="I98" i="2"/>
  <c r="I118" i="2" s="1"/>
  <c r="F101" i="2"/>
  <c r="F121" i="2" s="1"/>
  <c r="S101" i="2"/>
  <c r="S121" i="2" s="1"/>
  <c r="M98" i="2"/>
  <c r="M118" i="2" s="1"/>
  <c r="G104" i="2"/>
  <c r="G124" i="2" s="1"/>
  <c r="D100" i="2"/>
  <c r="D120" i="2" s="1"/>
  <c r="D107" i="2"/>
  <c r="D127" i="2" s="1"/>
  <c r="I92" i="2"/>
  <c r="I112" i="2" s="1"/>
  <c r="L101" i="2"/>
  <c r="L121" i="2" s="1"/>
  <c r="L50" i="2" s="1"/>
  <c r="S96" i="2"/>
  <c r="S116" i="2" s="1"/>
  <c r="K96" i="2"/>
  <c r="K116" i="2" s="1"/>
  <c r="F97" i="2"/>
  <c r="F117" i="2" s="1"/>
  <c r="Q97" i="2"/>
  <c r="Q117" i="2" s="1"/>
  <c r="Q98" i="2"/>
  <c r="Q118" i="2" s="1"/>
  <c r="Q104" i="2"/>
  <c r="Q124" i="2" s="1"/>
  <c r="F105" i="2"/>
  <c r="F125" i="2" s="1"/>
  <c r="I105" i="2"/>
  <c r="I125" i="2" s="1"/>
  <c r="K106" i="2"/>
  <c r="K126" i="2" s="1"/>
  <c r="I97" i="2"/>
  <c r="I117" i="2" s="1"/>
  <c r="G98" i="2"/>
  <c r="G118" i="2" s="1"/>
  <c r="S105" i="2"/>
  <c r="S125" i="2" s="1"/>
  <c r="O105" i="2"/>
  <c r="O125" i="2" s="1"/>
  <c r="O100" i="2"/>
  <c r="O120" i="2" s="1"/>
  <c r="K100" i="2"/>
  <c r="K120" i="2" s="1"/>
  <c r="D106" i="2"/>
  <c r="D126" i="2" s="1"/>
  <c r="F91" i="2"/>
  <c r="F111" i="2" s="1"/>
  <c r="M91" i="2"/>
  <c r="M111" i="2" s="1"/>
  <c r="F103" i="2"/>
  <c r="F123" i="2" s="1"/>
  <c r="O92" i="2"/>
  <c r="O112" i="2" s="1"/>
  <c r="M92" i="2"/>
  <c r="M112" i="2" s="1"/>
  <c r="I106" i="2"/>
  <c r="I126" i="2" s="1"/>
  <c r="Q96" i="2"/>
  <c r="Q116" i="2" s="1"/>
  <c r="O104" i="2"/>
  <c r="O124" i="2" s="1"/>
  <c r="D105" i="2"/>
  <c r="D125" i="2" s="1"/>
  <c r="S100" i="2"/>
  <c r="S120" i="2" s="1"/>
  <c r="D99" i="2"/>
  <c r="D119" i="2" s="1"/>
  <c r="F106" i="2"/>
  <c r="F126" i="2" s="1"/>
  <c r="F107" i="2"/>
  <c r="F127" i="2" s="1"/>
  <c r="D94" i="2"/>
  <c r="D114" i="2" s="1"/>
  <c r="F95" i="2"/>
  <c r="F115" i="2" s="1"/>
  <c r="F92" i="2"/>
  <c r="F112" i="2" s="1"/>
  <c r="G96" i="2"/>
  <c r="G116" i="2" s="1"/>
  <c r="S106" i="2"/>
  <c r="S126" i="2" s="1"/>
  <c r="D104" i="2"/>
  <c r="D124" i="2" s="1"/>
  <c r="I100" i="2"/>
  <c r="I120" i="2" s="1"/>
  <c r="M100" i="2"/>
  <c r="M120" i="2" s="1"/>
  <c r="Q106" i="2"/>
  <c r="Q126" i="2" s="1"/>
  <c r="F93" i="2"/>
  <c r="F113" i="2" s="1"/>
  <c r="G95" i="2"/>
  <c r="G115" i="2" s="1"/>
  <c r="K104" i="2"/>
  <c r="K124" i="2" s="1"/>
  <c r="Q100" i="2"/>
  <c r="Q120" i="2" s="1"/>
  <c r="F100" i="2"/>
  <c r="F120" i="2" s="1"/>
  <c r="G94" i="2"/>
  <c r="G114" i="2" s="1"/>
  <c r="D93" i="2"/>
  <c r="D113" i="2" s="1"/>
  <c r="K92" i="2"/>
  <c r="K112" i="2" s="1"/>
  <c r="G92" i="2"/>
  <c r="G112" i="2" s="1"/>
  <c r="M106" i="2"/>
  <c r="M126" i="2" s="1"/>
  <c r="G106" i="2"/>
  <c r="G126" i="2" s="1"/>
  <c r="O96" i="2"/>
  <c r="O116" i="2" s="1"/>
  <c r="M96" i="2"/>
  <c r="M116" i="2" s="1"/>
  <c r="I104" i="2"/>
  <c r="I124" i="2" s="1"/>
  <c r="S104" i="2"/>
  <c r="S124" i="2" s="1"/>
  <c r="M104" i="2"/>
  <c r="M124" i="2" s="1"/>
  <c r="G100" i="2"/>
  <c r="G120" i="2" s="1"/>
  <c r="O106" i="2"/>
  <c r="O126" i="2" s="1"/>
  <c r="M25" i="15"/>
  <c r="G25" i="15"/>
  <c r="C42" i="2"/>
  <c r="G24" i="15"/>
  <c r="O25" i="15"/>
  <c r="M24" i="15"/>
  <c r="O24" i="15"/>
  <c r="H25" i="15"/>
  <c r="S25" i="15"/>
  <c r="K25" i="15"/>
  <c r="Q25" i="15"/>
  <c r="O26" i="15"/>
  <c r="N25" i="15"/>
  <c r="T25" i="15"/>
  <c r="R25" i="15"/>
  <c r="P25" i="15"/>
  <c r="I25" i="15"/>
  <c r="F25" i="15"/>
  <c r="M26" i="15"/>
  <c r="L25" i="15"/>
  <c r="J25" i="15"/>
  <c r="G11" i="4"/>
  <c r="C4" i="4"/>
  <c r="C3" i="4"/>
  <c r="C5" i="4"/>
  <c r="P40" i="2"/>
  <c r="P42" i="2" s="1"/>
  <c r="R40" i="2"/>
  <c r="R42" i="2" s="1"/>
  <c r="Q40" i="2"/>
  <c r="Q42" i="2" s="1"/>
  <c r="M40" i="2"/>
  <c r="M42" i="2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3" i="9"/>
  <c r="S40" i="2"/>
  <c r="S42" i="2" s="1"/>
  <c r="O40" i="2"/>
  <c r="O42" i="2" s="1"/>
  <c r="N40" i="2"/>
  <c r="N42" i="2" s="1"/>
  <c r="L40" i="2"/>
  <c r="L42" i="2" s="1"/>
  <c r="K40" i="2"/>
  <c r="K42" i="2" s="1"/>
  <c r="J40" i="2"/>
  <c r="J42" i="2" s="1"/>
  <c r="I40" i="2"/>
  <c r="I42" i="2" s="1"/>
  <c r="G40" i="2"/>
  <c r="G42" i="2" s="1"/>
  <c r="F40" i="2"/>
  <c r="F42" i="2" s="1"/>
  <c r="E40" i="2"/>
  <c r="E42" i="2" s="1"/>
  <c r="D40" i="2"/>
  <c r="D42" i="2" s="1"/>
  <c r="D50" i="2" l="1"/>
  <c r="R45" i="2"/>
  <c r="R46" i="2" s="1"/>
  <c r="G107" i="2"/>
  <c r="G127" i="2" s="1"/>
  <c r="N101" i="2"/>
  <c r="N121" i="2" s="1"/>
  <c r="N50" i="2" s="1"/>
  <c r="I95" i="2"/>
  <c r="I115" i="2" s="1"/>
  <c r="F99" i="2"/>
  <c r="F119" i="2" s="1"/>
  <c r="F50" i="2" s="1"/>
  <c r="G93" i="2"/>
  <c r="G113" i="2" s="1"/>
  <c r="I94" i="2"/>
  <c r="I114" i="2" s="1"/>
  <c r="G103" i="2"/>
  <c r="G123" i="2" s="1"/>
  <c r="G26" i="15"/>
  <c r="Q26" i="15"/>
  <c r="S26" i="15"/>
  <c r="J26" i="15"/>
  <c r="R26" i="15"/>
  <c r="P26" i="15"/>
  <c r="G27" i="15"/>
  <c r="L26" i="15"/>
  <c r="F26" i="15"/>
  <c r="T26" i="15"/>
  <c r="N26" i="15"/>
  <c r="H26" i="15"/>
  <c r="M27" i="15"/>
  <c r="I26" i="15"/>
  <c r="O27" i="15"/>
  <c r="K26" i="15"/>
  <c r="Q45" i="2"/>
  <c r="Q46" i="2" s="1"/>
  <c r="P45" i="2"/>
  <c r="P46" i="2" s="1"/>
  <c r="M45" i="2"/>
  <c r="M46" i="2" s="1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I103" i="2" l="1"/>
  <c r="I123" i="2" s="1"/>
  <c r="K95" i="2"/>
  <c r="K115" i="2" s="1"/>
  <c r="G99" i="2"/>
  <c r="G119" i="2" s="1"/>
  <c r="G50" i="2" s="1"/>
  <c r="K94" i="2"/>
  <c r="K114" i="2" s="1"/>
  <c r="P101" i="2"/>
  <c r="P121" i="2" s="1"/>
  <c r="P50" i="2" s="1"/>
  <c r="I93" i="2"/>
  <c r="I113" i="2" s="1"/>
  <c r="I107" i="2"/>
  <c r="I127" i="2" s="1"/>
  <c r="I27" i="15"/>
  <c r="N27" i="15"/>
  <c r="J27" i="15"/>
  <c r="M28" i="15"/>
  <c r="G28" i="15"/>
  <c r="S27" i="15"/>
  <c r="K27" i="15"/>
  <c r="F27" i="15"/>
  <c r="R27" i="15"/>
  <c r="H27" i="15"/>
  <c r="P27" i="15"/>
  <c r="T27" i="15"/>
  <c r="O28" i="15"/>
  <c r="L27" i="15"/>
  <c r="Q27" i="15"/>
  <c r="B13" i="13"/>
  <c r="N45" i="2"/>
  <c r="K12" i="2"/>
  <c r="M94" i="2" l="1"/>
  <c r="M114" i="2" s="1"/>
  <c r="I99" i="2"/>
  <c r="I119" i="2" s="1"/>
  <c r="I50" i="2" s="1"/>
  <c r="K107" i="2"/>
  <c r="K127" i="2" s="1"/>
  <c r="K93" i="2"/>
  <c r="K113" i="2" s="1"/>
  <c r="M95" i="2"/>
  <c r="M115" i="2" s="1"/>
  <c r="R101" i="2"/>
  <c r="R121" i="2" s="1"/>
  <c r="R50" i="2" s="1"/>
  <c r="K103" i="2"/>
  <c r="K123" i="2" s="1"/>
  <c r="K28" i="15"/>
  <c r="G29" i="15"/>
  <c r="J28" i="15"/>
  <c r="M29" i="15"/>
  <c r="O29" i="15"/>
  <c r="R28" i="15"/>
  <c r="N28" i="15"/>
  <c r="P28" i="15"/>
  <c r="S28" i="15"/>
  <c r="Q28" i="15"/>
  <c r="T28" i="15"/>
  <c r="I28" i="15"/>
  <c r="L28" i="15"/>
  <c r="H28" i="15"/>
  <c r="F28" i="15"/>
  <c r="V40" i="2"/>
  <c r="V42" i="2" s="1"/>
  <c r="U40" i="2"/>
  <c r="U42" i="2" s="1"/>
  <c r="O45" i="2"/>
  <c r="O46" i="2" s="1"/>
  <c r="E45" i="2"/>
  <c r="E46" i="2" s="1"/>
  <c r="N46" i="2"/>
  <c r="F45" i="2"/>
  <c r="F46" i="2" s="1"/>
  <c r="K45" i="2"/>
  <c r="K46" i="2" s="1"/>
  <c r="H39" i="2"/>
  <c r="H12" i="2"/>
  <c r="M93" i="2" l="1"/>
  <c r="M113" i="2" s="1"/>
  <c r="M103" i="2"/>
  <c r="M123" i="2" s="1"/>
  <c r="M107" i="2"/>
  <c r="M127" i="2" s="1"/>
  <c r="V101" i="2"/>
  <c r="V121" i="2" s="1"/>
  <c r="V50" i="2" s="1"/>
  <c r="T101" i="2"/>
  <c r="T121" i="2" s="1"/>
  <c r="T50" i="2" s="1"/>
  <c r="K99" i="2"/>
  <c r="K119" i="2" s="1"/>
  <c r="K50" i="2" s="1"/>
  <c r="O95" i="2"/>
  <c r="O115" i="2" s="1"/>
  <c r="O94" i="2"/>
  <c r="O114" i="2" s="1"/>
  <c r="L29" i="15"/>
  <c r="N29" i="15"/>
  <c r="J29" i="15"/>
  <c r="T29" i="15"/>
  <c r="I29" i="15"/>
  <c r="Q29" i="15"/>
  <c r="H29" i="15"/>
  <c r="R29" i="15"/>
  <c r="S29" i="15"/>
  <c r="M30" i="15"/>
  <c r="G30" i="15"/>
  <c r="K29" i="15"/>
  <c r="F29" i="15"/>
  <c r="P29" i="15"/>
  <c r="O30" i="15"/>
  <c r="H40" i="2"/>
  <c r="H42" i="2" s="1"/>
  <c r="D45" i="2"/>
  <c r="D46" i="2" s="1"/>
  <c r="O93" i="2" l="1"/>
  <c r="O113" i="2" s="1"/>
  <c r="Q94" i="2"/>
  <c r="Q114" i="2" s="1"/>
  <c r="O107" i="2"/>
  <c r="O127" i="2" s="1"/>
  <c r="M99" i="2"/>
  <c r="M119" i="2" s="1"/>
  <c r="M50" i="2" s="1"/>
  <c r="Q95" i="2"/>
  <c r="Q115" i="2" s="1"/>
  <c r="O103" i="2"/>
  <c r="O123" i="2" s="1"/>
  <c r="Q30" i="15"/>
  <c r="F30" i="15"/>
  <c r="O31" i="15"/>
  <c r="M31" i="15"/>
  <c r="T30" i="15"/>
  <c r="N30" i="15"/>
  <c r="G31" i="15"/>
  <c r="K30" i="15"/>
  <c r="R30" i="15"/>
  <c r="S30" i="15"/>
  <c r="I30" i="15"/>
  <c r="P30" i="15"/>
  <c r="H30" i="15"/>
  <c r="J30" i="15"/>
  <c r="L30" i="15"/>
  <c r="H45" i="2"/>
  <c r="H46" i="2" s="1"/>
  <c r="U95" i="2" l="1"/>
  <c r="U115" i="2" s="1"/>
  <c r="S95" i="2"/>
  <c r="S115" i="2" s="1"/>
  <c r="Q93" i="2"/>
  <c r="Q113" i="2" s="1"/>
  <c r="O99" i="2"/>
  <c r="O119" i="2" s="1"/>
  <c r="O50" i="2" s="1"/>
  <c r="Q107" i="2"/>
  <c r="Q127" i="2" s="1"/>
  <c r="Q103" i="2"/>
  <c r="Q123" i="2" s="1"/>
  <c r="U94" i="2"/>
  <c r="U114" i="2" s="1"/>
  <c r="S94" i="2"/>
  <c r="S114" i="2" s="1"/>
  <c r="H31" i="15"/>
  <c r="S31" i="15"/>
  <c r="N31" i="15"/>
  <c r="R31" i="15"/>
  <c r="M32" i="15"/>
  <c r="F31" i="15"/>
  <c r="P31" i="15"/>
  <c r="I31" i="15"/>
  <c r="K31" i="15"/>
  <c r="T31" i="15"/>
  <c r="L31" i="15"/>
  <c r="J31" i="15"/>
  <c r="G32" i="15"/>
  <c r="O32" i="15"/>
  <c r="Q31" i="15"/>
  <c r="U107" i="2" l="1"/>
  <c r="U127" i="2" s="1"/>
  <c r="S107" i="2"/>
  <c r="S127" i="2" s="1"/>
  <c r="Q99" i="2"/>
  <c r="Q119" i="2" s="1"/>
  <c r="Q50" i="2" s="1"/>
  <c r="U93" i="2"/>
  <c r="U113" i="2" s="1"/>
  <c r="S93" i="2"/>
  <c r="S113" i="2" s="1"/>
  <c r="U103" i="2"/>
  <c r="U123" i="2" s="1"/>
  <c r="S103" i="2"/>
  <c r="S123" i="2" s="1"/>
  <c r="M33" i="15"/>
  <c r="O33" i="15"/>
  <c r="I32" i="15"/>
  <c r="P32" i="15"/>
  <c r="S32" i="15"/>
  <c r="Q32" i="15"/>
  <c r="J32" i="15"/>
  <c r="K32" i="15"/>
  <c r="R32" i="15"/>
  <c r="F32" i="15"/>
  <c r="N32" i="15"/>
  <c r="H32" i="15"/>
  <c r="G33" i="15"/>
  <c r="L32" i="15"/>
  <c r="T32" i="15"/>
  <c r="U99" i="2" l="1"/>
  <c r="U119" i="2" s="1"/>
  <c r="U50" i="2" s="1"/>
  <c r="S99" i="2"/>
  <c r="S119" i="2" s="1"/>
  <c r="S50" i="2" s="1"/>
  <c r="Q33" i="15"/>
  <c r="T33" i="15"/>
  <c r="N33" i="15"/>
  <c r="R33" i="15"/>
  <c r="S33" i="15"/>
  <c r="M34" i="15"/>
  <c r="H33" i="15"/>
  <c r="O34" i="15"/>
  <c r="L33" i="15"/>
  <c r="F33" i="15"/>
  <c r="P33" i="15"/>
  <c r="K33" i="15"/>
  <c r="J33" i="15"/>
  <c r="I33" i="15"/>
  <c r="G34" i="15"/>
  <c r="I12" i="2"/>
  <c r="J12" i="2"/>
  <c r="G12" i="2"/>
  <c r="L12" i="2"/>
  <c r="G45" i="2"/>
  <c r="G46" i="2" s="1"/>
  <c r="P34" i="15" l="1"/>
  <c r="S34" i="15"/>
  <c r="G35" i="15"/>
  <c r="O35" i="15"/>
  <c r="J34" i="15"/>
  <c r="F34" i="15"/>
  <c r="H34" i="15"/>
  <c r="K34" i="15"/>
  <c r="N34" i="15"/>
  <c r="M35" i="15"/>
  <c r="Q34" i="15"/>
  <c r="I34" i="15"/>
  <c r="R34" i="15"/>
  <c r="L34" i="15"/>
  <c r="T34" i="15"/>
  <c r="M54" i="2"/>
  <c r="R54" i="2"/>
  <c r="Q54" i="2"/>
  <c r="P54" i="2"/>
  <c r="O54" i="2"/>
  <c r="N54" i="2"/>
  <c r="T40" i="2"/>
  <c r="T42" i="2" s="1"/>
  <c r="F54" i="2"/>
  <c r="K54" i="2"/>
  <c r="E54" i="2"/>
  <c r="H54" i="2"/>
  <c r="J54" i="2"/>
  <c r="D54" i="2"/>
  <c r="J45" i="2"/>
  <c r="J46" i="2" s="1"/>
  <c r="S45" i="2"/>
  <c r="S46" i="2" s="1"/>
  <c r="L45" i="2"/>
  <c r="L46" i="2" s="1"/>
  <c r="C45" i="2"/>
  <c r="C46" i="2" s="1"/>
  <c r="I45" i="2"/>
  <c r="I46" i="2" s="1"/>
  <c r="V45" i="2"/>
  <c r="V46" i="2" s="1"/>
  <c r="U45" i="2"/>
  <c r="U46" i="2" s="1"/>
  <c r="C6" i="4"/>
  <c r="N35" i="15" l="1"/>
  <c r="K35" i="15"/>
  <c r="L35" i="15"/>
  <c r="O36" i="15"/>
  <c r="Q35" i="15"/>
  <c r="R35" i="15"/>
  <c r="M36" i="15"/>
  <c r="H35" i="15"/>
  <c r="P35" i="15"/>
  <c r="J35" i="15"/>
  <c r="T35" i="15"/>
  <c r="I35" i="15"/>
  <c r="F35" i="15"/>
  <c r="G36" i="15"/>
  <c r="S35" i="15"/>
  <c r="P55" i="2"/>
  <c r="P56" i="2"/>
  <c r="P57" i="2" s="1"/>
  <c r="Q55" i="2"/>
  <c r="Q56" i="2"/>
  <c r="Q57" i="2" s="1"/>
  <c r="R55" i="2"/>
  <c r="R56" i="2"/>
  <c r="R57" i="2" s="1"/>
  <c r="M56" i="2"/>
  <c r="M57" i="2" s="1"/>
  <c r="M55" i="2"/>
  <c r="T45" i="2"/>
  <c r="T46" i="2" s="1"/>
  <c r="G54" i="2"/>
  <c r="G55" i="2" s="1"/>
  <c r="H10" i="4"/>
  <c r="N55" i="2"/>
  <c r="N56" i="2"/>
  <c r="N57" i="2" s="1"/>
  <c r="E55" i="2"/>
  <c r="E56" i="2"/>
  <c r="E57" i="2" s="1"/>
  <c r="K55" i="2"/>
  <c r="K56" i="2"/>
  <c r="K57" i="2" s="1"/>
  <c r="D55" i="2"/>
  <c r="D56" i="2"/>
  <c r="D57" i="2" s="1"/>
  <c r="H55" i="2"/>
  <c r="H56" i="2"/>
  <c r="H57" i="2" s="1"/>
  <c r="F55" i="2"/>
  <c r="F56" i="2"/>
  <c r="F57" i="2" s="1"/>
  <c r="O56" i="2"/>
  <c r="O57" i="2" s="1"/>
  <c r="O55" i="2"/>
  <c r="S54" i="2"/>
  <c r="S55" i="2" s="1"/>
  <c r="V54" i="2"/>
  <c r="V55" i="2" s="1"/>
  <c r="L54" i="2"/>
  <c r="L55" i="2" s="1"/>
  <c r="J55" i="2"/>
  <c r="J56" i="2"/>
  <c r="J57" i="2" s="1"/>
  <c r="C54" i="2"/>
  <c r="C55" i="2" s="1"/>
  <c r="I54" i="2"/>
  <c r="I56" i="2" s="1"/>
  <c r="I57" i="2" s="1"/>
  <c r="U54" i="2"/>
  <c r="U55" i="2" s="1"/>
  <c r="H11" i="4"/>
  <c r="F36" i="15" l="1"/>
  <c r="P36" i="15"/>
  <c r="Q36" i="15"/>
  <c r="I36" i="15"/>
  <c r="K36" i="15"/>
  <c r="H36" i="15"/>
  <c r="S36" i="15"/>
  <c r="T36" i="15"/>
  <c r="M37" i="15"/>
  <c r="M38" i="15"/>
  <c r="J36" i="15"/>
  <c r="R36" i="15"/>
  <c r="N36" i="15"/>
  <c r="L36" i="15"/>
  <c r="G37" i="15"/>
  <c r="G38" i="15"/>
  <c r="O37" i="15"/>
  <c r="O38" i="15"/>
  <c r="G56" i="2"/>
  <c r="G57" i="2" s="1"/>
  <c r="S56" i="2"/>
  <c r="S57" i="2" s="1"/>
  <c r="V56" i="2"/>
  <c r="V57" i="2" s="1"/>
  <c r="L56" i="2"/>
  <c r="L57" i="2" s="1"/>
  <c r="T54" i="2"/>
  <c r="T55" i="2" s="1"/>
  <c r="C56" i="2"/>
  <c r="C57" i="2" s="1"/>
  <c r="I55" i="2"/>
  <c r="U56" i="2"/>
  <c r="U57" i="2" s="1"/>
  <c r="S37" i="15" l="1"/>
  <c r="S38" i="15"/>
  <c r="R38" i="15"/>
  <c r="R37" i="15"/>
  <c r="H37" i="15"/>
  <c r="H38" i="15"/>
  <c r="P38" i="15"/>
  <c r="P37" i="15"/>
  <c r="N37" i="15"/>
  <c r="N38" i="15"/>
  <c r="K37" i="15"/>
  <c r="K38" i="15"/>
  <c r="I37" i="15"/>
  <c r="I38" i="15"/>
  <c r="L37" i="15"/>
  <c r="L38" i="15"/>
  <c r="J37" i="15"/>
  <c r="J38" i="15"/>
  <c r="T37" i="15"/>
  <c r="T38" i="15"/>
  <c r="F37" i="15"/>
  <c r="F38" i="15"/>
  <c r="Q37" i="15"/>
  <c r="Q38" i="15"/>
  <c r="T56" i="2"/>
  <c r="T5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tc={19C77D1F-A91A-4315-948B-DB8C1542842D}</author>
    <author>tc={5EE2513B-8A4D-4212-AE27-EA97B7F179E6}</author>
    <author>tc={5B86D5CA-D76D-4B0E-9BDA-31B5CFFE97AE}</author>
    <author>tc={73E3BE9F-28A2-405D-B45C-5F79AA9C5DB3}</author>
  </authors>
  <commentList>
    <comment ref="B3" authorId="0" shapeId="0" xr:uid="{19C77D1F-A91A-4315-948B-DB8C1542842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Considered as extra-urban (WLTP High)</t>
      </text>
    </comment>
    <comment ref="G3" authorId="1" shapeId="0" xr:uid="{5EE2513B-8A4D-4212-AE27-EA97B7F179E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https://business.gov.nl/running-your-business/staff/payment-and-wages/paying-your-employees-travel-allowance/</t>
      </text>
    </comment>
    <comment ref="B4" authorId="2" shapeId="0" xr:uid="{5B86D5CA-D76D-4B0E-9BDA-31B5CFFE97AE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Low (56,5 km/h)</t>
      </text>
    </comment>
    <comment ref="B5" authorId="3" shapeId="0" xr:uid="{73E3BE9F-28A2-405D-B45C-5F79AA9C5DB3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High (97,4 km/h)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tc={2B9A6EB7-2DE0-443F-905C-666160F8FFB5}</author>
    <author>tc={CB34F4D4-FF01-42CB-A0CA-2AB10BF8CD0C}</author>
    <author>tc={482B1242-19DA-4FA2-A310-C4EFFFDCF903}</author>
    <author>tc={5F6A7EFA-E1C0-4DC5-A9CD-8B38CBF2E285}</author>
    <author>tc={163BEE1F-055F-49BB-B827-6152A634E96C}</author>
    <author>tc={F9CBB0DC-523C-4EBC-BDB4-5FC40B6DFCC9}</author>
    <author>tc={B0EBF60E-6659-4954-BC35-9DAA38A0189A}</author>
    <author>tc={587069EA-3D16-4DDE-9722-ED1606C7E0E3}</author>
    <author>tc={61AA8C33-0748-41BA-B217-90539D26FDC0}</author>
    <author>tc={93B7B2EB-1B16-4868-B359-A7BE945499E7}</author>
    <author>tc={40DB1527-DD33-4AE8-8E73-8EE9919D8DE4}</author>
    <author>tc={0EA52372-AC07-4B46-AD4E-4FF0BE8A6B26}</author>
  </authors>
  <commentList>
    <comment ref="B8" authorId="0" shapeId="0" xr:uid="{2B9A6EB7-2DE0-443F-905C-666160F8FFB5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Low (56,5 km/h)</t>
      </text>
    </comment>
    <comment ref="B9" authorId="1" shapeId="0" xr:uid="{CB34F4D4-FF01-42CB-A0CA-2AB10BF8CD0C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High (97,4 km/h)</t>
      </text>
    </comment>
    <comment ref="B12" authorId="2" shapeId="0" xr:uid="{482B1242-19DA-4FA2-A310-C4EFFFDCF90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ICE vehicle use formula, for electric vehicle use https://ev-database.org/ Real Range - Combined - Mild Weather</t>
      </text>
    </comment>
    <comment ref="B38" authorId="3" shapeId="0" xr:uid="{5F6A7EFA-E1C0-4DC5-A9CD-8B38CBF2E2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Required for the government subsidy. Available at: https://ovi.rdw.nl/
</t>
      </text>
    </comment>
    <comment ref="B40" authorId="4" shapeId="0" xr:uid="{163BEE1F-055F-49BB-B827-6152A634E96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EU/EFTA
Sources: check Links sheet
BPM calculated with flat-rate</t>
      </text>
    </comment>
    <comment ref="B41" authorId="5" shapeId="0" xr:uid="{F9CBB0DC-523C-4EBC-BDB4-5FC40B6DFCC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https://www.rvo.nl/subsidies-financiering/sepp</t>
      </text>
    </comment>
    <comment ref="B43" authorId="6" shapeId="0" xr:uid="{B0EBF60E-6659-4954-BC35-9DAA38A0189A}">
      <text>
        <t>[Threaded comment]
Your version of Excel allows you to read this threaded comment; however, any edits to it will get removed if the file is opened in a newer version of Excel. Learn more: https://go.microsoft.com/fwlink/?linkid=870924
Comment:
    Until the car is 14 years old or the leasing time.</t>
      </text>
    </comment>
    <comment ref="B44" authorId="7" shapeId="0" xr:uid="{587069EA-3D16-4DDE-9722-ED1606C7E0E3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the car at the age of 14 or 0 if leasing. This does not mean the car should be sold at that time, but it is to make a fair comparaison between all the cars.</t>
      </text>
    </comment>
    <comment ref="B48" authorId="8" shapeId="0" xr:uid="{61AA8C33-0748-41BA-B217-90539D26FDC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through independer.nl</t>
      </text>
    </comment>
    <comment ref="B50" authorId="9" shapeId="0" xr:uid="{93B7B2EB-1B16-4868-B359-A7BE94549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https://www.belastingdienst.nl/wps/wcm/connect/nl/auto-en-vervoer/content/hulpmiddel-motorrijtuigenbelasting-berekenen</t>
      </text>
    </comment>
    <comment ref="B51" authorId="10" shapeId="0" xr:uid="{40DB1527-DD33-4AE8-8E73-8EE9919D8D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https://business.gov.nl/regulation/periodic-motor-vehicle-test-apk/</t>
      </text>
    </comment>
    <comment ref="B52" authorId="11" shapeId="0" xr:uid="{0EA52372-AC07-4B46-AD4E-4FF0BE8A6B2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https://www.denhaag.nl/en/parking/apply-for-parking-permit/apply-for-parking-permit-for-residents.htm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tc={44120E06-BD18-4801-96E0-8EA038F702A8}</author>
    <author>tc={D73DE858-5EC8-4F07-8C02-698B1938B8AF}</author>
  </authors>
  <commentList>
    <comment ref="F1" authorId="0" shapeId="0" xr:uid="{44120E06-BD18-4801-96E0-8EA038F702A8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… (kg)</t>
      </text>
    </comment>
    <comment ref="A3" authorId="1" shapeId="0" xr:uid="{D73DE858-5EC8-4F07-8C02-698B1938B8AF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for South-Holland, tax for other regions:
https://www.belastingdienst.nl/wps/wcm/connect/nl/auto-en-vervoer/content/hulpmiddel-motorrijtuigenbelasting-berekenen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</future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<sst xmlns="http://schemas.openxmlformats.org/spreadsheetml/2006/main" count="521" uniqueCount="268">
  <si>
    <t>Link</t>
  </si>
  <si>
    <t>Type</t>
  </si>
  <si>
    <t>Model</t>
  </si>
  <si>
    <t>Version</t>
  </si>
  <si>
    <t>Vehicle</t>
  </si>
  <si>
    <t>Propulsion</t>
  </si>
  <si>
    <t>Engine</t>
  </si>
  <si>
    <t>Gears</t>
  </si>
  <si>
    <t>Nissan Leaf</t>
  </si>
  <si>
    <t>Electric</t>
  </si>
  <si>
    <t>https://www.rdw.nl/over-rdw/information-in-english/private/import/moving-to-the-netherlands-and-taking-your-vehicle-with-you</t>
  </si>
  <si>
    <t>Capacity (L or kW)</t>
  </si>
  <si>
    <t>Range (km)</t>
  </si>
  <si>
    <t>Comfort equipment</t>
  </si>
  <si>
    <t>Park assistant</t>
  </si>
  <si>
    <t>Emergency braking</t>
  </si>
  <si>
    <t>Others</t>
  </si>
  <si>
    <t>Alarm</t>
  </si>
  <si>
    <t>Rain sensor</t>
  </si>
  <si>
    <t>Light sensor</t>
  </si>
  <si>
    <t>Park sensor</t>
  </si>
  <si>
    <t>Negative aspects</t>
  </si>
  <si>
    <t>Colour</t>
  </si>
  <si>
    <t>km</t>
  </si>
  <si>
    <t>€/L</t>
  </si>
  <si>
    <t>€/kW</t>
  </si>
  <si>
    <t>Commuting</t>
  </si>
  <si>
    <t>Urban</t>
  </si>
  <si>
    <t>Extra-urban</t>
  </si>
  <si>
    <t>Annual use</t>
  </si>
  <si>
    <t>Total</t>
  </si>
  <si>
    <t>Petrol</t>
  </si>
  <si>
    <t>Yes</t>
  </si>
  <si>
    <t>CO2 Emissions (g/km)</t>
  </si>
  <si>
    <t>Infotainment</t>
  </si>
  <si>
    <t>Insurance</t>
  </si>
  <si>
    <t>Maintenance</t>
  </si>
  <si>
    <t>Second hand</t>
  </si>
  <si>
    <t>Registration date</t>
  </si>
  <si>
    <t>Electrochromic mirrors</t>
  </si>
  <si>
    <t>Price</t>
  </si>
  <si>
    <t>Warranty (years)</t>
  </si>
  <si>
    <t>5-speed</t>
  </si>
  <si>
    <t>Photo</t>
  </si>
  <si>
    <t>Running cost per year</t>
  </si>
  <si>
    <t>Running cost per month</t>
  </si>
  <si>
    <t>Parking permit</t>
  </si>
  <si>
    <t>Lease</t>
  </si>
  <si>
    <t>Buy</t>
  </si>
  <si>
    <t>Spain</t>
  </si>
  <si>
    <t>Total cost per year</t>
  </si>
  <si>
    <t>Total cost per month</t>
  </si>
  <si>
    <t>Motor vehicle tax (MRB)</t>
  </si>
  <si>
    <t>https://www.belastingdienst.nl/wps/wcm/connect/nl/auto-en-vervoer/content/hulpmiddel-motorrijtuigenbelasting-berekenen</t>
  </si>
  <si>
    <t>Acquisition cost</t>
  </si>
  <si>
    <t>Acquisition cost per year</t>
  </si>
  <si>
    <t>Cost</t>
  </si>
  <si>
    <t>Pack name</t>
  </si>
  <si>
    <t>MG4</t>
  </si>
  <si>
    <t>Urban (L/100 km or Wh/km)</t>
  </si>
  <si>
    <t>Extra-urban (L/100 km or Wh/km)</t>
  </si>
  <si>
    <t>Netherlands</t>
  </si>
  <si>
    <t>Final price</t>
  </si>
  <si>
    <t>Electricity charge</t>
  </si>
  <si>
    <t>Mileage (km)</t>
  </si>
  <si>
    <t>Country (purchase)</t>
  </si>
  <si>
    <t>Volkswagen Polo</t>
  </si>
  <si>
    <t>https://www.volkswagen.nl/stocklocator#/voorraad/volkswagen/polo/hatchback/296666880/10-tsi-polo</t>
  </si>
  <si>
    <t>Dark blue</t>
  </si>
  <si>
    <t>Lane sensor with correction, Rear head airbags</t>
  </si>
  <si>
    <t>Weight (kg)</t>
  </si>
  <si>
    <t>70 kW 1.0 TSI</t>
  </si>
  <si>
    <t>Blue</t>
  </si>
  <si>
    <t>71 kW 1.0</t>
  </si>
  <si>
    <t>NF-410-F</t>
  </si>
  <si>
    <t>https://www.autoscout24.nl/aanbod/volkswagen-polo-1-0-bluemotion-edition-executive-parkeersensoren-benzine-blauw-68103ada-b1ce-433e-aac6-f73a6c7d465b</t>
  </si>
  <si>
    <t>Electrically adjustable exterior mirrors, Hill Hold Control, Tire pressure monitoring system</t>
  </si>
  <si>
    <t>160 kW</t>
  </si>
  <si>
    <t>Reduction gear</t>
  </si>
  <si>
    <t>8" screen</t>
  </si>
  <si>
    <t>360 camera</t>
  </si>
  <si>
    <t>E+ N-CONNECTA</t>
  </si>
  <si>
    <t>Red</t>
  </si>
  <si>
    <t>150 kW</t>
  </si>
  <si>
    <t>Comfort</t>
  </si>
  <si>
    <t>7 years or 150 Mm</t>
  </si>
  <si>
    <t>Government subsidy (SEPP)</t>
  </si>
  <si>
    <t>Tesla Model 3</t>
  </si>
  <si>
    <t>Long range 4x4</t>
  </si>
  <si>
    <t>Black</t>
  </si>
  <si>
    <t>1 year or 20 Mm, Battery 2027</t>
  </si>
  <si>
    <t>Germany</t>
  </si>
  <si>
    <t>35 kW</t>
  </si>
  <si>
    <t>https://www.autoscout24.nl/aanbod/smart-fortwo-eigen-accu-electric-drive-elektrisch-grijs-3bd998d5-079b-47ae-b13f-2211e3e574c9?sort=price&amp;desc=0&amp;lastSeenGuidPresent=true&amp;cldtidx=56&amp;position=56&amp;search_id=ndkds14l6u&amp;source_otp=t10&amp;source=listpage_search-results</t>
  </si>
  <si>
    <t>No</t>
  </si>
  <si>
    <t>White</t>
  </si>
  <si>
    <t>Electric Drive</t>
  </si>
  <si>
    <t>Smart Fortwo</t>
  </si>
  <si>
    <t>Opel Ampera-E</t>
  </si>
  <si>
    <t>Launch executive</t>
  </si>
  <si>
    <t>https://www.autoscout24.nl/aanbod/opel-ampera-e-launch-executive-60-kwh-stoel-stuur-verw-camera-elektrisch-grijs-148fed86-3dfd-42f7-9a60-47f00ecfe030?sort=standard&amp;desc=0&amp;lastSeenGuidPresent=true&amp;cldtidx=9&amp;position=9&amp;search_id=ud92zyhwea&amp;source_otp=t30&amp;source=listpage_search-results</t>
  </si>
  <si>
    <t>Camera</t>
  </si>
  <si>
    <t>https://www.autoscout24.nl/</t>
  </si>
  <si>
    <t>https://www.auto.nl/</t>
  </si>
  <si>
    <t>https://bynco.com/</t>
  </si>
  <si>
    <t>https://www.ooyyo.com/</t>
  </si>
  <si>
    <t>https://www.gebruikteauto.nl/</t>
  </si>
  <si>
    <t>https://www.nederlandmobiel.nl/</t>
  </si>
  <si>
    <t>https://www.eurostocks.com/</t>
  </si>
  <si>
    <t>Periodic Technical Inspection (APK)</t>
  </si>
  <si>
    <t>Per 3 months</t>
  </si>
  <si>
    <t>Per year</t>
  </si>
  <si>
    <t>PHEV</t>
  </si>
  <si>
    <t>https://ovi.rdw.nl/</t>
  </si>
  <si>
    <t>Automatic</t>
  </si>
  <si>
    <t>Website</t>
  </si>
  <si>
    <t>Description</t>
  </si>
  <si>
    <t>https://ev-database.org/</t>
  </si>
  <si>
    <t>EV Database</t>
  </si>
  <si>
    <t>RDW Kentekencheck</t>
  </si>
  <si>
    <t>Motorrijtuigenbelasting berekenen (MRB)</t>
  </si>
  <si>
    <t>https://www.rvo.nl/subsidies-financiering/sepp</t>
  </si>
  <si>
    <t>Subsidieregeling Elektrische Personenauto’s Particulieren (SEPP)</t>
  </si>
  <si>
    <t>https://business.gov.nl/regulation/periodic-motor-vehicle-test-apk/</t>
  </si>
  <si>
    <t>Algemene Periodieke Keuring (APK)</t>
  </si>
  <si>
    <t>Autoscout 24</t>
  </si>
  <si>
    <t>Ooyyo</t>
  </si>
  <si>
    <t>Auto</t>
  </si>
  <si>
    <t>Gebruikteauto</t>
  </si>
  <si>
    <t>Nederlandmobiel</t>
  </si>
  <si>
    <t>Eurostocks</t>
  </si>
  <si>
    <t>Bynco</t>
  </si>
  <si>
    <t>Second hand cars</t>
  </si>
  <si>
    <t>324 kW</t>
  </si>
  <si>
    <t>https://www.cockvanburenautos.nl/Volkswagen/Polo/1.0-TGI-AC-NAVI-MULTI-STUUR-CRUISE-CONTROLE-ELEC-RAMEN-Comfortline-4966933/4451/1/2/details.aspx?zoek=&amp;mrkid=81&amp;mrk=Volkswagen&amp;mdlid=1293&amp;so=gallerij</t>
  </si>
  <si>
    <t>Comfortline</t>
  </si>
  <si>
    <t>7" screen</t>
  </si>
  <si>
    <t>Number plate</t>
  </si>
  <si>
    <t>RP-206-L</t>
  </si>
  <si>
    <t>Climate control</t>
  </si>
  <si>
    <t>Dual-zone</t>
  </si>
  <si>
    <t>Rear head airbags</t>
  </si>
  <si>
    <t>Tesla Germany website</t>
  </si>
  <si>
    <t>MG Spain website</t>
  </si>
  <si>
    <t>Nissan Spain Website</t>
  </si>
  <si>
    <t>Many</t>
  </si>
  <si>
    <t>Life</t>
  </si>
  <si>
    <t>Year</t>
  </si>
  <si>
    <t>All cars</t>
  </si>
  <si>
    <t>Purchase type</t>
  </si>
  <si>
    <t>If Lease, contract duration (years)</t>
  </si>
  <si>
    <t>Safety equiment</t>
  </si>
  <si>
    <t>Equipment pack</t>
  </si>
  <si>
    <t>Tech. equipment</t>
  </si>
  <si>
    <t>Den Haag parking permit</t>
  </si>
  <si>
    <t>https://www.denhaag.nl/en/parking/apply-for-parking-permit/apply-for-parking-permit-for-residents.htm</t>
  </si>
  <si>
    <t>friendje</t>
  </si>
  <si>
    <t>https://www.yourlease.nl/volkswagen/volkswagen-up/</t>
  </si>
  <si>
    <t>XH-425-R</t>
  </si>
  <si>
    <t>6-ZFG-32</t>
  </si>
  <si>
    <t>https://www.marktplaats.nl/v/auto-s/smart/m1951091296-smart-fortwo-electric-drive-coupe-2015-wit-apk-13-1-2024</t>
  </si>
  <si>
    <t>Electrically adjustable exterior mirrors</t>
  </si>
  <si>
    <t>Volkswagen Up!</t>
  </si>
  <si>
    <t>S-099-HJ</t>
  </si>
  <si>
    <t>Grey</t>
  </si>
  <si>
    <t>Radio</t>
  </si>
  <si>
    <t>https://voorraad.autobedrijfeb.nl/sa0446b36c5d56662bf8fb788f63ea754/voorraad/stock/6244/vehicles/20/details/33032182/volkswagen-up-1-0-60pk-take-up/</t>
  </si>
  <si>
    <t>44 kW 1.0</t>
  </si>
  <si>
    <t>Take up</t>
  </si>
  <si>
    <t>Comfortline Business</t>
  </si>
  <si>
    <t>https://voorraad.autobedrijfeb.nl/sa0446b36c5d56662bf8fb788f63ea754/voorraad/stock/7866/vehicles/20/details/31682879/volkswagen-polo-1-2-tsi-90pk-comfortline-business-r/</t>
  </si>
  <si>
    <t>66 kW 1.2</t>
  </si>
  <si>
    <t>66 kW 1.0 TGI</t>
  </si>
  <si>
    <t>Heated exterior mirrors, Tire pressure monitoring system, Hill hold function</t>
  </si>
  <si>
    <t>Tire pressure monitoring system, Hill hold function</t>
  </si>
  <si>
    <t>Heated exterior mirrors</t>
  </si>
  <si>
    <t>BMW i3</t>
  </si>
  <si>
    <t>125 kW</t>
  </si>
  <si>
    <t>?</t>
  </si>
  <si>
    <t>Heated seats</t>
  </si>
  <si>
    <t>https://www.autotijd.nl/aanbod#1427122578-2078578-bmw-i3-range-extender-ecc-airco-navigatie-55dkm-hist-aanw</t>
  </si>
  <si>
    <t>KF-049-T</t>
  </si>
  <si>
    <t>https://www.autozieleman.nl/auto-kopen/bmw/i3/bmw-i3-luxury-range-extender-22-kwh-60ah-navi-leer-camera-led/2770653/</t>
  </si>
  <si>
    <t>JJ-135-J</t>
  </si>
  <si>
    <t>https://www.hoczeeland.nl/aanbod/detail?id=2216</t>
  </si>
  <si>
    <t>Coupe Electric Drive</t>
  </si>
  <si>
    <t>R-568-HK</t>
  </si>
  <si>
    <t>Black and red</t>
  </si>
  <si>
    <t>Sun roof, heated seats</t>
  </si>
  <si>
    <t>https://www.nederlandmobiel.nl/tweedehands-auto/smart/fortwo-coupe-electric-drive2000-subsidienap/16837067?auto-model-history=%5B%5D&amp;source=search&amp;merk[]=200&amp;prijs_tot=9000&amp;brandstof[]=electro&amp;p-sort=ingevoerd&amp;i=1</t>
  </si>
  <si>
    <t>https://www.rdw.nl/en/import-export-transit/importing-a-car-from-a-eu-or-efta-country</t>
  </si>
  <si>
    <t>RDW</t>
  </si>
  <si>
    <t>Identification of a light vehicle</t>
  </si>
  <si>
    <t>Registration certificate</t>
  </si>
  <si>
    <t>Registration in a person's name via the RDW</t>
  </si>
  <si>
    <t>Recycling fee</t>
  </si>
  <si>
    <t>BPM</t>
  </si>
  <si>
    <t>PEHV</t>
  </si>
  <si>
    <t>Energy price</t>
  </si>
  <si>
    <t>Off-peak</t>
  </si>
  <si>
    <t>Peak</t>
  </si>
  <si>
    <t>At work</t>
  </si>
  <si>
    <t>Hypothesis</t>
  </si>
  <si>
    <t>Emissions up to (g/km)</t>
  </si>
  <si>
    <t>Fix</t>
  </si>
  <si>
    <t>Variable</t>
  </si>
  <si>
    <t>Import taxes (RDW and BPM)</t>
  </si>
  <si>
    <t>https://www.belastingdienst.nl/wps/wcm/connect/bldcontentnl/belastingdienst/prive/auto_en_vervoer/belastingen_op_auto_en_motor/bpm/</t>
  </si>
  <si>
    <t>Depreciation with flat-rate table (years)</t>
  </si>
  <si>
    <t>Energy</t>
  </si>
  <si>
    <t>Den Haag Zentrum</t>
  </si>
  <si>
    <t>€</t>
  </si>
  <si>
    <t>Tax-free travel allowance</t>
  </si>
  <si>
    <t>Volkswagen Golf</t>
  </si>
  <si>
    <t>1.4 GTE</t>
  </si>
  <si>
    <t>110 kW</t>
  </si>
  <si>
    <t>40 L / 9 kWh</t>
  </si>
  <si>
    <t>GN-138-H</t>
  </si>
  <si>
    <t>90Ah Rex</t>
  </si>
  <si>
    <t>https://www.autoscout24.nl/aanbod/bmw-i3-range-extender-94ah-24-292km-elektro-benzine-wit-3dc04599-4b00-46d1-a003-c13ef5db2cf4?sort=price&amp;desc=0&amp;lastSeenGuidPresent=false&amp;cldtidx=2&amp;position=2&amp;search_id=y6jkhwj8v0&amp;source_otp=t10&amp;source=listpage_search-results&amp;order_bucket=unknown</t>
  </si>
  <si>
    <t>10" screen</t>
  </si>
  <si>
    <t>6" screen</t>
  </si>
  <si>
    <t>S-631-TD</t>
  </si>
  <si>
    <t>60Ah Rex</t>
  </si>
  <si>
    <t>9-STV-81</t>
  </si>
  <si>
    <t>https://www.autoscout24.nl/aanbod/bmw-i3-range-extender-leder-navi-schuif-kanteldak-elektro-benzine-oranje-bedd4c4d-c582-4596-83d4-09ab7a437b8a?sort=price&amp;desc=0&amp;lastSeenGuidPresent=true&amp;cldtidx=1&amp;position=1&amp;search_id=jyvlmqt27e&amp;source_otp=t10&amp;source=listpage_search-results&amp;order_bucket=unknown</t>
  </si>
  <si>
    <t>120Ah</t>
  </si>
  <si>
    <t>https://www.finn.no/car/used/ad.html?finnkode=306163115</t>
  </si>
  <si>
    <t>EV Database link</t>
  </si>
  <si>
    <t>https://ev-database.org/car/1145/BMW-i3-120-Ah</t>
  </si>
  <si>
    <t>https://ev-database.org/car/1004/BMW-i3-60-Ah</t>
  </si>
  <si>
    <t>https://ev-database.org/car/1068/BMW-i3-94-Ah</t>
  </si>
  <si>
    <t>Importing from EU</t>
  </si>
  <si>
    <t>Information of electric vehicles</t>
  </si>
  <si>
    <t>8 years or 100.000 km</t>
  </si>
  <si>
    <t>Belastingdienst import process</t>
  </si>
  <si>
    <t>RDW import process</t>
  </si>
  <si>
    <t>Official, subsidy schemes for electric vehicles</t>
  </si>
  <si>
    <t>Official, import process and BPM taxes (vehicle taxes)</t>
  </si>
  <si>
    <t>Official, import process and registration costs</t>
  </si>
  <si>
    <t>Official, check car's details with its number plate</t>
  </si>
  <si>
    <t>Official, motor vehicle tax (MRB) calculator</t>
  </si>
  <si>
    <t>Official, periodic technical inspection (APK)</t>
  </si>
  <si>
    <t>Official, Den Haag parking permit</t>
  </si>
  <si>
    <t>Database with most electric cars, their real range and price</t>
  </si>
  <si>
    <t>https://www.independer.nl/</t>
  </si>
  <si>
    <t>Insurance comparator</t>
  </si>
  <si>
    <t>Independer</t>
  </si>
  <si>
    <t>Second-hand cars website aggregator</t>
  </si>
  <si>
    <t>60Ah Rex Comf. Adv.</t>
  </si>
  <si>
    <t>https://ev-database.org/car/1051/Opel-Ampera-e</t>
  </si>
  <si>
    <t>https://ev-database.org/car/1138/Tesla-Model-3-Long-Range-Dual-Motor</t>
  </si>
  <si>
    <t>https://ev-database.org/car/1657/Nissan-Leaf-eplus</t>
  </si>
  <si>
    <t>https://ev-database.org/car/1708/MG-MG4-Electric-64-kWh</t>
  </si>
  <si>
    <t>Fast charging (kW)</t>
  </si>
  <si>
    <t>Catalogue price</t>
  </si>
  <si>
    <t>Selling or leasing price</t>
  </si>
  <si>
    <t>Depreciation time</t>
  </si>
  <si>
    <t>Residual value</t>
  </si>
  <si>
    <t>Percentage of year remaining</t>
  </si>
  <si>
    <t>Percentage of life remaining</t>
  </si>
  <si>
    <t>MRB</t>
  </si>
  <si>
    <t>Coefficient</t>
  </si>
  <si>
    <t>€/km</t>
  </si>
  <si>
    <t>Rate</t>
  </si>
  <si>
    <t>Trave. allowance</t>
  </si>
  <si>
    <t>Cost coefficient</t>
  </si>
  <si>
    <t>€/year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</si>
</sst>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€&quot;"/>
    <numFmt numFmtId="165" formatCode="#,##0.0"/>
    <numFmt numFmtId="166" formatCode="0.000%"/>
    <numFmt numFmtId="167" formatCode="#,##0.00\ &quot;€&quot;"/>
    <numFmt numFmtId="168" formatCode="0.0"/>
    <numFmt numFmtId="169" formatCode="yy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6">
    <xf numFmtId="0" fontId="0" fillId="0" borderId="0" xfId="0"/>
    <xf numFmtId="0" fontId="2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164" fontId="0" fillId="4" borderId="17" xfId="0" applyNumberForma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164" fontId="0" fillId="4" borderId="23" xfId="0" applyNumberFormat="1" applyFill="1" applyBorder="1" applyAlignment="1">
      <alignment vertical="center"/>
    </xf>
    <xf numFmtId="164" fontId="0" fillId="4" borderId="24" xfId="0" applyNumberFormat="1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164" fontId="0" fillId="4" borderId="26" xfId="0" applyNumberFormat="1" applyFill="1" applyBorder="1" applyAlignment="1">
      <alignment vertical="center"/>
    </xf>
    <xf numFmtId="164" fontId="0" fillId="4" borderId="27" xfId="0" applyNumberFormat="1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164" fontId="0" fillId="4" borderId="13" xfId="0" applyNumberFormat="1" applyFill="1" applyBorder="1" applyAlignment="1">
      <alignment vertical="center"/>
    </xf>
    <xf numFmtId="164" fontId="0" fillId="4" borderId="2" xfId="0" applyNumberFormat="1" applyFill="1" applyBorder="1" applyAlignment="1">
      <alignment vertical="center"/>
    </xf>
    <xf numFmtId="0" fontId="2" fillId="5" borderId="19" xfId="0" applyFont="1" applyFill="1" applyBorder="1"/>
    <xf numFmtId="0" fontId="2" fillId="5" borderId="17" xfId="0" applyFont="1" applyFill="1" applyBorder="1"/>
    <xf numFmtId="164" fontId="0" fillId="4" borderId="5" xfId="0" applyNumberFormat="1" applyFill="1" applyBorder="1"/>
    <xf numFmtId="164" fontId="0" fillId="4" borderId="7" xfId="0" applyNumberFormat="1" applyFill="1" applyBorder="1"/>
    <xf numFmtId="0" fontId="0" fillId="4" borderId="7" xfId="0" applyFill="1" applyBorder="1"/>
    <xf numFmtId="0" fontId="0" fillId="4" borderId="10" xfId="0" applyFill="1" applyBorder="1"/>
    <xf numFmtId="164" fontId="0" fillId="4" borderId="10" xfId="0" applyNumberFormat="1" applyFill="1" applyBorder="1"/>
    <xf numFmtId="0" fontId="2" fillId="5" borderId="19" xfId="0" applyFont="1" applyFill="1" applyBorder="1" applyAlignment="1">
      <alignment horizontal="center"/>
    </xf>
    <xf numFmtId="164" fontId="0" fillId="4" borderId="20" xfId="0" applyNumberFormat="1" applyFill="1" applyBorder="1"/>
    <xf numFmtId="164" fontId="3" fillId="3" borderId="32" xfId="0" applyNumberFormat="1" applyFont="1" applyFill="1" applyBorder="1"/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3" fontId="3" fillId="3" borderId="31" xfId="0" applyNumberFormat="1" applyFont="1" applyFill="1" applyBorder="1"/>
    <xf numFmtId="0" fontId="2" fillId="5" borderId="12" xfId="0" applyFont="1" applyFill="1" applyBorder="1" applyAlignment="1">
      <alignment horizontal="center"/>
    </xf>
    <xf numFmtId="164" fontId="0" fillId="4" borderId="11" xfId="0" applyNumberFormat="1" applyFill="1" applyBorder="1"/>
    <xf numFmtId="0" fontId="0" fillId="4" borderId="35" xfId="0" applyFill="1" applyBorder="1" applyAlignment="1">
      <alignment vertical="center"/>
    </xf>
    <xf numFmtId="164" fontId="0" fillId="4" borderId="6" xfId="0" applyNumberFormat="1" applyFill="1" applyBorder="1" applyAlignment="1">
      <alignment vertical="center"/>
    </xf>
    <xf numFmtId="164" fontId="0" fillId="4" borderId="34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64" fontId="0" fillId="7" borderId="6" xfId="0" applyNumberFormat="1" applyFill="1" applyBorder="1" applyAlignment="1">
      <alignment vertical="center"/>
    </xf>
    <xf numFmtId="164" fontId="0" fillId="7" borderId="34" xfId="0" applyNumberFormat="1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164" fontId="0" fillId="7" borderId="26" xfId="0" applyNumberFormat="1" applyFill="1" applyBorder="1" applyAlignment="1">
      <alignment vertical="center"/>
    </xf>
    <xf numFmtId="164" fontId="0" fillId="7" borderId="27" xfId="0" applyNumberFormat="1" applyFill="1" applyBorder="1" applyAlignment="1">
      <alignment vertical="center"/>
    </xf>
    <xf numFmtId="3" fontId="0" fillId="4" borderId="3" xfId="0" applyNumberFormat="1" applyFill="1" applyBorder="1" applyProtection="1">
      <protection locked="0"/>
    </xf>
    <xf numFmtId="3" fontId="0" fillId="4" borderId="1" xfId="0" applyNumberFormat="1" applyFill="1" applyBorder="1" applyProtection="1">
      <protection locked="0"/>
    </xf>
    <xf numFmtId="3" fontId="0" fillId="4" borderId="2" xfId="0" applyNumberForma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9" fontId="0" fillId="4" borderId="4" xfId="2" applyFont="1" applyFill="1" applyBorder="1" applyProtection="1"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2" borderId="21" xfId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vertical="center"/>
      <protection locked="0"/>
    </xf>
    <xf numFmtId="0" fontId="1" fillId="2" borderId="2" xfId="1" applyFill="1" applyBorder="1" applyAlignment="1" applyProtection="1">
      <alignment vertical="center"/>
      <protection locked="0"/>
    </xf>
    <xf numFmtId="0" fontId="0" fillId="4" borderId="16" xfId="0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vertical="center"/>
      <protection locked="0"/>
    </xf>
    <xf numFmtId="164" fontId="0" fillId="4" borderId="17" xfId="0" applyNumberFormat="1" applyFill="1" applyBorder="1" applyAlignment="1" applyProtection="1">
      <alignment vertical="center"/>
      <protection locked="0"/>
    </xf>
    <xf numFmtId="164" fontId="0" fillId="4" borderId="1" xfId="0" applyNumberFormat="1" applyFill="1" applyBorder="1" applyAlignment="1" applyProtection="1">
      <alignment vertical="center"/>
      <protection locked="0"/>
    </xf>
    <xf numFmtId="3" fontId="0" fillId="4" borderId="17" xfId="0" applyNumberFormat="1" applyFill="1" applyBorder="1" applyAlignment="1" applyProtection="1">
      <alignment vertical="center"/>
      <protection locked="0"/>
    </xf>
    <xf numFmtId="3" fontId="0" fillId="4" borderId="1" xfId="0" applyNumberFormat="1" applyFill="1" applyBorder="1" applyAlignment="1" applyProtection="1">
      <alignment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4" fontId="0" fillId="4" borderId="4" xfId="0" applyNumberFormat="1" applyFill="1" applyBorder="1" applyProtection="1">
      <protection locked="0"/>
    </xf>
    <xf numFmtId="3" fontId="0" fillId="4" borderId="27" xfId="0" applyNumberFormat="1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164" fontId="0" fillId="4" borderId="3" xfId="0" applyNumberFormat="1" applyFill="1" applyBorder="1" applyAlignment="1">
      <alignment vertical="center"/>
    </xf>
    <xf numFmtId="164" fontId="0" fillId="4" borderId="23" xfId="0" applyNumberFormat="1" applyFill="1" applyBorder="1" applyAlignment="1" applyProtection="1">
      <alignment vertical="center"/>
      <protection locked="0"/>
    </xf>
    <xf numFmtId="164" fontId="0" fillId="4" borderId="24" xfId="0" applyNumberFormat="1" applyFill="1" applyBorder="1" applyAlignment="1" applyProtection="1">
      <alignment vertical="center"/>
      <protection locked="0"/>
    </xf>
    <xf numFmtId="164" fontId="0" fillId="8" borderId="1" xfId="0" applyNumberFormat="1" applyFill="1" applyBorder="1"/>
    <xf numFmtId="9" fontId="0" fillId="11" borderId="1" xfId="2" applyFont="1" applyFill="1" applyBorder="1"/>
    <xf numFmtId="9" fontId="0" fillId="12" borderId="1" xfId="2" applyFont="1" applyFill="1" applyBorder="1"/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3" fontId="0" fillId="0" borderId="0" xfId="0" applyNumberFormat="1" applyAlignment="1">
      <alignment vertical="center"/>
    </xf>
    <xf numFmtId="0" fontId="2" fillId="10" borderId="1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1" fillId="4" borderId="3" xfId="1" applyFill="1" applyBorder="1"/>
    <xf numFmtId="0" fontId="0" fillId="4" borderId="11" xfId="0" applyFill="1" applyBorder="1"/>
    <xf numFmtId="0" fontId="1" fillId="4" borderId="1" xfId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1" fillId="4" borderId="2" xfId="1" applyFill="1" applyBorder="1"/>
    <xf numFmtId="0" fontId="0" fillId="4" borderId="20" xfId="0" applyFill="1" applyBorder="1"/>
    <xf numFmtId="0" fontId="0" fillId="3" borderId="7" xfId="0" applyFill="1" applyBorder="1" applyAlignment="1">
      <alignment vertical="center"/>
    </xf>
    <xf numFmtId="0" fontId="0" fillId="3" borderId="17" xfId="0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3" fontId="0" fillId="3" borderId="17" xfId="0" applyNumberFormat="1" applyFill="1" applyBorder="1" applyAlignment="1" applyProtection="1">
      <alignment vertical="center"/>
      <protection locked="0"/>
    </xf>
    <xf numFmtId="3" fontId="0" fillId="3" borderId="1" xfId="0" applyNumberFormat="1" applyFill="1" applyBorder="1" applyAlignment="1" applyProtection="1">
      <alignment vertical="center"/>
      <protection locked="0"/>
    </xf>
    <xf numFmtId="3" fontId="0" fillId="3" borderId="14" xfId="0" applyNumberFormat="1" applyFill="1" applyBorder="1" applyAlignment="1" applyProtection="1">
      <alignment vertical="center"/>
      <protection locked="0"/>
    </xf>
    <xf numFmtId="14" fontId="0" fillId="3" borderId="17" xfId="0" applyNumberFormat="1" applyFill="1" applyBorder="1" applyAlignment="1" applyProtection="1">
      <alignment vertical="center"/>
      <protection locked="0"/>
    </xf>
    <xf numFmtId="14" fontId="0" fillId="3" borderId="1" xfId="0" applyNumberFormat="1" applyFill="1" applyBorder="1" applyAlignment="1" applyProtection="1">
      <alignment vertical="center"/>
      <protection locked="0"/>
    </xf>
    <xf numFmtId="0" fontId="0" fillId="3" borderId="10" xfId="0" applyFill="1" applyBorder="1" applyAlignment="1">
      <alignment vertical="center"/>
    </xf>
    <xf numFmtId="0" fontId="0" fillId="3" borderId="19" xfId="0" applyFill="1" applyBorder="1" applyAlignment="1" applyProtection="1">
      <alignment vertical="center"/>
      <protection locked="0"/>
    </xf>
    <xf numFmtId="0" fontId="0" fillId="3" borderId="9" xfId="0" applyFill="1" applyBorder="1" applyAlignment="1" applyProtection="1">
      <alignment vertical="center"/>
      <protection locked="0"/>
    </xf>
    <xf numFmtId="1" fontId="0" fillId="4" borderId="17" xfId="0" applyNumberFormat="1" applyFill="1" applyBorder="1" applyAlignment="1" applyProtection="1">
      <alignment vertical="center"/>
      <protection locked="0"/>
    </xf>
    <xf numFmtId="1" fontId="0" fillId="4" borderId="1" xfId="0" applyNumberFormat="1" applyFill="1" applyBorder="1" applyAlignment="1" applyProtection="1">
      <alignment vertical="center"/>
      <protection locked="0"/>
    </xf>
    <xf numFmtId="0" fontId="1" fillId="2" borderId="0" xfId="1" applyFill="1" applyBorder="1" applyAlignment="1" applyProtection="1">
      <alignment vertical="center"/>
      <protection locked="0"/>
    </xf>
    <xf numFmtId="0" fontId="1" fillId="2" borderId="0" xfId="1" applyFill="1" applyBorder="1" applyProtection="1">
      <protection locked="0"/>
    </xf>
    <xf numFmtId="0" fontId="2" fillId="2" borderId="5" xfId="0" applyFont="1" applyFill="1" applyBorder="1" applyAlignment="1">
      <alignment vertical="center"/>
    </xf>
    <xf numFmtId="0" fontId="2" fillId="2" borderId="37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4" borderId="37" xfId="0" applyFill="1" applyBorder="1" applyAlignment="1" applyProtection="1">
      <alignment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3" borderId="14" xfId="0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3" fontId="0" fillId="4" borderId="14" xfId="0" applyNumberFormat="1" applyFill="1" applyBorder="1" applyAlignment="1" applyProtection="1">
      <alignment vertical="center"/>
      <protection locked="0"/>
    </xf>
    <xf numFmtId="1" fontId="0" fillId="4" borderId="14" xfId="0" applyNumberFormat="1" applyFill="1" applyBorder="1" applyAlignment="1" applyProtection="1">
      <alignment vertical="center"/>
      <protection locked="0"/>
    </xf>
    <xf numFmtId="164" fontId="0" fillId="4" borderId="21" xfId="0" applyNumberFormat="1" applyFill="1" applyBorder="1" applyAlignment="1">
      <alignment vertical="center"/>
    </xf>
    <xf numFmtId="164" fontId="0" fillId="4" borderId="38" xfId="0" applyNumberFormat="1" applyFill="1" applyBorder="1" applyAlignment="1">
      <alignment vertical="center"/>
    </xf>
    <xf numFmtId="3" fontId="0" fillId="4" borderId="39" xfId="0" applyNumberFormat="1" applyFill="1" applyBorder="1" applyAlignment="1">
      <alignment vertical="center"/>
    </xf>
    <xf numFmtId="164" fontId="0" fillId="4" borderId="38" xfId="0" applyNumberFormat="1" applyFill="1" applyBorder="1" applyAlignment="1" applyProtection="1">
      <alignment vertical="center"/>
      <protection locked="0"/>
    </xf>
    <xf numFmtId="164" fontId="0" fillId="4" borderId="40" xfId="0" applyNumberFormat="1" applyFill="1" applyBorder="1" applyAlignment="1">
      <alignment vertical="center"/>
    </xf>
    <xf numFmtId="164" fontId="0" fillId="7" borderId="41" xfId="0" applyNumberFormat="1" applyFill="1" applyBorder="1" applyAlignment="1">
      <alignment vertical="center"/>
    </xf>
    <xf numFmtId="164" fontId="0" fillId="4" borderId="39" xfId="0" applyNumberFormat="1" applyFill="1" applyBorder="1" applyAlignment="1">
      <alignment vertical="center"/>
    </xf>
    <xf numFmtId="164" fontId="0" fillId="4" borderId="14" xfId="0" applyNumberFormat="1" applyFill="1" applyBorder="1" applyAlignment="1">
      <alignment vertical="center"/>
    </xf>
    <xf numFmtId="164" fontId="0" fillId="4" borderId="41" xfId="0" applyNumberFormat="1" applyFill="1" applyBorder="1" applyAlignment="1">
      <alignment vertical="center"/>
    </xf>
    <xf numFmtId="164" fontId="0" fillId="7" borderId="39" xfId="0" applyNumberFormat="1" applyFill="1" applyBorder="1" applyAlignment="1">
      <alignment vertical="center"/>
    </xf>
    <xf numFmtId="14" fontId="0" fillId="3" borderId="14" xfId="0" applyNumberFormat="1" applyFill="1" applyBorder="1" applyAlignment="1" applyProtection="1">
      <alignment vertical="center"/>
      <protection locked="0"/>
    </xf>
    <xf numFmtId="0" fontId="0" fillId="3" borderId="15" xfId="0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2" fillId="5" borderId="8" xfId="0" applyFont="1" applyFill="1" applyBorder="1" applyAlignment="1">
      <alignment horizontal="center"/>
    </xf>
    <xf numFmtId="4" fontId="0" fillId="4" borderId="42" xfId="0" applyNumberFormat="1" applyFill="1" applyBorder="1" applyProtection="1">
      <protection locked="0"/>
    </xf>
    <xf numFmtId="164" fontId="0" fillId="4" borderId="43" xfId="0" applyNumberFormat="1" applyFill="1" applyBorder="1"/>
    <xf numFmtId="4" fontId="0" fillId="4" borderId="1" xfId="0" applyNumberFormat="1" applyFill="1" applyBorder="1" applyProtection="1">
      <protection locked="0"/>
    </xf>
    <xf numFmtId="0" fontId="1" fillId="0" borderId="0" xfId="1"/>
    <xf numFmtId="0" fontId="2" fillId="10" borderId="44" xfId="0" applyFont="1" applyFill="1" applyBorder="1" applyAlignment="1">
      <alignment horizontal="center"/>
    </xf>
    <xf numFmtId="3" fontId="0" fillId="9" borderId="45" xfId="0" applyNumberFormat="1" applyFill="1" applyBorder="1"/>
    <xf numFmtId="3" fontId="0" fillId="9" borderId="46" xfId="0" applyNumberFormat="1" applyFill="1" applyBorder="1"/>
    <xf numFmtId="3" fontId="0" fillId="9" borderId="47" xfId="0" applyNumberFormat="1" applyFill="1" applyBorder="1"/>
    <xf numFmtId="164" fontId="0" fillId="8" borderId="40" xfId="0" applyNumberFormat="1" applyFill="1" applyBorder="1" applyProtection="1">
      <protection locked="0"/>
    </xf>
    <xf numFmtId="164" fontId="0" fillId="12" borderId="3" xfId="2" applyNumberFormat="1" applyFont="1" applyFill="1" applyBorder="1" applyProtection="1">
      <protection locked="0"/>
    </xf>
    <xf numFmtId="164" fontId="0" fillId="11" borderId="11" xfId="2" applyNumberFormat="1" applyFont="1" applyFill="1" applyBorder="1" applyProtection="1">
      <protection locked="0"/>
    </xf>
    <xf numFmtId="164" fontId="0" fillId="8" borderId="14" xfId="0" applyNumberFormat="1" applyFill="1" applyBorder="1" applyProtection="1">
      <protection locked="0"/>
    </xf>
    <xf numFmtId="164" fontId="0" fillId="12" borderId="1" xfId="2" applyNumberFormat="1" applyFont="1" applyFill="1" applyBorder="1" applyProtection="1">
      <protection locked="0"/>
    </xf>
    <xf numFmtId="164" fontId="0" fillId="11" borderId="7" xfId="2" applyNumberFormat="1" applyFont="1" applyFill="1" applyBorder="1" applyProtection="1">
      <protection locked="0"/>
    </xf>
    <xf numFmtId="164" fontId="0" fillId="8" borderId="15" xfId="0" applyNumberFormat="1" applyFill="1" applyBorder="1" applyProtection="1">
      <protection locked="0"/>
    </xf>
    <xf numFmtId="164" fontId="0" fillId="12" borderId="9" xfId="2" applyNumberFormat="1" applyFont="1" applyFill="1" applyBorder="1" applyProtection="1">
      <protection locked="0"/>
    </xf>
    <xf numFmtId="164" fontId="0" fillId="11" borderId="10" xfId="2" applyNumberFormat="1" applyFont="1" applyFill="1" applyBorder="1" applyProtection="1">
      <protection locked="0"/>
    </xf>
    <xf numFmtId="0" fontId="2" fillId="17" borderId="48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3" fontId="0" fillId="9" borderId="51" xfId="0" applyNumberFormat="1" applyFill="1" applyBorder="1"/>
    <xf numFmtId="164" fontId="0" fillId="8" borderId="37" xfId="0" applyNumberFormat="1" applyFill="1" applyBorder="1" applyProtection="1">
      <protection locked="0"/>
    </xf>
    <xf numFmtId="164" fontId="0" fillId="12" borderId="4" xfId="2" applyNumberFormat="1" applyFont="1" applyFill="1" applyBorder="1" applyProtection="1">
      <protection locked="0"/>
    </xf>
    <xf numFmtId="164" fontId="0" fillId="11" borderId="5" xfId="2" applyNumberFormat="1" applyFont="1" applyFill="1" applyBorder="1" applyProtection="1">
      <protection locked="0"/>
    </xf>
    <xf numFmtId="0" fontId="2" fillId="15" borderId="3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9" fontId="2" fillId="15" borderId="41" xfId="2" applyFont="1" applyFill="1" applyBorder="1" applyAlignment="1" applyProtection="1">
      <alignment horizontal="center"/>
      <protection locked="0"/>
    </xf>
    <xf numFmtId="9" fontId="2" fillId="13" borderId="34" xfId="2" applyFont="1" applyFill="1" applyBorder="1" applyAlignment="1" applyProtection="1">
      <alignment horizontal="center"/>
      <protection locked="0"/>
    </xf>
    <xf numFmtId="9" fontId="2" fillId="14" borderId="35" xfId="2" applyFont="1" applyFill="1" applyBorder="1" applyAlignment="1" applyProtection="1">
      <alignment horizontal="center"/>
      <protection locked="0"/>
    </xf>
    <xf numFmtId="167" fontId="0" fillId="0" borderId="1" xfId="0" applyNumberFormat="1" applyBorder="1"/>
    <xf numFmtId="168" fontId="0" fillId="0" borderId="1" xfId="0" applyNumberFormat="1" applyBorder="1"/>
    <xf numFmtId="9" fontId="0" fillId="0" borderId="1" xfId="2" applyFont="1" applyBorder="1"/>
    <xf numFmtId="166" fontId="0" fillId="0" borderId="1" xfId="2" applyNumberFormat="1" applyFont="1" applyBorder="1"/>
    <xf numFmtId="4" fontId="0" fillId="4" borderId="31" xfId="2" applyNumberFormat="1" applyFont="1" applyFill="1" applyBorder="1" applyProtection="1">
      <protection locked="0"/>
    </xf>
    <xf numFmtId="0" fontId="0" fillId="4" borderId="32" xfId="2" applyNumberFormat="1" applyFont="1" applyFill="1" applyBorder="1"/>
    <xf numFmtId="0" fontId="3" fillId="4" borderId="17" xfId="0" applyFont="1" applyFill="1" applyBorder="1" applyAlignment="1">
      <alignment horizontal="center" vertical="center" wrapText="1"/>
    </xf>
    <xf numFmtId="0" fontId="1" fillId="4" borderId="1" xfId="1" applyFill="1" applyBorder="1" applyAlignment="1" applyProtection="1">
      <alignment vertical="center"/>
      <protection locked="0"/>
    </xf>
    <xf numFmtId="3" fontId="0" fillId="4" borderId="28" xfId="2" applyNumberFormat="1" applyFont="1" applyFill="1" applyBorder="1" applyProtection="1">
      <protection locked="0"/>
    </xf>
    <xf numFmtId="3" fontId="0" fillId="4" borderId="29" xfId="2" applyNumberFormat="1" applyFont="1" applyFill="1" applyBorder="1" applyProtection="1">
      <protection locked="0"/>
    </xf>
    <xf numFmtId="0" fontId="1" fillId="4" borderId="9" xfId="1" applyFill="1" applyBorder="1"/>
    <xf numFmtId="0" fontId="2" fillId="5" borderId="30" xfId="0" applyFont="1" applyFill="1" applyBorder="1" applyAlignment="1" applyProtection="1">
      <alignment horizontal="center"/>
      <protection locked="0"/>
    </xf>
    <xf numFmtId="9" fontId="0" fillId="4" borderId="9" xfId="2" applyFont="1" applyFill="1" applyBorder="1" applyProtection="1"/>
    <xf numFmtId="164" fontId="0" fillId="16" borderId="54" xfId="0" applyNumberFormat="1" applyFill="1" applyBorder="1" applyProtection="1">
      <protection locked="0"/>
    </xf>
    <xf numFmtId="164" fontId="0" fillId="16" borderId="49" xfId="0" applyNumberFormat="1" applyFill="1" applyBorder="1" applyProtection="1">
      <protection locked="0"/>
    </xf>
    <xf numFmtId="164" fontId="0" fillId="16" borderId="18" xfId="0" applyNumberFormat="1" applyFill="1" applyBorder="1" applyProtection="1">
      <protection locked="0"/>
    </xf>
    <xf numFmtId="164" fontId="0" fillId="16" borderId="50" xfId="0" applyNumberFormat="1" applyFill="1" applyBorder="1" applyProtection="1">
      <protection locked="0"/>
    </xf>
    <xf numFmtId="0" fontId="3" fillId="7" borderId="11" xfId="0" applyFont="1" applyFill="1" applyBorder="1" applyAlignment="1">
      <alignment vertical="center"/>
    </xf>
    <xf numFmtId="164" fontId="3" fillId="7" borderId="12" xfId="0" applyNumberFormat="1" applyFont="1" applyFill="1" applyBorder="1" applyAlignment="1">
      <alignment vertical="center"/>
    </xf>
    <xf numFmtId="164" fontId="3" fillId="7" borderId="3" xfId="0" applyNumberFormat="1" applyFont="1" applyFill="1" applyBorder="1" applyAlignment="1">
      <alignment vertical="center"/>
    </xf>
    <xf numFmtId="164" fontId="3" fillId="7" borderId="40" xfId="0" applyNumberFormat="1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64" fontId="3" fillId="4" borderId="17" xfId="0" applyNumberFormat="1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164" fontId="3" fillId="4" borderId="14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0" fillId="4" borderId="26" xfId="0" applyNumberFormat="1" applyFill="1" applyBorder="1" applyAlignment="1">
      <alignment vertical="center"/>
    </xf>
    <xf numFmtId="164" fontId="0" fillId="8" borderId="1" xfId="0" applyNumberFormat="1" applyFill="1" applyBorder="1" applyProtection="1">
      <protection locked="0"/>
    </xf>
    <xf numFmtId="0" fontId="6" fillId="9" borderId="1" xfId="0" applyFont="1" applyFill="1" applyBorder="1" applyAlignment="1">
      <alignment horizontal="center"/>
    </xf>
    <xf numFmtId="3" fontId="0" fillId="16" borderId="1" xfId="0" applyNumberFormat="1" applyFill="1" applyBorder="1"/>
    <xf numFmtId="0" fontId="2" fillId="8" borderId="1" xfId="0" applyFont="1" applyFill="1" applyBorder="1" applyAlignment="1">
      <alignment horizontal="center"/>
    </xf>
    <xf numFmtId="9" fontId="0" fillId="8" borderId="1" xfId="2" applyFont="1" applyFill="1" applyBorder="1"/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0" fillId="0" borderId="0" xfId="2" applyFont="1" applyAlignment="1">
      <alignment vertical="center"/>
    </xf>
    <xf numFmtId="9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6" xfId="0" applyFont="1" applyFill="1" applyBorder="1" applyAlignment="1" applyProtection="1">
      <alignment horizontal="center"/>
      <protection locked="0"/>
    </xf>
    <xf numFmtId="4" fontId="0" fillId="4" borderId="4" xfId="2" applyNumberFormat="1" applyFont="1" applyFill="1" applyBorder="1" applyProtection="1">
      <protection locked="0"/>
    </xf>
    <xf numFmtId="0" fontId="0" fillId="4" borderId="5" xfId="2" applyNumberFormat="1" applyFont="1" applyFill="1" applyBorder="1"/>
    <xf numFmtId="0" fontId="2" fillId="5" borderId="19" xfId="0" applyFont="1" applyFill="1" applyBorder="1" applyAlignment="1" applyProtection="1">
      <alignment horizontal="center"/>
      <protection locked="0"/>
    </xf>
    <xf numFmtId="0" fontId="0" fillId="4" borderId="10" xfId="2" applyNumberFormat="1" applyFont="1" applyFill="1" applyBorder="1"/>
    <xf numFmtId="3" fontId="0" fillId="4" borderId="9" xfId="2" applyNumberFormat="1" applyFont="1" applyFill="1" applyBorder="1" applyProtection="1"/>
    <xf numFmtId="0" fontId="2" fillId="6" borderId="30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2" fillId="6" borderId="56" xfId="0" applyFont="1" applyFill="1" applyBorder="1" applyAlignment="1">
      <alignment horizontal="center"/>
    </xf>
    <xf numFmtId="0" fontId="2" fillId="6" borderId="48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10" borderId="52" xfId="0" applyFont="1" applyFill="1" applyBorder="1" applyAlignment="1">
      <alignment horizontal="center" vertical="center"/>
    </xf>
    <xf numFmtId="0" fontId="2" fillId="10" borderId="53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Marin" id="{E80CCBB5-E84E-46AC-B970-2730B3D6D023}" userId="Pablo Marin" providerId="None"/>
  <person displayName="Pablo Marin" id="{4C311A25-91CE-4427-8CA4-B219854DD9B4}" userId="7bb354efe4256362" providerId="Windows Live"/>
</personList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3-20T10:17:36.00" personId="{E80CCBB5-E84E-46AC-B970-2730B3D6D023}" id="{19C77D1F-A91A-4315-948B-DB8C1542842D}">
    <text>Considered as extra-urban (WLTP High)</text>
  </threadedComment>
  <threadedComment ref="G3" dT="2024-11-08T15:09:53.62" personId="{E80CCBB5-E84E-46AC-B970-2730B3D6D023}" id="{5EE2513B-8A4D-4212-AE27-EA97B7F179E6}">
    <text>https://business.gov.nl/running-your-business/staff/payment-and-wages/paying-your-employees-travel-allowance/</text>
    <extLst>
      <x:ext xmlns:xltc2="http://schemas.microsoft.com/office/spreadsheetml/2020/threadedcomments2" uri="{F7C98A9C-CBB3-438F-8F68-D28B6AF4A901}">
        <xltc2:checksum>3622005596</xltc2:checksum>
        <xltc2:hyperlink startIndex="0" length="109" url="https://business.gov.nl/running-your-business/staff/payment-and-wages/paying-your-employees-travel-allowance/"/>
      </x:ext>
    </extLst>
  </threadedComment>
  <threadedComment ref="B4" dT="2023-03-20T10:17:05.19" personId="{E80CCBB5-E84E-46AC-B970-2730B3D6D023}" id="{5B86D5CA-D76D-4B0E-9BDA-31B5CFFE97AE}">
    <text>WLTP Low (56,5 km/h)</text>
  </threadedComment>
  <threadedComment ref="B5" dT="2023-03-20T10:17:57.85" personId="{E80CCBB5-E84E-46AC-B970-2730B3D6D023}" id="{73E3BE9F-28A2-405D-B45C-5F79AA9C5DB3}">
    <text>WLTP High (97,4 km/h)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3-01-19T11:08:33.21" personId="{E80CCBB5-E84E-46AC-B970-2730B3D6D023}" id="{2B9A6EB7-2DE0-443F-905C-666160F8FFB5}">
    <text>WLTP Low (56,5 km/h)</text>
  </threadedComment>
  <threadedComment ref="B9" dT="2023-01-19T11:08:55.45" personId="{E80CCBB5-E84E-46AC-B970-2730B3D6D023}" id="{CB34F4D4-FF01-42CB-A0CA-2AB10BF8CD0C}">
    <text>WLTP High (97,4 km/h)</text>
  </threadedComment>
  <threadedComment ref="B12" dT="2023-01-17T16:27:34.67" personId="{E80CCBB5-E84E-46AC-B970-2730B3D6D023}" id="{482B1242-19DA-4FA2-A310-C4EFFFDCF903}">
    <text>For ICE vehicle use formula, for electric vehicle use https://ev-database.org/ Real Range - Combined - Mild Weather</text>
  </threadedComment>
  <threadedComment ref="B38" dT="2024-11-06T16:50:39.70" personId="{E80CCBB5-E84E-46AC-B970-2730B3D6D023}" id="{5F6A7EFA-E1C0-4DC5-A9CD-8B38CBF2E285}">
    <text xml:space="preserve">Required for the government subsidy. Available at: https://ovi.rdw.nl/
</text>
    <extLst>
      <x:ext xmlns:xltc2="http://schemas.microsoft.com/office/spreadsheetml/2020/threadedcomments2" uri="{F7C98A9C-CBB3-438F-8F68-D28B6AF4A901}">
        <xltc2:checksum>652963989</xltc2:checksum>
        <xltc2:hyperlink startIndex="51" length="19" url="https://ovi.rdw.nl/"/>
      </x:ext>
    </extLst>
  </threadedComment>
  <threadedComment ref="B40" dT="2023-03-23T12:22:54.16" personId="{E80CCBB5-E84E-46AC-B970-2730B3D6D023}" id="{163BEE1F-055F-49BB-B827-6152A634E96C}">
    <text>Only EU/EFTA
Sources: check Links sheet
BPM calculated with flat-rate</text>
  </threadedComment>
  <threadedComment ref="B41" dT="2022-12-26T22:11:04.52" personId="{4C311A25-91CE-4427-8CA4-B219854DD9B4}" id="{F9CBB0DC-523C-4EBC-BDB4-5FC40B6DFCC9}">
    <text>https://www.rvo.nl/subsidies-financiering/sepp</text>
  </threadedComment>
  <threadedComment ref="B43" dT="2024-11-06T17:17:58.57" personId="{E80CCBB5-E84E-46AC-B970-2730B3D6D023}" id="{B0EBF60E-6659-4954-BC35-9DAA38A0189A}">
    <text>Until the car is 14 years old or the leasing time.</text>
  </threadedComment>
  <threadedComment ref="B44" dT="2024-11-06T17:18:42.37" personId="{E80CCBB5-E84E-46AC-B970-2730B3D6D023}" id="{587069EA-3D16-4DDE-9722-ED1606C7E0E3}">
    <text>Value of the car at the age of 14 or 0 if leasing. This does not mean the car should be sold at that time, but it is to make a fair comparaison between all the cars.</text>
  </threadedComment>
  <threadedComment ref="B48" dT="2024-11-10T18:19:17.75" personId="{E80CCBB5-E84E-46AC-B970-2730B3D6D023}" id="{61AA8C33-0748-41BA-B217-90539D26FDC0}">
    <text>Estimated through independer.nl</text>
  </threadedComment>
  <threadedComment ref="B50" dT="2022-12-26T00:01:07.41" personId="{4C311A25-91CE-4427-8CA4-B219854DD9B4}" id="{93B7B2EB-1B16-4868-B359-A7BE945499E7}">
    <text>https://www.belastingdienst.nl/wps/wcm/connect/nl/auto-en-vervoer/content/hulpmiddel-motorrijtuigenbelasting-berekenen</text>
  </threadedComment>
  <threadedComment ref="B51" dT="2023-01-05T00:55:11.16" personId="{E80CCBB5-E84E-46AC-B970-2730B3D6D023}" id="{40DB1527-DD33-4AE8-8E73-8EE9919D8DE4}">
    <text>https://business.gov.nl/regulation/periodic-motor-vehicle-test-apk/</text>
  </threadedComment>
  <threadedComment ref="B52" dT="2023-02-06T10:43:55.18" personId="{E80CCBB5-E84E-46AC-B970-2730B3D6D023}" id="{0EA52372-AC07-4B46-AD4E-4FF0BE8A6B26}">
    <text>https://www.denhaag.nl/en/parking/apply-for-parking-permit/apply-for-parking-permit-for-residents.htm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4-11-06T18:15:52.82" personId="{E80CCBB5-E84E-46AC-B970-2730B3D6D023}" id="{44120E06-BD18-4801-96E0-8EA038F702A8}">
    <text>Up to … (kg)</text>
  </threadedComment>
  <threadedComment ref="A3" dT="2024-11-06T19:26:50.56" personId="{E80CCBB5-E84E-46AC-B970-2730B3D6D023}" id="{D73DE858-5EC8-4F07-8C02-698B1938B8AF}">
    <text>Tax for South-Holland, tax for other regions:
https://www.belastingdienst.nl/wps/wcm/connect/nl/auto-en-vervoer/content/hulpmiddel-motorrijtuigenbelasting-berekenen</text>
    <extLst>
      <x:ext xmlns:xltc2="http://schemas.microsoft.com/office/spreadsheetml/2020/threadedcomments2" uri="{F7C98A9C-CBB3-438F-8F68-D28B6AF4A901}">
        <xltc2:checksum>2654592871</xltc2:checksum>
        <xltc2:hyperlink startIndex="46" length="118" url="https://www.belastingdienst.nl/wps/wcm/connect/nl/auto-en-vervoer/content/hulpmiddel-motorrijtuigenbelasting-berekene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oorraad.autobedrijfeb.nl/sa0446b36c5d56662bf8fb788f63ea754/voorraad/stock/6244/vehicles/20/details/33032182/volkswagen-up-1-0-60pk-take-up/" TargetMode="External"/><Relationship Id="rId13" Type="http://schemas.openxmlformats.org/officeDocument/2006/relationships/hyperlink" Target="https://www.nederlandmobiel.nl/tweedehands-auto/smart/fortwo-coupe-electric-drive2000-subsidienap/16837067?auto-model-history=%5B%5D&amp;source=search&amp;merk%5b%5d=200&amp;prijs_tot=9000&amp;brandstof%5b%5d=electro&amp;p-sort=ingevoerd&amp;i=1" TargetMode="External"/><Relationship Id="rId18" Type="http://schemas.openxmlformats.org/officeDocument/2006/relationships/hyperlink" Target="https://ev-database.org/car/1004/BMW-i3-60-Ah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autoscout24.nl/aanbod/smart-fortwo-eigen-accu-electric-drive-elektrisch-grijs-3bd998d5-079b-47ae-b13f-2211e3e574c9?sort=price&amp;desc=0&amp;lastSeenGuidPresent=true&amp;cldtidx=56&amp;position=56&amp;search_id=ndkds14l6u&amp;source_otp=t10&amp;source=listpage_search-results" TargetMode="External"/><Relationship Id="rId21" Type="http://schemas.openxmlformats.org/officeDocument/2006/relationships/hyperlink" Target="https://ev-database.org/car/1068/BMW-i3-94-Ah" TargetMode="External"/><Relationship Id="rId7" Type="http://schemas.openxmlformats.org/officeDocument/2006/relationships/hyperlink" Target="https://www.marktplaats.nl/v/auto-s/smart/m1951091296-smart-fortwo-electric-drive-coupe-2015-wit-apk-13-1-2024" TargetMode="External"/><Relationship Id="rId12" Type="http://schemas.openxmlformats.org/officeDocument/2006/relationships/hyperlink" Target="https://www.hoczeeland.nl/aanbod/detail?id=2216" TargetMode="External"/><Relationship Id="rId17" Type="http://schemas.openxmlformats.org/officeDocument/2006/relationships/hyperlink" Target="https://ev-database.org/car/1145/BMW-i3-120-Ah" TargetMode="External"/><Relationship Id="rId25" Type="http://schemas.openxmlformats.org/officeDocument/2006/relationships/hyperlink" Target="https://ev-database.org/car/1708/MG-MG4-Electric-64-kWh" TargetMode="External"/><Relationship Id="rId2" Type="http://schemas.openxmlformats.org/officeDocument/2006/relationships/hyperlink" Target="https://www.autoscout24.nl/aanbod/volkswagen-polo-1-0-bluemotion-edition-executive-parkeersensoren-benzine-blauw-68103ada-b1ce-433e-aac6-f73a6c7d465b" TargetMode="External"/><Relationship Id="rId16" Type="http://schemas.openxmlformats.org/officeDocument/2006/relationships/hyperlink" Target="https://www.finn.no/car/used/ad.html?finnkode=306163115" TargetMode="External"/><Relationship Id="rId20" Type="http://schemas.openxmlformats.org/officeDocument/2006/relationships/hyperlink" Target="https://ev-database.org/car/1004/BMW-i3-60-Ah" TargetMode="External"/><Relationship Id="rId29" Type="http://schemas.microsoft.com/office/2017/10/relationships/threadedComment" Target="../threadedComments/threadedComment2.xml"/><Relationship Id="rId1" Type="http://schemas.openxmlformats.org/officeDocument/2006/relationships/hyperlink" Target="https://www.volkswagen.nl/stocklocator" TargetMode="External"/><Relationship Id="rId6" Type="http://schemas.openxmlformats.org/officeDocument/2006/relationships/hyperlink" Target="https://www.yourlease.nl/volkswagen/volkswagen-up/" TargetMode="External"/><Relationship Id="rId11" Type="http://schemas.openxmlformats.org/officeDocument/2006/relationships/hyperlink" Target="https://www.autozieleman.nl/auto-kopen/bmw/i3/bmw-i3-luxury-range-extender-22-kwh-60ah-navi-leer-camera-led/2770653/" TargetMode="External"/><Relationship Id="rId24" Type="http://schemas.openxmlformats.org/officeDocument/2006/relationships/hyperlink" Target="https://ev-database.org/car/1657/Nissan-Leaf-eplus" TargetMode="External"/><Relationship Id="rId5" Type="http://schemas.openxmlformats.org/officeDocument/2006/relationships/hyperlink" Target="https://www.cockvanburenautos.nl/Volkswagen/Polo/1.0-TGI-AC-NAVI-MULTI-STUUR-CRUISE-CONTROLE-ELEC-RAMEN-Comfortline-4966933/4451/1/2/details.aspx?zoek=&amp;mrkid=81&amp;mrk=Volkswagen&amp;mdlid=1293&amp;so=gallerij" TargetMode="External"/><Relationship Id="rId15" Type="http://schemas.openxmlformats.org/officeDocument/2006/relationships/hyperlink" Target="https://www.autoscout24.nl/aanbod/bmw-i3-range-extender-leder-navi-schuif-kanteldak-elektro-benzine-oranje-bedd4c4d-c582-4596-83d4-09ab7a437b8a?sort=price&amp;desc=0&amp;lastSeenGuidPresent=true&amp;cldtidx=1&amp;position=1&amp;search_id=jyvlmqt27e&amp;source_otp=t10&amp;source=listpage_search-results&amp;order_bucket=unknown" TargetMode="External"/><Relationship Id="rId23" Type="http://schemas.openxmlformats.org/officeDocument/2006/relationships/hyperlink" Target="https://ev-database.org/car/1138/Tesla-Model-3-Long-Range-Dual-Motor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www.autotijd.nl/aanbod" TargetMode="External"/><Relationship Id="rId19" Type="http://schemas.openxmlformats.org/officeDocument/2006/relationships/hyperlink" Target="https://ev-database.org/car/1004/BMW-i3-60-Ah" TargetMode="External"/><Relationship Id="rId4" Type="http://schemas.openxmlformats.org/officeDocument/2006/relationships/hyperlink" Target="https://www.autoscout24.nl/aanbod/opel-ampera-e-launch-executive-60-kwh-stoel-stuur-verw-camera-elektrisch-grijs-148fed86-3dfd-42f7-9a60-47f00ecfe030?sort=standard&amp;desc=0&amp;lastSeenGuidPresent=true&amp;cldtidx=9&amp;position=9&amp;search_id=ud92zyhwea&amp;source_otp=t30&amp;source=listpage_search-results" TargetMode="External"/><Relationship Id="rId9" Type="http://schemas.openxmlformats.org/officeDocument/2006/relationships/hyperlink" Target="https://voorraad.autobedrijfeb.nl/sa0446b36c5d56662bf8fb788f63ea754/voorraad/stock/7866/vehicles/20/details/31682879/volkswagen-polo-1-2-tsi-90pk-comfortline-business-r/" TargetMode="External"/><Relationship Id="rId14" Type="http://schemas.openxmlformats.org/officeDocument/2006/relationships/hyperlink" Target="https://www.autoscout24.nl/aanbod/bmw-i3-range-extender-94ah-24-292km-elektro-benzine-wit-3dc04599-4b00-46d1-a003-c13ef5db2cf4?sort=price&amp;desc=0&amp;lastSeenGuidPresent=false&amp;cldtidx=2&amp;position=2&amp;search_id=y6jkhwj8v0&amp;source_otp=t10&amp;source=listpage_search-results&amp;order_bucket=unknown" TargetMode="External"/><Relationship Id="rId22" Type="http://schemas.openxmlformats.org/officeDocument/2006/relationships/hyperlink" Target="https://ev-database.org/car/1051/Opel-Ampera-e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pender.nl/" TargetMode="External"/><Relationship Id="rId13" Type="http://schemas.openxmlformats.org/officeDocument/2006/relationships/hyperlink" Target="https://www.nederlandmobiel.nl/" TargetMode="External"/><Relationship Id="rId3" Type="http://schemas.openxmlformats.org/officeDocument/2006/relationships/hyperlink" Target="https://ovi.rdw.nl/" TargetMode="External"/><Relationship Id="rId7" Type="http://schemas.openxmlformats.org/officeDocument/2006/relationships/hyperlink" Target="https://bynco.com/" TargetMode="External"/><Relationship Id="rId12" Type="http://schemas.openxmlformats.org/officeDocument/2006/relationships/hyperlink" Target="https://www.gebruikteauto.nl/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ev-database.org/" TargetMode="External"/><Relationship Id="rId16" Type="http://schemas.openxmlformats.org/officeDocument/2006/relationships/hyperlink" Target="https://www.belastingdienst.nl/wps/wcm/connect/bldcontentnl/belastingdienst/prive/auto_en_vervoer/belastingen_op_auto_en_motor/bpm/" TargetMode="External"/><Relationship Id="rId1" Type="http://schemas.openxmlformats.org/officeDocument/2006/relationships/hyperlink" Target="https://www.rdw.nl/over-rdw/information-in-english/private/import/moving-to-the-netherlands-and-taking-your-vehicle-with-you" TargetMode="External"/><Relationship Id="rId6" Type="http://schemas.openxmlformats.org/officeDocument/2006/relationships/hyperlink" Target="https://business.gov.nl/regulation/periodic-motor-vehicle-test-apk/" TargetMode="External"/><Relationship Id="rId11" Type="http://schemas.openxmlformats.org/officeDocument/2006/relationships/hyperlink" Target="https://www.auto.nl/" TargetMode="External"/><Relationship Id="rId5" Type="http://schemas.openxmlformats.org/officeDocument/2006/relationships/hyperlink" Target="https://www.rvo.nl/subsidies-financiering/sepp" TargetMode="External"/><Relationship Id="rId15" Type="http://schemas.openxmlformats.org/officeDocument/2006/relationships/hyperlink" Target="https://www.denhaag.nl/en/parking/apply-for-parking-permit/apply-for-parking-permit-for-residents.htm" TargetMode="External"/><Relationship Id="rId10" Type="http://schemas.openxmlformats.org/officeDocument/2006/relationships/hyperlink" Target="https://www.ooyyo.com/" TargetMode="External"/><Relationship Id="rId4" Type="http://schemas.openxmlformats.org/officeDocument/2006/relationships/hyperlink" Target="https://www.belastingdienst.nl/wps/wcm/connect/nl/auto-en-vervoer/content/hulpmiddel-motorrijtuigenbelasting-berekenen" TargetMode="External"/><Relationship Id="rId9" Type="http://schemas.openxmlformats.org/officeDocument/2006/relationships/hyperlink" Target="https://www.autoscout24.nl/" TargetMode="External"/><Relationship Id="rId14" Type="http://schemas.openxmlformats.org/officeDocument/2006/relationships/hyperlink" Target="https://www.eurostocks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belastingdienst.nl/wps/wcm/connect/bldcontentnl/belastingdienst/prive/auto_en_vervoer/belastingen_op_auto_en_motor/bpm/" TargetMode="External"/><Relationship Id="rId1" Type="http://schemas.openxmlformats.org/officeDocument/2006/relationships/hyperlink" Target="https://www.rdw.nl/en/import-export-transit/importing-a-car-from-a-eu-or-efta-count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E14-7A2C-4783-8079-57B1C8C96C3A}">
  <sheetPr codeName="Sheet2"/>
  <dimension ref="B1:I15"/>
  <sheetViews>
    <sheetView showGridLines="0" tabSelected="1" workbookViewId="0">
      <selection activeCell="C3" sqref="C3"/>
    </sheetView>
  </sheetViews>
  <sheetFormatPr defaultRowHeight="14.5" x14ac:dyDescent="0.35"/>
  <cols>
    <col min="2" max="2" width="17.26953125" bestFit="1" customWidth="1"/>
    <col min="6" max="6" width="14.90625" bestFit="1" customWidth="1"/>
  </cols>
  <sheetData>
    <row r="1" spans="2:9" ht="15" thickBot="1" x14ac:dyDescent="0.4"/>
    <row r="2" spans="2:9" ht="15" thickBot="1" x14ac:dyDescent="0.4">
      <c r="B2" s="205" t="s">
        <v>29</v>
      </c>
      <c r="C2" s="206"/>
      <c r="D2" s="207"/>
      <c r="F2" s="209" t="s">
        <v>212</v>
      </c>
      <c r="G2" s="210"/>
      <c r="H2" s="211"/>
    </row>
    <row r="3" spans="2:9" x14ac:dyDescent="0.35">
      <c r="B3" s="31" t="s">
        <v>26</v>
      </c>
      <c r="C3" s="42">
        <f>22*2*2.5*30/7*10.5</f>
        <v>4950</v>
      </c>
      <c r="D3" s="32" t="s">
        <v>23</v>
      </c>
      <c r="F3" s="199" t="s">
        <v>264</v>
      </c>
      <c r="G3" s="200">
        <v>0.23</v>
      </c>
      <c r="H3" s="201" t="s">
        <v>263</v>
      </c>
    </row>
    <row r="4" spans="2:9" ht="15" thickBot="1" x14ac:dyDescent="0.4">
      <c r="B4" s="27" t="s">
        <v>27</v>
      </c>
      <c r="C4" s="43">
        <f>50*12</f>
        <v>600</v>
      </c>
      <c r="D4" s="19" t="s">
        <v>23</v>
      </c>
      <c r="F4" s="202" t="s">
        <v>265</v>
      </c>
      <c r="G4" s="204">
        <f>Commuting_km*Travel_allowance_rate</f>
        <v>1138.5</v>
      </c>
      <c r="H4" s="203" t="s">
        <v>267</v>
      </c>
    </row>
    <row r="5" spans="2:9" ht="15" thickBot="1" x14ac:dyDescent="0.4">
      <c r="B5" s="28" t="s">
        <v>28</v>
      </c>
      <c r="C5" s="44">
        <f>1500*3</f>
        <v>4500</v>
      </c>
      <c r="D5" s="24" t="s">
        <v>23</v>
      </c>
    </row>
    <row r="6" spans="2:9" ht="15" thickBot="1" x14ac:dyDescent="0.4">
      <c r="B6" s="29" t="s">
        <v>30</v>
      </c>
      <c r="C6" s="30">
        <f>Commuting_km+Urban_km+Extra_urban_km</f>
        <v>10050</v>
      </c>
      <c r="D6" s="25" t="s">
        <v>23</v>
      </c>
    </row>
    <row r="7" spans="2:9" ht="15" thickBot="1" x14ac:dyDescent="0.4"/>
    <row r="8" spans="2:9" ht="15" thickBot="1" x14ac:dyDescent="0.4">
      <c r="B8" s="205" t="s">
        <v>198</v>
      </c>
      <c r="C8" s="206"/>
      <c r="D8" s="207"/>
    </row>
    <row r="9" spans="2:9" ht="15" thickBot="1" x14ac:dyDescent="0.4">
      <c r="B9" s="27" t="s">
        <v>31</v>
      </c>
      <c r="C9" s="45">
        <v>2</v>
      </c>
      <c r="D9" s="19" t="s">
        <v>24</v>
      </c>
      <c r="F9" s="205" t="s">
        <v>63</v>
      </c>
      <c r="G9" s="206"/>
      <c r="H9" s="208"/>
      <c r="I9" s="207"/>
    </row>
    <row r="10" spans="2:9" x14ac:dyDescent="0.35">
      <c r="B10" s="26" t="s">
        <v>199</v>
      </c>
      <c r="C10" s="63">
        <v>0.36</v>
      </c>
      <c r="D10" s="18" t="s">
        <v>25</v>
      </c>
      <c r="F10" s="26" t="s">
        <v>199</v>
      </c>
      <c r="G10" s="46">
        <v>0.6</v>
      </c>
      <c r="H10" s="169">
        <f>G10*$C$6</f>
        <v>6030</v>
      </c>
      <c r="I10" s="18" t="s">
        <v>23</v>
      </c>
    </row>
    <row r="11" spans="2:9" ht="15" thickBot="1" x14ac:dyDescent="0.4">
      <c r="B11" s="27" t="s">
        <v>200</v>
      </c>
      <c r="C11" s="132">
        <v>0.6</v>
      </c>
      <c r="D11" s="19" t="s">
        <v>25</v>
      </c>
      <c r="F11" s="23" t="s">
        <v>200</v>
      </c>
      <c r="G11" s="173">
        <f>1-G10</f>
        <v>0.4</v>
      </c>
      <c r="H11" s="170">
        <f>G11*$C$6</f>
        <v>4020</v>
      </c>
      <c r="I11" s="22" t="s">
        <v>23</v>
      </c>
    </row>
    <row r="12" spans="2:9" ht="15" thickBot="1" x14ac:dyDescent="0.4">
      <c r="B12" s="129" t="s">
        <v>201</v>
      </c>
      <c r="C12" s="130">
        <v>0</v>
      </c>
      <c r="D12" s="131" t="s">
        <v>25</v>
      </c>
    </row>
    <row r="13" spans="2:9" ht="15" thickBot="1" x14ac:dyDescent="0.4"/>
    <row r="14" spans="2:9" ht="15" thickBot="1" x14ac:dyDescent="0.4">
      <c r="B14" s="209" t="s">
        <v>46</v>
      </c>
      <c r="C14" s="210"/>
      <c r="D14" s="211"/>
    </row>
    <row r="15" spans="2:9" ht="15" thickBot="1" x14ac:dyDescent="0.4">
      <c r="B15" s="172" t="s">
        <v>210</v>
      </c>
      <c r="C15" s="165">
        <v>90</v>
      </c>
      <c r="D15" s="166" t="s">
        <v>211</v>
      </c>
    </row>
  </sheetData>
  <sheetProtection sheet="1" objects="1" scenarios="1" selectLockedCells="1"/>
  <mergeCells count="5">
    <mergeCell ref="B2:D2"/>
    <mergeCell ref="B8:D8"/>
    <mergeCell ref="F9:I9"/>
    <mergeCell ref="B14:D14"/>
    <mergeCell ref="F2:H2"/>
  </mergeCells>
  <pageMargins left="0.7" right="0.7" top="0.75" bottom="0.75" header="0.3" footer="0.3"/>
  <pageSetup paperSize="9" orientation="portrait" r:id="rId1"/>
  <ignoredErrors>
    <ignoredError sqref="H10:H11 G11 C5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9218-BD72-4916-B529-E06C5AE5279D}">
  <sheetPr codeName="Sheet3"/>
  <dimension ref="A1:V241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ColWidth="8.7265625" defaultRowHeight="14.5" x14ac:dyDescent="0.35"/>
  <cols>
    <col min="1" max="1" width="17.6328125" style="62" bestFit="1" customWidth="1"/>
    <col min="2" max="2" width="30.08984375" style="62" bestFit="1" customWidth="1"/>
    <col min="3" max="22" width="18.26953125" style="62" customWidth="1"/>
    <col min="23" max="16384" width="8.7265625" style="62"/>
  </cols>
  <sheetData>
    <row r="1" spans="1:22" x14ac:dyDescent="0.35">
      <c r="A1" s="212" t="s">
        <v>4</v>
      </c>
      <c r="B1" s="102" t="s">
        <v>2</v>
      </c>
      <c r="C1" s="124" t="s">
        <v>97</v>
      </c>
      <c r="D1" s="105" t="s">
        <v>97</v>
      </c>
      <c r="E1" s="127" t="s">
        <v>97</v>
      </c>
      <c r="F1" s="105" t="s">
        <v>97</v>
      </c>
      <c r="G1" s="104" t="s">
        <v>162</v>
      </c>
      <c r="H1" s="127" t="s">
        <v>162</v>
      </c>
      <c r="I1" s="104" t="s">
        <v>66</v>
      </c>
      <c r="J1" s="104" t="s">
        <v>66</v>
      </c>
      <c r="K1" s="104" t="s">
        <v>66</v>
      </c>
      <c r="L1" s="103" t="s">
        <v>66</v>
      </c>
      <c r="M1" s="105" t="s">
        <v>213</v>
      </c>
      <c r="N1" s="105" t="s">
        <v>176</v>
      </c>
      <c r="O1" s="105" t="s">
        <v>176</v>
      </c>
      <c r="P1" s="105" t="s">
        <v>176</v>
      </c>
      <c r="Q1" s="105" t="s">
        <v>176</v>
      </c>
      <c r="R1" s="105" t="s">
        <v>176</v>
      </c>
      <c r="S1" s="105" t="s">
        <v>98</v>
      </c>
      <c r="T1" s="104" t="s">
        <v>58</v>
      </c>
      <c r="U1" s="104" t="s">
        <v>8</v>
      </c>
      <c r="V1" s="104" t="s">
        <v>87</v>
      </c>
    </row>
    <row r="2" spans="1:22" x14ac:dyDescent="0.35">
      <c r="A2" s="213"/>
      <c r="B2" s="6" t="s">
        <v>3</v>
      </c>
      <c r="C2" s="125" t="s">
        <v>96</v>
      </c>
      <c r="D2" s="48" t="s">
        <v>96</v>
      </c>
      <c r="E2" s="47" t="s">
        <v>185</v>
      </c>
      <c r="F2" s="48" t="s">
        <v>96</v>
      </c>
      <c r="G2" s="48" t="s">
        <v>168</v>
      </c>
      <c r="H2" s="47" t="s">
        <v>156</v>
      </c>
      <c r="I2" s="48"/>
      <c r="J2" s="48" t="s">
        <v>135</v>
      </c>
      <c r="K2" s="48" t="s">
        <v>169</v>
      </c>
      <c r="L2" s="47" t="s">
        <v>146</v>
      </c>
      <c r="M2" s="48" t="s">
        <v>214</v>
      </c>
      <c r="N2" s="48" t="s">
        <v>249</v>
      </c>
      <c r="O2" s="48" t="s">
        <v>249</v>
      </c>
      <c r="P2" s="48" t="s">
        <v>223</v>
      </c>
      <c r="Q2" s="48" t="s">
        <v>218</v>
      </c>
      <c r="R2" s="48" t="s">
        <v>226</v>
      </c>
      <c r="S2" s="48" t="s">
        <v>99</v>
      </c>
      <c r="T2" s="48" t="s">
        <v>84</v>
      </c>
      <c r="U2" s="48" t="s">
        <v>81</v>
      </c>
      <c r="V2" s="48" t="s">
        <v>88</v>
      </c>
    </row>
    <row r="3" spans="1:22" x14ac:dyDescent="0.35">
      <c r="A3" s="213"/>
      <c r="B3" s="6" t="s">
        <v>0</v>
      </c>
      <c r="C3" s="128" t="s">
        <v>93</v>
      </c>
      <c r="D3" s="51" t="s">
        <v>160</v>
      </c>
      <c r="E3" s="49" t="s">
        <v>184</v>
      </c>
      <c r="F3" s="51" t="s">
        <v>189</v>
      </c>
      <c r="G3" s="51" t="s">
        <v>166</v>
      </c>
      <c r="H3" s="101" t="s">
        <v>157</v>
      </c>
      <c r="I3" s="51" t="s">
        <v>75</v>
      </c>
      <c r="J3" s="100" t="s">
        <v>134</v>
      </c>
      <c r="K3" s="100" t="s">
        <v>170</v>
      </c>
      <c r="L3" s="49" t="s">
        <v>67</v>
      </c>
      <c r="M3" s="51"/>
      <c r="N3" s="51" t="s">
        <v>180</v>
      </c>
      <c r="O3" s="51" t="s">
        <v>182</v>
      </c>
      <c r="P3" s="51" t="s">
        <v>225</v>
      </c>
      <c r="Q3" s="51" t="s">
        <v>219</v>
      </c>
      <c r="R3" s="51" t="s">
        <v>227</v>
      </c>
      <c r="S3" s="51" t="s">
        <v>100</v>
      </c>
      <c r="T3" s="50" t="s">
        <v>143</v>
      </c>
      <c r="U3" s="50" t="s">
        <v>144</v>
      </c>
      <c r="V3" s="50" t="s">
        <v>142</v>
      </c>
    </row>
    <row r="4" spans="1:22" ht="55.9" customHeight="1" thickBot="1" x14ac:dyDescent="0.4">
      <c r="A4" s="214"/>
      <c r="B4" s="1" t="s">
        <v>43</v>
      </c>
      <c r="C4" s="126" t="e" vm="1">
        <v>#VALUE!</v>
      </c>
      <c r="D4" s="61" t="e" vm="2">
        <v>#VALUE!</v>
      </c>
      <c r="E4" s="60" t="e" vm="3">
        <v>#VALUE!</v>
      </c>
      <c r="F4" s="61"/>
      <c r="G4" s="61" t="e" vm="4">
        <v>#VALUE!</v>
      </c>
      <c r="H4" s="60"/>
      <c r="I4" s="61" t="e" vm="5">
        <v>#VALUE!</v>
      </c>
      <c r="J4" s="61" t="e" vm="6">
        <v>#VALUE!</v>
      </c>
      <c r="K4" s="61" t="e" vm="7">
        <v>#VALUE!</v>
      </c>
      <c r="L4" s="60" t="e" vm="8">
        <v>#VALUE!</v>
      </c>
      <c r="M4" s="61" t="e" vm="9">
        <v>#VALUE!</v>
      </c>
      <c r="N4" s="61" t="e" vm="10">
        <v>#VALUE!</v>
      </c>
      <c r="O4" s="61" t="e" vm="11">
        <v>#VALUE!</v>
      </c>
      <c r="P4" s="61" t="e" vm="12">
        <v>#VALUE!</v>
      </c>
      <c r="Q4" s="61" t="e" vm="13">
        <v>#VALUE!</v>
      </c>
      <c r="R4" s="61" t="e" vm="14">
        <v>#VALUE!</v>
      </c>
      <c r="S4" s="61" t="e" vm="15">
        <v>#VALUE!</v>
      </c>
      <c r="T4" s="61" t="e" vm="16">
        <v>#VALUE!</v>
      </c>
      <c r="U4" s="61" t="e" vm="17">
        <v>#VALUE!</v>
      </c>
      <c r="V4" s="61"/>
    </row>
    <row r="5" spans="1:22" x14ac:dyDescent="0.35">
      <c r="A5" s="218" t="s">
        <v>5</v>
      </c>
      <c r="B5" s="2" t="s">
        <v>6</v>
      </c>
      <c r="C5" s="52" t="s">
        <v>92</v>
      </c>
      <c r="D5" s="53" t="s">
        <v>92</v>
      </c>
      <c r="E5" s="106" t="s">
        <v>92</v>
      </c>
      <c r="F5" s="53" t="s">
        <v>92</v>
      </c>
      <c r="G5" s="53" t="s">
        <v>167</v>
      </c>
      <c r="H5" s="106"/>
      <c r="I5" s="53" t="s">
        <v>73</v>
      </c>
      <c r="J5" s="53" t="s">
        <v>172</v>
      </c>
      <c r="K5" s="53" t="s">
        <v>171</v>
      </c>
      <c r="L5" s="106" t="s">
        <v>71</v>
      </c>
      <c r="M5" s="53" t="s">
        <v>215</v>
      </c>
      <c r="N5" s="53" t="s">
        <v>177</v>
      </c>
      <c r="O5" s="53" t="s">
        <v>177</v>
      </c>
      <c r="P5" s="53" t="s">
        <v>177</v>
      </c>
      <c r="Q5" s="53" t="s">
        <v>177</v>
      </c>
      <c r="R5" s="53" t="s">
        <v>177</v>
      </c>
      <c r="S5" s="53"/>
      <c r="T5" s="53" t="s">
        <v>83</v>
      </c>
      <c r="U5" s="53" t="s">
        <v>77</v>
      </c>
      <c r="V5" s="53" t="s">
        <v>133</v>
      </c>
    </row>
    <row r="6" spans="1:22" x14ac:dyDescent="0.35">
      <c r="A6" s="219"/>
      <c r="B6" s="3" t="s">
        <v>7</v>
      </c>
      <c r="C6" s="54" t="s">
        <v>78</v>
      </c>
      <c r="D6" s="55" t="s">
        <v>78</v>
      </c>
      <c r="E6" s="107" t="s">
        <v>78</v>
      </c>
      <c r="F6" s="55" t="s">
        <v>78</v>
      </c>
      <c r="G6" s="55" t="s">
        <v>42</v>
      </c>
      <c r="H6" s="107" t="s">
        <v>42</v>
      </c>
      <c r="I6" s="55" t="s">
        <v>42</v>
      </c>
      <c r="J6" s="55" t="s">
        <v>42</v>
      </c>
      <c r="K6" s="55" t="s">
        <v>42</v>
      </c>
      <c r="L6" s="107" t="s">
        <v>42</v>
      </c>
      <c r="M6" s="55" t="s">
        <v>114</v>
      </c>
      <c r="N6" s="55" t="s">
        <v>78</v>
      </c>
      <c r="O6" s="55" t="s">
        <v>78</v>
      </c>
      <c r="P6" s="55" t="s">
        <v>78</v>
      </c>
      <c r="Q6" s="55" t="s">
        <v>78</v>
      </c>
      <c r="R6" s="55" t="s">
        <v>78</v>
      </c>
      <c r="S6" s="55" t="s">
        <v>78</v>
      </c>
      <c r="T6" s="55" t="s">
        <v>78</v>
      </c>
      <c r="U6" s="55" t="s">
        <v>78</v>
      </c>
      <c r="V6" s="55" t="s">
        <v>78</v>
      </c>
    </row>
    <row r="7" spans="1:22" x14ac:dyDescent="0.35">
      <c r="A7" s="215" t="s">
        <v>209</v>
      </c>
      <c r="B7" s="87" t="s">
        <v>1</v>
      </c>
      <c r="C7" s="88" t="s">
        <v>9</v>
      </c>
      <c r="D7" s="89" t="s">
        <v>9</v>
      </c>
      <c r="E7" s="108" t="s">
        <v>9</v>
      </c>
      <c r="F7" s="89" t="s">
        <v>9</v>
      </c>
      <c r="G7" s="89" t="s">
        <v>31</v>
      </c>
      <c r="H7" s="108" t="s">
        <v>31</v>
      </c>
      <c r="I7" s="89" t="s">
        <v>31</v>
      </c>
      <c r="J7" s="89" t="s">
        <v>31</v>
      </c>
      <c r="K7" s="89" t="s">
        <v>31</v>
      </c>
      <c r="L7" s="108" t="s">
        <v>31</v>
      </c>
      <c r="M7" s="89" t="s">
        <v>112</v>
      </c>
      <c r="N7" s="89" t="s">
        <v>9</v>
      </c>
      <c r="O7" s="89" t="s">
        <v>9</v>
      </c>
      <c r="P7" s="89" t="s">
        <v>9</v>
      </c>
      <c r="Q7" s="89" t="s">
        <v>9</v>
      </c>
      <c r="R7" s="89" t="s">
        <v>9</v>
      </c>
      <c r="S7" s="89" t="s">
        <v>9</v>
      </c>
      <c r="T7" s="89" t="s">
        <v>9</v>
      </c>
      <c r="U7" s="89" t="s">
        <v>9</v>
      </c>
      <c r="V7" s="89" t="s">
        <v>9</v>
      </c>
    </row>
    <row r="8" spans="1:22" x14ac:dyDescent="0.35">
      <c r="A8" s="216"/>
      <c r="B8" s="87" t="s">
        <v>59</v>
      </c>
      <c r="C8" s="88">
        <v>160</v>
      </c>
      <c r="D8" s="89">
        <v>160</v>
      </c>
      <c r="E8" s="108">
        <v>160</v>
      </c>
      <c r="F8" s="89">
        <v>160</v>
      </c>
      <c r="G8" s="89">
        <v>4.9000000000000004</v>
      </c>
      <c r="H8" s="108">
        <v>4.9000000000000004</v>
      </c>
      <c r="I8" s="89">
        <v>5</v>
      </c>
      <c r="J8" s="89">
        <v>5.3</v>
      </c>
      <c r="K8" s="89">
        <v>5.9</v>
      </c>
      <c r="L8" s="108">
        <v>6.7</v>
      </c>
      <c r="M8" s="89">
        <v>6</v>
      </c>
      <c r="N8" s="89">
        <v>110</v>
      </c>
      <c r="O8" s="89">
        <v>110</v>
      </c>
      <c r="P8" s="89">
        <v>110</v>
      </c>
      <c r="Q8" s="89">
        <v>105</v>
      </c>
      <c r="R8" s="89">
        <v>105</v>
      </c>
      <c r="S8" s="89">
        <v>173</v>
      </c>
      <c r="T8" s="89">
        <v>190</v>
      </c>
      <c r="U8" s="89">
        <v>180</v>
      </c>
      <c r="V8" s="89">
        <v>155</v>
      </c>
    </row>
    <row r="9" spans="1:22" x14ac:dyDescent="0.35">
      <c r="A9" s="216"/>
      <c r="B9" s="87" t="s">
        <v>60</v>
      </c>
      <c r="C9" s="88">
        <v>160</v>
      </c>
      <c r="D9" s="89">
        <v>160</v>
      </c>
      <c r="E9" s="108">
        <v>160</v>
      </c>
      <c r="F9" s="89">
        <v>160</v>
      </c>
      <c r="G9" s="89">
        <v>3.7</v>
      </c>
      <c r="H9" s="108">
        <v>3.7</v>
      </c>
      <c r="I9" s="89">
        <v>3.6</v>
      </c>
      <c r="J9" s="89">
        <v>4.0999999999999996</v>
      </c>
      <c r="K9" s="89">
        <v>4</v>
      </c>
      <c r="L9" s="108">
        <v>4.4000000000000004</v>
      </c>
      <c r="M9" s="89">
        <v>6</v>
      </c>
      <c r="N9" s="89">
        <v>185</v>
      </c>
      <c r="O9" s="89">
        <v>185</v>
      </c>
      <c r="P9" s="89">
        <v>185</v>
      </c>
      <c r="Q9" s="89">
        <v>179</v>
      </c>
      <c r="R9" s="89">
        <v>176</v>
      </c>
      <c r="S9" s="89">
        <v>173</v>
      </c>
      <c r="T9" s="89">
        <v>200</v>
      </c>
      <c r="U9" s="89">
        <v>230</v>
      </c>
      <c r="V9" s="89">
        <v>155</v>
      </c>
    </row>
    <row r="10" spans="1:22" x14ac:dyDescent="0.35">
      <c r="A10" s="216"/>
      <c r="B10" s="87" t="s">
        <v>33</v>
      </c>
      <c r="C10" s="90">
        <v>0</v>
      </c>
      <c r="D10" s="91">
        <v>0</v>
      </c>
      <c r="E10" s="92">
        <v>0</v>
      </c>
      <c r="F10" s="91">
        <v>0</v>
      </c>
      <c r="G10" s="91"/>
      <c r="H10" s="92"/>
      <c r="I10" s="91">
        <v>94</v>
      </c>
      <c r="J10" s="91">
        <v>110</v>
      </c>
      <c r="K10" s="91">
        <v>105</v>
      </c>
      <c r="L10" s="92">
        <v>129</v>
      </c>
      <c r="M10" s="91">
        <v>35</v>
      </c>
      <c r="N10" s="91">
        <v>13</v>
      </c>
      <c r="O10" s="91">
        <v>13</v>
      </c>
      <c r="P10" s="91">
        <v>13</v>
      </c>
      <c r="Q10" s="91">
        <v>12</v>
      </c>
      <c r="R10" s="91">
        <v>0</v>
      </c>
      <c r="S10" s="91">
        <v>0</v>
      </c>
      <c r="T10" s="91">
        <v>0</v>
      </c>
      <c r="U10" s="91">
        <v>0</v>
      </c>
      <c r="V10" s="91">
        <v>0</v>
      </c>
    </row>
    <row r="11" spans="1:22" x14ac:dyDescent="0.35">
      <c r="A11" s="216"/>
      <c r="B11" s="87" t="s">
        <v>11</v>
      </c>
      <c r="C11" s="90">
        <v>17.600000000000001</v>
      </c>
      <c r="D11" s="91">
        <v>17.600000000000001</v>
      </c>
      <c r="E11" s="92">
        <v>17.600000000000001</v>
      </c>
      <c r="F11" s="91">
        <v>17.600000000000001</v>
      </c>
      <c r="G11" s="91">
        <v>35</v>
      </c>
      <c r="H11" s="92">
        <v>35</v>
      </c>
      <c r="I11" s="91">
        <v>40</v>
      </c>
      <c r="J11" s="91">
        <v>40</v>
      </c>
      <c r="K11" s="91">
        <v>45</v>
      </c>
      <c r="L11" s="92">
        <v>40</v>
      </c>
      <c r="M11" s="91" t="s">
        <v>216</v>
      </c>
      <c r="N11" s="91">
        <v>21.6</v>
      </c>
      <c r="O11" s="91">
        <v>21.6</v>
      </c>
      <c r="P11" s="91">
        <v>22</v>
      </c>
      <c r="Q11" s="91">
        <v>33.200000000000003</v>
      </c>
      <c r="R11" s="91">
        <v>37.9</v>
      </c>
      <c r="S11" s="91">
        <v>60</v>
      </c>
      <c r="T11" s="91">
        <v>64</v>
      </c>
      <c r="U11" s="91">
        <v>62</v>
      </c>
      <c r="V11" s="91">
        <v>82</v>
      </c>
    </row>
    <row r="12" spans="1:22" x14ac:dyDescent="0.35">
      <c r="A12" s="216"/>
      <c r="B12" s="87" t="s">
        <v>12</v>
      </c>
      <c r="C12" s="90">
        <v>145</v>
      </c>
      <c r="D12" s="91">
        <v>145</v>
      </c>
      <c r="E12" s="92">
        <v>145</v>
      </c>
      <c r="F12" s="92">
        <v>145</v>
      </c>
      <c r="G12" s="92">
        <f t="shared" ref="G12:L12" si="0">IFERROR(IF(G7="Electric","Check online",G11/(G9/100)),"")</f>
        <v>945.94594594594582</v>
      </c>
      <c r="H12" s="92">
        <f t="shared" si="0"/>
        <v>945.94594594594582</v>
      </c>
      <c r="I12" s="92">
        <f t="shared" si="0"/>
        <v>1111.1111111111111</v>
      </c>
      <c r="J12" s="92">
        <f t="shared" si="0"/>
        <v>975.6097560975611</v>
      </c>
      <c r="K12" s="92">
        <f t="shared" si="0"/>
        <v>1125</v>
      </c>
      <c r="L12" s="92">
        <f t="shared" si="0"/>
        <v>909.09090909090901</v>
      </c>
      <c r="M12" s="92"/>
      <c r="N12" s="92">
        <v>200</v>
      </c>
      <c r="O12" s="92">
        <v>200</v>
      </c>
      <c r="P12" s="92">
        <v>200</v>
      </c>
      <c r="Q12" s="92">
        <v>250</v>
      </c>
      <c r="R12" s="92">
        <v>215</v>
      </c>
      <c r="S12" s="92">
        <v>305</v>
      </c>
      <c r="T12" s="92">
        <v>335</v>
      </c>
      <c r="U12" s="92">
        <v>310</v>
      </c>
      <c r="V12" s="92">
        <v>460</v>
      </c>
    </row>
    <row r="13" spans="1:22" x14ac:dyDescent="0.35">
      <c r="A13" s="220"/>
      <c r="B13" s="87" t="s">
        <v>254</v>
      </c>
      <c r="C13" s="90">
        <v>22</v>
      </c>
      <c r="D13" s="91">
        <v>22</v>
      </c>
      <c r="E13" s="92">
        <v>22</v>
      </c>
      <c r="F13" s="92">
        <v>22</v>
      </c>
      <c r="G13" s="92"/>
      <c r="H13" s="92"/>
      <c r="I13" s="92"/>
      <c r="J13" s="92"/>
      <c r="K13" s="92"/>
      <c r="L13" s="92"/>
      <c r="M13" s="92">
        <v>3</v>
      </c>
      <c r="N13" s="92">
        <v>47</v>
      </c>
      <c r="O13" s="92">
        <v>47</v>
      </c>
      <c r="P13" s="92">
        <v>47</v>
      </c>
      <c r="Q13" s="92">
        <v>49</v>
      </c>
      <c r="R13" s="92">
        <v>49</v>
      </c>
      <c r="S13" s="92">
        <v>46</v>
      </c>
      <c r="T13" s="92">
        <v>135</v>
      </c>
      <c r="U13" s="92">
        <v>100</v>
      </c>
      <c r="V13" s="92">
        <v>250</v>
      </c>
    </row>
    <row r="14" spans="1:22" x14ac:dyDescent="0.35">
      <c r="A14" s="221" t="s">
        <v>152</v>
      </c>
      <c r="B14" s="3" t="s">
        <v>57</v>
      </c>
      <c r="C14" s="54"/>
      <c r="D14" s="55"/>
      <c r="E14" s="107"/>
      <c r="F14" s="55"/>
      <c r="G14" s="55"/>
      <c r="H14" s="107"/>
      <c r="I14" s="55"/>
      <c r="J14" s="55"/>
      <c r="K14" s="55"/>
      <c r="L14" s="107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spans="1:22" x14ac:dyDescent="0.35">
      <c r="A15" s="218"/>
      <c r="B15" s="3" t="s">
        <v>40</v>
      </c>
      <c r="C15" s="56"/>
      <c r="D15" s="57"/>
      <c r="E15" s="109"/>
      <c r="F15" s="57"/>
      <c r="G15" s="57"/>
      <c r="H15" s="109"/>
      <c r="I15" s="57"/>
      <c r="J15" s="57"/>
      <c r="K15" s="57"/>
      <c r="L15" s="109"/>
      <c r="M15" s="57"/>
      <c r="N15" s="57"/>
      <c r="O15" s="57"/>
      <c r="P15" s="57"/>
      <c r="Q15" s="57"/>
      <c r="R15" s="57"/>
      <c r="S15" s="57"/>
      <c r="T15" s="57"/>
      <c r="U15" s="57"/>
      <c r="V15" s="57"/>
    </row>
    <row r="16" spans="1:22" x14ac:dyDescent="0.35">
      <c r="A16" s="219"/>
      <c r="B16" s="3" t="s">
        <v>16</v>
      </c>
      <c r="C16" s="54"/>
      <c r="D16" s="55"/>
      <c r="E16" s="107"/>
      <c r="F16" s="55"/>
      <c r="G16" s="55"/>
      <c r="H16" s="107"/>
      <c r="I16" s="55"/>
      <c r="J16" s="55"/>
      <c r="K16" s="55"/>
      <c r="L16" s="107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spans="1:22" x14ac:dyDescent="0.35">
      <c r="A17" s="215" t="s">
        <v>151</v>
      </c>
      <c r="B17" s="87" t="s">
        <v>15</v>
      </c>
      <c r="C17" s="88" t="s">
        <v>94</v>
      </c>
      <c r="D17" s="89" t="s">
        <v>94</v>
      </c>
      <c r="E17" s="108" t="s">
        <v>94</v>
      </c>
      <c r="F17" s="89" t="s">
        <v>94</v>
      </c>
      <c r="G17" s="89"/>
      <c r="H17" s="108"/>
      <c r="I17" s="89" t="s">
        <v>32</v>
      </c>
      <c r="J17" s="89" t="s">
        <v>32</v>
      </c>
      <c r="K17" s="89"/>
      <c r="L17" s="108" t="s">
        <v>32</v>
      </c>
      <c r="M17" s="89"/>
      <c r="N17" s="89" t="s">
        <v>32</v>
      </c>
      <c r="O17" s="89" t="s">
        <v>32</v>
      </c>
      <c r="P17" s="89" t="s">
        <v>32</v>
      </c>
      <c r="Q17" s="89" t="s">
        <v>178</v>
      </c>
      <c r="R17" s="89" t="s">
        <v>32</v>
      </c>
      <c r="S17" s="89"/>
      <c r="T17" s="89"/>
      <c r="U17" s="89" t="s">
        <v>32</v>
      </c>
      <c r="V17" s="89" t="s">
        <v>32</v>
      </c>
    </row>
    <row r="18" spans="1:22" x14ac:dyDescent="0.35">
      <c r="A18" s="220"/>
      <c r="B18" s="87" t="s">
        <v>16</v>
      </c>
      <c r="C18" s="88"/>
      <c r="D18" s="89"/>
      <c r="E18" s="108"/>
      <c r="F18" s="89"/>
      <c r="G18" s="89"/>
      <c r="H18" s="108"/>
      <c r="I18" s="89"/>
      <c r="J18" s="89" t="s">
        <v>141</v>
      </c>
      <c r="K18" s="89"/>
      <c r="L18" s="108" t="s">
        <v>69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x14ac:dyDescent="0.35">
      <c r="A19" s="221" t="s">
        <v>153</v>
      </c>
      <c r="B19" s="3" t="s">
        <v>34</v>
      </c>
      <c r="C19" s="54" t="s">
        <v>94</v>
      </c>
      <c r="D19" s="55" t="s">
        <v>94</v>
      </c>
      <c r="E19" s="107" t="s">
        <v>94</v>
      </c>
      <c r="F19" s="55" t="s">
        <v>94</v>
      </c>
      <c r="G19" s="55" t="s">
        <v>165</v>
      </c>
      <c r="H19" s="107"/>
      <c r="I19" s="55"/>
      <c r="J19" s="55"/>
      <c r="K19" s="55"/>
      <c r="L19" s="107"/>
      <c r="M19" s="55"/>
      <c r="N19" s="55" t="s">
        <v>220</v>
      </c>
      <c r="O19" s="55" t="s">
        <v>220</v>
      </c>
      <c r="P19" s="55" t="s">
        <v>220</v>
      </c>
      <c r="Q19" s="55" t="s">
        <v>221</v>
      </c>
      <c r="R19" s="55" t="s">
        <v>221</v>
      </c>
      <c r="S19" s="55"/>
      <c r="T19" s="55" t="s">
        <v>136</v>
      </c>
      <c r="U19" s="55" t="s">
        <v>79</v>
      </c>
      <c r="V19" s="55"/>
    </row>
    <row r="20" spans="1:22" x14ac:dyDescent="0.35">
      <c r="A20" s="218"/>
      <c r="B20" s="3" t="s">
        <v>17</v>
      </c>
      <c r="C20" s="54" t="s">
        <v>94</v>
      </c>
      <c r="D20" s="55" t="s">
        <v>94</v>
      </c>
      <c r="E20" s="107" t="s">
        <v>94</v>
      </c>
      <c r="F20" s="55" t="s">
        <v>94</v>
      </c>
      <c r="G20" s="55" t="s">
        <v>94</v>
      </c>
      <c r="H20" s="107"/>
      <c r="I20" s="55" t="s">
        <v>32</v>
      </c>
      <c r="J20" s="55"/>
      <c r="K20" s="55"/>
      <c r="L20" s="107" t="s">
        <v>32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spans="1:22" x14ac:dyDescent="0.35">
      <c r="A21" s="215" t="s">
        <v>13</v>
      </c>
      <c r="B21" s="87" t="s">
        <v>20</v>
      </c>
      <c r="C21" s="88" t="s">
        <v>94</v>
      </c>
      <c r="D21" s="89" t="s">
        <v>94</v>
      </c>
      <c r="E21" s="108" t="s">
        <v>94</v>
      </c>
      <c r="F21" s="89" t="s">
        <v>94</v>
      </c>
      <c r="G21" s="89" t="s">
        <v>94</v>
      </c>
      <c r="H21" s="108"/>
      <c r="I21" s="89"/>
      <c r="J21" s="89" t="s">
        <v>94</v>
      </c>
      <c r="K21" s="89" t="s">
        <v>32</v>
      </c>
      <c r="L21" s="108"/>
      <c r="M21" s="89"/>
      <c r="N21" s="89" t="s">
        <v>101</v>
      </c>
      <c r="O21" s="89" t="s">
        <v>101</v>
      </c>
      <c r="P21" s="89" t="s">
        <v>101</v>
      </c>
      <c r="Q21" s="89" t="s">
        <v>101</v>
      </c>
      <c r="R21" s="89" t="s">
        <v>101</v>
      </c>
      <c r="S21" s="89" t="s">
        <v>101</v>
      </c>
      <c r="T21" s="89"/>
      <c r="U21" s="89" t="s">
        <v>80</v>
      </c>
      <c r="V21" s="89" t="s">
        <v>80</v>
      </c>
    </row>
    <row r="22" spans="1:22" x14ac:dyDescent="0.35">
      <c r="A22" s="216"/>
      <c r="B22" s="87" t="s">
        <v>19</v>
      </c>
      <c r="C22" s="88" t="s">
        <v>94</v>
      </c>
      <c r="D22" s="89" t="s">
        <v>94</v>
      </c>
      <c r="E22" s="108" t="s">
        <v>94</v>
      </c>
      <c r="F22" s="89" t="s">
        <v>94</v>
      </c>
      <c r="G22" s="89" t="s">
        <v>32</v>
      </c>
      <c r="H22" s="108"/>
      <c r="I22" s="89"/>
      <c r="J22" s="89"/>
      <c r="K22" s="89" t="s">
        <v>94</v>
      </c>
      <c r="L22" s="108" t="s">
        <v>32</v>
      </c>
      <c r="M22" s="89"/>
      <c r="N22" s="89" t="s">
        <v>32</v>
      </c>
      <c r="O22" s="89" t="s">
        <v>32</v>
      </c>
      <c r="P22" s="89" t="s">
        <v>32</v>
      </c>
      <c r="Q22" s="89" t="s">
        <v>32</v>
      </c>
      <c r="R22" s="89" t="s">
        <v>32</v>
      </c>
      <c r="S22" s="89" t="s">
        <v>32</v>
      </c>
      <c r="T22" s="89"/>
      <c r="U22" s="89" t="s">
        <v>32</v>
      </c>
      <c r="V22" s="89" t="s">
        <v>32</v>
      </c>
    </row>
    <row r="23" spans="1:22" x14ac:dyDescent="0.35">
      <c r="A23" s="216"/>
      <c r="B23" s="87" t="s">
        <v>18</v>
      </c>
      <c r="C23" s="88" t="s">
        <v>94</v>
      </c>
      <c r="D23" s="89" t="s">
        <v>94</v>
      </c>
      <c r="E23" s="108" t="s">
        <v>94</v>
      </c>
      <c r="F23" s="89" t="s">
        <v>94</v>
      </c>
      <c r="G23" s="89" t="s">
        <v>94</v>
      </c>
      <c r="H23" s="108"/>
      <c r="I23" s="89"/>
      <c r="J23" s="89" t="s">
        <v>94</v>
      </c>
      <c r="K23" s="89" t="s">
        <v>94</v>
      </c>
      <c r="L23" s="108"/>
      <c r="M23" s="89"/>
      <c r="N23" s="89" t="s">
        <v>32</v>
      </c>
      <c r="O23" s="89" t="s">
        <v>32</v>
      </c>
      <c r="P23" s="89" t="s">
        <v>32</v>
      </c>
      <c r="Q23" s="89" t="s">
        <v>32</v>
      </c>
      <c r="R23" s="89" t="s">
        <v>32</v>
      </c>
      <c r="S23" s="89" t="s">
        <v>32</v>
      </c>
      <c r="T23" s="89"/>
      <c r="U23" s="89" t="s">
        <v>32</v>
      </c>
      <c r="V23" s="89" t="s">
        <v>32</v>
      </c>
    </row>
    <row r="24" spans="1:22" x14ac:dyDescent="0.35">
      <c r="A24" s="216"/>
      <c r="B24" s="87" t="s">
        <v>139</v>
      </c>
      <c r="C24" s="88" t="s">
        <v>32</v>
      </c>
      <c r="D24" s="89" t="s">
        <v>32</v>
      </c>
      <c r="E24" s="108" t="s">
        <v>32</v>
      </c>
      <c r="F24" s="89" t="s">
        <v>32</v>
      </c>
      <c r="G24" s="89" t="s">
        <v>94</v>
      </c>
      <c r="H24" s="108"/>
      <c r="I24" s="89"/>
      <c r="J24" s="89" t="s">
        <v>94</v>
      </c>
      <c r="K24" s="89" t="s">
        <v>94</v>
      </c>
      <c r="L24" s="108" t="s">
        <v>94</v>
      </c>
      <c r="M24" s="89"/>
      <c r="N24" s="89" t="s">
        <v>32</v>
      </c>
      <c r="O24" s="89" t="s">
        <v>32</v>
      </c>
      <c r="P24" s="89" t="s">
        <v>32</v>
      </c>
      <c r="Q24" s="89" t="s">
        <v>32</v>
      </c>
      <c r="R24" s="89" t="s">
        <v>32</v>
      </c>
      <c r="S24" s="89"/>
      <c r="T24" s="89"/>
      <c r="U24" s="89" t="s">
        <v>32</v>
      </c>
      <c r="V24" s="89" t="s">
        <v>140</v>
      </c>
    </row>
    <row r="25" spans="1:22" x14ac:dyDescent="0.35">
      <c r="A25" s="216"/>
      <c r="B25" s="87" t="s">
        <v>14</v>
      </c>
      <c r="C25" s="88" t="s">
        <v>94</v>
      </c>
      <c r="D25" s="89" t="s">
        <v>94</v>
      </c>
      <c r="E25" s="108" t="s">
        <v>94</v>
      </c>
      <c r="F25" s="89" t="s">
        <v>94</v>
      </c>
      <c r="G25" s="89" t="s">
        <v>94</v>
      </c>
      <c r="H25" s="108"/>
      <c r="I25" s="89"/>
      <c r="J25" s="89" t="s">
        <v>94</v>
      </c>
      <c r="K25" s="89" t="s">
        <v>94</v>
      </c>
      <c r="L25" s="108"/>
      <c r="M25" s="89"/>
      <c r="N25" s="89" t="s">
        <v>94</v>
      </c>
      <c r="O25" s="89" t="s">
        <v>94</v>
      </c>
      <c r="P25" s="89" t="s">
        <v>94</v>
      </c>
      <c r="Q25" s="89" t="s">
        <v>94</v>
      </c>
      <c r="R25" s="89" t="s">
        <v>32</v>
      </c>
      <c r="S25" s="89"/>
      <c r="T25" s="89"/>
      <c r="U25" s="89"/>
      <c r="V25" s="89" t="s">
        <v>32</v>
      </c>
    </row>
    <row r="26" spans="1:22" x14ac:dyDescent="0.35">
      <c r="A26" s="216"/>
      <c r="B26" s="87" t="s">
        <v>39</v>
      </c>
      <c r="C26" s="88" t="s">
        <v>94</v>
      </c>
      <c r="D26" s="89" t="s">
        <v>94</v>
      </c>
      <c r="E26" s="108" t="s">
        <v>94</v>
      </c>
      <c r="F26" s="89" t="s">
        <v>94</v>
      </c>
      <c r="G26" s="89" t="s">
        <v>94</v>
      </c>
      <c r="H26" s="108"/>
      <c r="I26" s="89"/>
      <c r="J26" s="89"/>
      <c r="K26" s="89"/>
      <c r="L26" s="108"/>
      <c r="M26" s="89"/>
      <c r="N26" s="89"/>
      <c r="O26" s="89"/>
      <c r="P26" s="89"/>
      <c r="Q26" s="89"/>
      <c r="R26" s="89" t="s">
        <v>32</v>
      </c>
      <c r="S26" s="89"/>
      <c r="T26" s="89"/>
      <c r="U26" s="89" t="s">
        <v>32</v>
      </c>
      <c r="V26" s="89" t="s">
        <v>32</v>
      </c>
    </row>
    <row r="27" spans="1:22" x14ac:dyDescent="0.35">
      <c r="A27" s="220"/>
      <c r="B27" s="87" t="s">
        <v>16</v>
      </c>
      <c r="C27" s="88"/>
      <c r="D27" s="89"/>
      <c r="E27" s="108" t="s">
        <v>188</v>
      </c>
      <c r="F27" s="89"/>
      <c r="G27" s="89" t="s">
        <v>161</v>
      </c>
      <c r="H27" s="108"/>
      <c r="I27" s="89" t="s">
        <v>174</v>
      </c>
      <c r="J27" s="89" t="s">
        <v>175</v>
      </c>
      <c r="K27" s="89" t="s">
        <v>174</v>
      </c>
      <c r="L27" s="108" t="s">
        <v>173</v>
      </c>
      <c r="M27" s="89"/>
      <c r="N27" s="89" t="s">
        <v>179</v>
      </c>
      <c r="O27" s="89" t="s">
        <v>179</v>
      </c>
      <c r="P27" s="89" t="s">
        <v>188</v>
      </c>
      <c r="Q27" s="89" t="s">
        <v>179</v>
      </c>
      <c r="R27" s="89" t="s">
        <v>179</v>
      </c>
      <c r="S27" s="89"/>
      <c r="T27" s="89"/>
      <c r="U27" s="89" t="s">
        <v>76</v>
      </c>
      <c r="V27" s="89" t="s">
        <v>145</v>
      </c>
    </row>
    <row r="28" spans="1:22" x14ac:dyDescent="0.35">
      <c r="A28" s="221" t="s">
        <v>16</v>
      </c>
      <c r="B28" s="3" t="s">
        <v>22</v>
      </c>
      <c r="C28" s="54" t="s">
        <v>95</v>
      </c>
      <c r="D28" s="55" t="s">
        <v>95</v>
      </c>
      <c r="E28" s="107" t="s">
        <v>187</v>
      </c>
      <c r="F28" s="55" t="s">
        <v>95</v>
      </c>
      <c r="G28" s="55" t="s">
        <v>164</v>
      </c>
      <c r="H28" s="107"/>
      <c r="I28" s="55" t="s">
        <v>72</v>
      </c>
      <c r="J28" s="55" t="s">
        <v>89</v>
      </c>
      <c r="K28" s="55" t="s">
        <v>89</v>
      </c>
      <c r="L28" s="107" t="s">
        <v>68</v>
      </c>
      <c r="M28" s="55"/>
      <c r="N28" s="55" t="s">
        <v>89</v>
      </c>
      <c r="O28" s="55" t="s">
        <v>95</v>
      </c>
      <c r="P28" s="55" t="s">
        <v>82</v>
      </c>
      <c r="Q28" s="55" t="s">
        <v>95</v>
      </c>
      <c r="R28" s="55" t="s">
        <v>95</v>
      </c>
      <c r="S28" s="55" t="s">
        <v>89</v>
      </c>
      <c r="T28" s="55"/>
      <c r="U28" s="55" t="s">
        <v>82</v>
      </c>
      <c r="V28" s="55" t="s">
        <v>89</v>
      </c>
    </row>
    <row r="29" spans="1:22" x14ac:dyDescent="0.35">
      <c r="A29" s="218"/>
      <c r="B29" s="3" t="s">
        <v>70</v>
      </c>
      <c r="C29" s="58">
        <v>875</v>
      </c>
      <c r="D29" s="59">
        <v>875</v>
      </c>
      <c r="E29" s="110">
        <v>875</v>
      </c>
      <c r="F29" s="59">
        <v>875</v>
      </c>
      <c r="G29" s="59">
        <v>834</v>
      </c>
      <c r="H29" s="110"/>
      <c r="I29" s="59">
        <v>1011</v>
      </c>
      <c r="J29" s="59">
        <v>1160</v>
      </c>
      <c r="K29" s="59">
        <v>1007</v>
      </c>
      <c r="L29" s="110">
        <v>1072</v>
      </c>
      <c r="M29" s="59">
        <v>1499</v>
      </c>
      <c r="N29" s="59">
        <v>1290</v>
      </c>
      <c r="O29" s="59">
        <v>1290</v>
      </c>
      <c r="P29" s="59">
        <v>1290</v>
      </c>
      <c r="Q29" s="59">
        <v>1340</v>
      </c>
      <c r="R29" s="59">
        <v>1345</v>
      </c>
      <c r="S29" s="59">
        <v>1691</v>
      </c>
      <c r="T29" s="59">
        <v>1685</v>
      </c>
      <c r="U29" s="59">
        <v>1756</v>
      </c>
      <c r="V29" s="59">
        <v>1919</v>
      </c>
    </row>
    <row r="30" spans="1:22" x14ac:dyDescent="0.35">
      <c r="A30" s="219"/>
      <c r="B30" s="3" t="s">
        <v>41</v>
      </c>
      <c r="C30" s="58"/>
      <c r="D30" s="59"/>
      <c r="E30" s="110"/>
      <c r="F30" s="59"/>
      <c r="G30" s="59"/>
      <c r="H30" s="110"/>
      <c r="I30" s="59"/>
      <c r="J30" s="59"/>
      <c r="K30" s="59"/>
      <c r="L30" s="110"/>
      <c r="M30" s="59"/>
      <c r="N30" s="59"/>
      <c r="O30" s="59"/>
      <c r="P30" s="59"/>
      <c r="Q30" s="59"/>
      <c r="R30" s="59" t="s">
        <v>234</v>
      </c>
      <c r="S30" s="59"/>
      <c r="T30" s="59" t="s">
        <v>85</v>
      </c>
      <c r="U30" s="59"/>
      <c r="V30" s="59" t="s">
        <v>90</v>
      </c>
    </row>
    <row r="31" spans="1:22" x14ac:dyDescent="0.35">
      <c r="A31" s="215" t="s">
        <v>21</v>
      </c>
      <c r="B31" s="87"/>
      <c r="C31" s="88"/>
      <c r="D31" s="89"/>
      <c r="E31" s="108"/>
      <c r="F31" s="89"/>
      <c r="G31" s="89"/>
      <c r="H31" s="108"/>
      <c r="I31" s="89"/>
      <c r="J31" s="89"/>
      <c r="K31" s="89"/>
      <c r="L31" s="108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x14ac:dyDescent="0.35">
      <c r="A32" s="220"/>
      <c r="B32" s="87"/>
      <c r="C32" s="88"/>
      <c r="D32" s="89"/>
      <c r="E32" s="108"/>
      <c r="F32" s="89"/>
      <c r="G32" s="89"/>
      <c r="H32" s="108"/>
      <c r="I32" s="89"/>
      <c r="J32" s="89"/>
      <c r="K32" s="89"/>
      <c r="L32" s="108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x14ac:dyDescent="0.35">
      <c r="A33" s="167" t="s">
        <v>228</v>
      </c>
      <c r="B33" s="3" t="s">
        <v>233</v>
      </c>
      <c r="C33" s="54"/>
      <c r="D33" s="55"/>
      <c r="E33" s="107"/>
      <c r="F33" s="55"/>
      <c r="G33" s="55"/>
      <c r="H33" s="107"/>
      <c r="I33" s="55"/>
      <c r="J33" s="55"/>
      <c r="K33" s="55"/>
      <c r="L33" s="107"/>
      <c r="M33" s="55"/>
      <c r="N33" s="168" t="s">
        <v>230</v>
      </c>
      <c r="O33" s="168" t="s">
        <v>230</v>
      </c>
      <c r="P33" s="168" t="s">
        <v>230</v>
      </c>
      <c r="Q33" s="168" t="s">
        <v>231</v>
      </c>
      <c r="R33" s="168" t="s">
        <v>229</v>
      </c>
      <c r="S33" s="168" t="s">
        <v>250</v>
      </c>
      <c r="T33" s="168" t="s">
        <v>253</v>
      </c>
      <c r="U33" s="168" t="s">
        <v>252</v>
      </c>
      <c r="V33" s="168" t="s">
        <v>251</v>
      </c>
    </row>
    <row r="34" spans="1:22" x14ac:dyDescent="0.35">
      <c r="A34" s="186" t="s">
        <v>65</v>
      </c>
      <c r="B34" s="87"/>
      <c r="C34" s="88" t="s">
        <v>61</v>
      </c>
      <c r="D34" s="89" t="s">
        <v>61</v>
      </c>
      <c r="E34" s="108" t="s">
        <v>61</v>
      </c>
      <c r="F34" s="89" t="s">
        <v>61</v>
      </c>
      <c r="G34" s="89" t="s">
        <v>61</v>
      </c>
      <c r="H34" s="108" t="s">
        <v>61</v>
      </c>
      <c r="I34" s="89" t="s">
        <v>61</v>
      </c>
      <c r="J34" s="89" t="s">
        <v>61</v>
      </c>
      <c r="K34" s="89" t="s">
        <v>61</v>
      </c>
      <c r="L34" s="108" t="s">
        <v>61</v>
      </c>
      <c r="M34" s="89" t="s">
        <v>61</v>
      </c>
      <c r="N34" s="89" t="s">
        <v>61</v>
      </c>
      <c r="O34" s="89" t="s">
        <v>61</v>
      </c>
      <c r="P34" s="89" t="s">
        <v>61</v>
      </c>
      <c r="Q34" s="89" t="s">
        <v>61</v>
      </c>
      <c r="R34" s="89" t="s">
        <v>61</v>
      </c>
      <c r="S34" s="89" t="s">
        <v>61</v>
      </c>
      <c r="T34" s="89" t="s">
        <v>61</v>
      </c>
      <c r="U34" s="89" t="s">
        <v>49</v>
      </c>
      <c r="V34" s="89" t="s">
        <v>91</v>
      </c>
    </row>
    <row r="35" spans="1:22" customFormat="1" x14ac:dyDescent="0.35"/>
    <row r="36" spans="1:22" x14ac:dyDescent="0.35">
      <c r="A36" s="221" t="s">
        <v>56</v>
      </c>
      <c r="B36" s="3" t="s">
        <v>149</v>
      </c>
      <c r="C36" s="54" t="s">
        <v>48</v>
      </c>
      <c r="D36" s="55" t="s">
        <v>48</v>
      </c>
      <c r="E36" s="107" t="s">
        <v>48</v>
      </c>
      <c r="F36" s="55" t="s">
        <v>48</v>
      </c>
      <c r="G36" s="55" t="s">
        <v>48</v>
      </c>
      <c r="H36" s="107" t="s">
        <v>47</v>
      </c>
      <c r="I36" s="55" t="s">
        <v>48</v>
      </c>
      <c r="J36" s="55" t="s">
        <v>48</v>
      </c>
      <c r="K36" s="55" t="s">
        <v>48</v>
      </c>
      <c r="L36" s="107" t="s">
        <v>48</v>
      </c>
      <c r="M36" s="55" t="s">
        <v>48</v>
      </c>
      <c r="N36" s="55" t="s">
        <v>48</v>
      </c>
      <c r="O36" s="55" t="s">
        <v>48</v>
      </c>
      <c r="P36" s="55" t="s">
        <v>48</v>
      </c>
      <c r="Q36" s="55" t="s">
        <v>48</v>
      </c>
      <c r="R36" s="55" t="s">
        <v>48</v>
      </c>
      <c r="S36" s="55" t="s">
        <v>48</v>
      </c>
      <c r="T36" s="55" t="s">
        <v>48</v>
      </c>
      <c r="U36" s="55" t="s">
        <v>48</v>
      </c>
      <c r="V36" s="55" t="s">
        <v>48</v>
      </c>
    </row>
    <row r="37" spans="1:22" x14ac:dyDescent="0.35">
      <c r="A37" s="218"/>
      <c r="B37" s="3" t="s">
        <v>150</v>
      </c>
      <c r="C37" s="98"/>
      <c r="D37" s="99"/>
      <c r="E37" s="111"/>
      <c r="F37" s="99"/>
      <c r="G37" s="99"/>
      <c r="H37" s="111">
        <v>2</v>
      </c>
      <c r="I37" s="99"/>
      <c r="J37" s="99"/>
      <c r="K37" s="99"/>
      <c r="L37" s="111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2" x14ac:dyDescent="0.35">
      <c r="A38" s="218"/>
      <c r="B38" s="3" t="s">
        <v>255</v>
      </c>
      <c r="C38" s="56">
        <v>24835</v>
      </c>
      <c r="D38" s="57">
        <v>24200</v>
      </c>
      <c r="E38" s="109">
        <v>26365</v>
      </c>
      <c r="F38" s="57">
        <v>24200</v>
      </c>
      <c r="G38" s="57">
        <v>12786</v>
      </c>
      <c r="H38" s="109">
        <v>12786</v>
      </c>
      <c r="I38" s="57">
        <v>17581</v>
      </c>
      <c r="J38" s="57">
        <v>19906</v>
      </c>
      <c r="K38" s="57">
        <v>19906</v>
      </c>
      <c r="L38" s="109"/>
      <c r="M38" s="57">
        <v>43176</v>
      </c>
      <c r="N38" s="57">
        <v>54356</v>
      </c>
      <c r="O38" s="57">
        <v>48212</v>
      </c>
      <c r="P38" s="57">
        <v>53698</v>
      </c>
      <c r="Q38" s="57">
        <v>42024</v>
      </c>
      <c r="R38" s="57">
        <v>47574</v>
      </c>
      <c r="S38" s="57">
        <v>44000</v>
      </c>
      <c r="T38" s="57">
        <v>36000</v>
      </c>
      <c r="U38" s="57">
        <v>44000</v>
      </c>
      <c r="V38" s="57">
        <v>63000</v>
      </c>
    </row>
    <row r="39" spans="1:22" x14ac:dyDescent="0.35">
      <c r="A39" s="218"/>
      <c r="B39" s="3" t="s">
        <v>256</v>
      </c>
      <c r="C39" s="56">
        <v>8850</v>
      </c>
      <c r="D39" s="57">
        <v>8250</v>
      </c>
      <c r="E39" s="109">
        <v>9945</v>
      </c>
      <c r="F39" s="57">
        <v>8250</v>
      </c>
      <c r="G39" s="57">
        <v>8250</v>
      </c>
      <c r="H39" s="109">
        <f>258+218/2/12</f>
        <v>267.08333333333331</v>
      </c>
      <c r="I39" s="57">
        <v>13450</v>
      </c>
      <c r="J39" s="57">
        <v>15950</v>
      </c>
      <c r="K39" s="57">
        <v>11450</v>
      </c>
      <c r="L39" s="109">
        <v>26890</v>
      </c>
      <c r="M39" s="57">
        <v>15750</v>
      </c>
      <c r="N39" s="57">
        <v>17950</v>
      </c>
      <c r="O39" s="57">
        <v>17885</v>
      </c>
      <c r="P39" s="57">
        <v>15930</v>
      </c>
      <c r="Q39" s="57">
        <v>20900</v>
      </c>
      <c r="R39" s="57">
        <v>19950</v>
      </c>
      <c r="S39" s="57">
        <v>24650</v>
      </c>
      <c r="T39" s="57">
        <v>32835</v>
      </c>
      <c r="U39" s="57">
        <v>41069</v>
      </c>
      <c r="V39" s="57">
        <v>36200</v>
      </c>
    </row>
    <row r="40" spans="1:22" x14ac:dyDescent="0.35">
      <c r="A40" s="218"/>
      <c r="B40" s="13" t="s">
        <v>206</v>
      </c>
      <c r="C40" s="14">
        <f ca="1">IF(C36="Buy",IF(C34&lt;&gt;"Netherlands",Import!$B$13+IF(C7="Electric",0,IF(C7="PHEV",INDEX(Import!$B$23:$B$25,MATCH(C10,Import!$A$23:$A$25,1))+(C10-INDEX(Import!$A$23:$A$25,MATCH(C10,Import!$A$23:$A$25,1)))*INDEX(Import!$C$23:$C$25,MATCH(C10,Import!$A$23:$A$25,1)),INDEX(Import!$B$27:$B$31,MATCH(C10,Import!$A$27:$A$31,1))+(C10-INDEX(Import!$A$27:$A$31,MATCH(C10,Import!$A$27:$A$31,1)))*INDEX(Import!$C$27:$C$31,MATCH(C10,Import!$A$27:$A$31,1))))*(1-(INDEX(Import!$B35:$B48,MATCH((TODAY()-C60)/365.25,Import!$A35:$A48,1))+ROUNDUP(((TODAY()-C60)/365.25-INDEX(Import!$A35:$A48,MATCH((TODAY()-C60)/365.25,Import!$A35:$A48,1)))*12,0)*INDEX(Import!$C35:$C48,MATCH((TODAY()-C60)/365.25,Import!$A35:$A48,1)))),0),0)</f>
        <v>0</v>
      </c>
      <c r="D40" s="15">
        <f ca="1">IF(D39="","",IF(D36="Buy",IF(D34&lt;&gt;"Netherlands",Import!$B$13+IF(D7="Electric",0,IF(D7="PHEV",INDEX(Import!$B$23:$B$25,MATCH(D10,Import!$A$23:$A$25,1))+(D10-INDEX(Import!$A$23:$A$25,MATCH(D10,Import!$A$23:$A$25,1)))*INDEX(Import!$C$23:$C$25,MATCH(D10,Import!$A$23:$A$25,1)),INDEX(Import!$B$27:$B$31,MATCH(D10,Import!$A$27:$A$31,1))+(D10-INDEX(Import!$A$27:$A$31,MATCH(D10,Import!$A$27:$A$31,1)))*INDEX(Import!$C$27:$C$31,MATCH(D10,Import!$A$27:$A$31,1))))*(1-(INDEX(Import!$B35:$B48,MATCH((TODAY()-D60)/365.25,Import!$A35:$A48,1))+ROUNDUP(((TODAY()-D60)/365.25-INDEX(Import!$A35:$A48,MATCH((TODAY()-D60)/365.25,Import!$A35:$A48,1)))*12,0)*INDEX(Import!$C35:$C48,MATCH((TODAY()-D60)/365.25,Import!$A35:$A48,1)))),0),0))</f>
        <v>0</v>
      </c>
      <c r="E40" s="112">
        <f ca="1">IF(E39="","",IF(E36="Buy",IF(E34&lt;&gt;"Netherlands",Import!$B$13+IF(E7="Electric",0,IF(E7="PHEV",INDEX(Import!$B$23:$B$25,MATCH(E10,Import!$A$23:$A$25,1))+(E10-INDEX(Import!$A$23:$A$25,MATCH(E10,Import!$A$23:$A$25,1)))*INDEX(Import!$C$23:$C$25,MATCH(E10,Import!$A$23:$A$25,1)),INDEX(Import!$B$27:$B$31,MATCH(E10,Import!$A$27:$A$31,1))+(E10-INDEX(Import!$A$27:$A$31,MATCH(E10,Import!$A$27:$A$31,1)))*INDEX(Import!$C$27:$C$31,MATCH(E10,Import!$A$27:$A$31,1))))*(1-(INDEX(Import!$B35:$B48,MATCH((TODAY()-E60)/365.25,Import!$A35:$A48,1))+ROUNDUP(((TODAY()-E60)/365.25-INDEX(Import!$A35:$A48,MATCH((TODAY()-E60)/365.25,Import!$A35:$A48,1)))*12,0)*INDEX(Import!$C35:$C48,MATCH((TODAY()-E60)/365.25,Import!$A35:$A48,1)))),0),0))</f>
        <v>0</v>
      </c>
      <c r="F40" s="15">
        <f ca="1">IF(F39="","",IF(F36="Buy",IF(F34&lt;&gt;"Netherlands",Import!$B$13+IF(F7="Electric",0,IF(F7="PHEV",INDEX(Import!$B$23:$B$25,MATCH(F10,Import!$A$23:$A$25,1))+(F10-INDEX(Import!$A$23:$A$25,MATCH(F10,Import!$A$23:$A$25,1)))*INDEX(Import!$C$23:$C$25,MATCH(F10,Import!$A$23:$A$25,1)),INDEX(Import!$B$27:$B$31,MATCH(F10,Import!$A$27:$A$31,1))+(F10-INDEX(Import!$A$27:$A$31,MATCH(F10,Import!$A$27:$A$31,1)))*INDEX(Import!$C$27:$C$31,MATCH(F10,Import!$A$27:$A$31,1))))*(1-(INDEX(Import!$B35:$B48,MATCH((TODAY()-F60)/365.25,Import!$A35:$A48,1))+ROUNDUP(((TODAY()-F60)/365.25-INDEX(Import!$A35:$A48,MATCH((TODAY()-F60)/365.25,Import!$A35:$A48,1)))*12,0)*INDEX(Import!$C35:$C48,MATCH((TODAY()-F60)/365.25,Import!$A35:$A48,1)))),0),0))</f>
        <v>0</v>
      </c>
      <c r="G40" s="15">
        <f ca="1">IF(G39="","",IF(G36="Buy",IF(G34&lt;&gt;"Netherlands",Import!$B$13+IF(G7="Electric",0,IF(G7="PHEV",INDEX(Import!$B$23:$B$25,MATCH(G10,Import!$A$23:$A$25,1))+(G10-INDEX(Import!$A$23:$A$25,MATCH(G10,Import!$A$23:$A$25,1)))*INDEX(Import!$C$23:$C$25,MATCH(G10,Import!$A$23:$A$25,1)),INDEX(Import!$B$27:$B$31,MATCH(G10,Import!$A$27:$A$31,1))+(G10-INDEX(Import!$A$27:$A$31,MATCH(G10,Import!$A$27:$A$31,1)))*INDEX(Import!$C$27:$C$31,MATCH(G10,Import!$A$27:$A$31,1))))*(1-(INDEX(Import!$B35:$B48,MATCH((TODAY()-G60)/365.25,Import!$A35:$A48,1))+ROUNDUP(((TODAY()-G60)/365.25-INDEX(Import!$A35:$A48,MATCH((TODAY()-G60)/365.25,Import!$A35:$A48,1)))*12,0)*INDEX(Import!$C35:$C48,MATCH((TODAY()-G60)/365.25,Import!$A35:$A48,1)))),0),0))</f>
        <v>0</v>
      </c>
      <c r="H40" s="112">
        <f ca="1">IF(H39="","",IF(H36="Buy",IF(H34&lt;&gt;"Netherlands",Import!$B$13+IF(H7="Electric",0,IF(H7="PHEV",INDEX(Import!$B$23:$B$25,MATCH(H10,Import!$A$23:$A$25,1))+(H10-INDEX(Import!$A$23:$A$25,MATCH(H10,Import!$A$23:$A$25,1)))*INDEX(Import!$C$23:$C$25,MATCH(H10,Import!$A$23:$A$25,1)),INDEX(Import!$B$27:$B$31,MATCH(H10,Import!$A$27:$A$31,1))+(H10-INDEX(Import!$A$27:$A$31,MATCH(H10,Import!$A$27:$A$31,1)))*INDEX(Import!$C$27:$C$31,MATCH(H10,Import!$A$27:$A$31,1))))*(1-(INDEX(Import!$B35:$B48,MATCH((TODAY()-H60)/365.25,Import!$A35:$A48,1))+ROUNDUP(((TODAY()-H60)/365.25-INDEX(Import!$A35:$A48,MATCH((TODAY()-H60)/365.25,Import!$A35:$A48,1)))*12,0)*INDEX(Import!$C35:$C48,MATCH((TODAY()-H60)/365.25,Import!$A35:$A48,1)))),0),0))</f>
        <v>0</v>
      </c>
      <c r="I40" s="15">
        <f ca="1">IF(I39="","",IF(I36="Buy",IF(I34&lt;&gt;"Netherlands",Import!$B$13+IF(I7="Electric",0,IF(I7="PHEV",INDEX(Import!$B$23:$B$25,MATCH(I10,Import!$A$23:$A$25,1))+(I10-INDEX(Import!$A$23:$A$25,MATCH(I10,Import!$A$23:$A$25,1)))*INDEX(Import!$C$23:$C$25,MATCH(I10,Import!$A$23:$A$25,1)),INDEX(Import!$B$27:$B$31,MATCH(I10,Import!$A$27:$A$31,1))+(I10-INDEX(Import!$A$27:$A$31,MATCH(I10,Import!$A$27:$A$31,1)))*INDEX(Import!$C$27:$C$31,MATCH(I10,Import!$A$27:$A$31,1))))*(1-(INDEX(Import!$B35:$B48,MATCH((TODAY()-I60)/365.25,Import!$A35:$A48,1))+ROUNDUP(((TODAY()-I60)/365.25-INDEX(Import!$A35:$A48,MATCH((TODAY()-I60)/365.25,Import!$A35:$A48,1)))*12,0)*INDEX(Import!$C35:$C48,MATCH((TODAY()-I60)/365.25,Import!$A35:$A48,1)))),0),0))</f>
        <v>0</v>
      </c>
      <c r="J40" s="15">
        <f ca="1">IF(J39="","",IF(J36="Buy",IF(J34&lt;&gt;"Netherlands",Import!$B$13+IF(J7="Electric",0,IF(J7="PHEV",INDEX(Import!$B$23:$B$25,MATCH(J10,Import!$A$23:$A$25,1))+(J10-INDEX(Import!$A$23:$A$25,MATCH(J10,Import!$A$23:$A$25,1)))*INDEX(Import!$C$23:$C$25,MATCH(J10,Import!$A$23:$A$25,1)),INDEX(Import!$B$27:$B$31,MATCH(J10,Import!$A$27:$A$31,1))+(J10-INDEX(Import!$A$27:$A$31,MATCH(J10,Import!$A$27:$A$31,1)))*INDEX(Import!$C$27:$C$31,MATCH(J10,Import!$A$27:$A$31,1))))*(1-(INDEX(Import!$B35:$B48,MATCH((TODAY()-J60)/365.25,Import!$A35:$A48,1))+ROUNDUP(((TODAY()-J60)/365.25-INDEX(Import!$A35:$A48,MATCH((TODAY()-J60)/365.25,Import!$A35:$A48,1)))*12,0)*INDEX(Import!$C35:$C48,MATCH((TODAY()-J60)/365.25,Import!$A35:$A48,1)))),0),0))</f>
        <v>0</v>
      </c>
      <c r="K40" s="15">
        <f ca="1">IF(K39="","",IF(K36="Buy",IF(K34&lt;&gt;"Netherlands",Import!$B$13+IF(K7="Electric",0,IF(K7="PHEV",INDEX(Import!$B$23:$B$25,MATCH(K10,Import!$A$23:$A$25,1))+(K10-INDEX(Import!$A$23:$A$25,MATCH(K10,Import!$A$23:$A$25,1)))*INDEX(Import!$C$23:$C$25,MATCH(K10,Import!$A$23:$A$25,1)),INDEX(Import!$B$27:$B$31,MATCH(K10,Import!$A$27:$A$31,1))+(K10-INDEX(Import!$A$27:$A$31,MATCH(K10,Import!$A$27:$A$31,1)))*INDEX(Import!$C$27:$C$31,MATCH(K10,Import!$A$27:$A$31,1))))*(1-(INDEX(Import!$B35:$B48,MATCH((TODAY()-K60)/365.25,Import!$A35:$A48,1))+ROUNDUP(((TODAY()-K60)/365.25-INDEX(Import!$A35:$A48,MATCH((TODAY()-K60)/365.25,Import!$A35:$A48,1)))*12,0)*INDEX(Import!$C35:$C48,MATCH((TODAY()-K60)/365.25,Import!$A35:$A48,1)))),0),0))</f>
        <v>0</v>
      </c>
      <c r="L40" s="112">
        <f ca="1">IF(L39="","",IF(L36="Buy",IF(L34&lt;&gt;"Netherlands",Import!$B$13+IF(L7="Electric",0,IF(L7="PHEV",INDEX(Import!$B$23:$B$25,MATCH(L10,Import!$A$23:$A$25,1))+(L10-INDEX(Import!$A$23:$A$25,MATCH(L10,Import!$A$23:$A$25,1)))*INDEX(Import!$C$23:$C$25,MATCH(L10,Import!$A$23:$A$25,1)),INDEX(Import!$B$27:$B$31,MATCH(L10,Import!$A$27:$A$31,1))+(L10-INDEX(Import!$A$27:$A$31,MATCH(L10,Import!$A$27:$A$31,1)))*INDEX(Import!$C$27:$C$31,MATCH(L10,Import!$A$27:$A$31,1))))*(1-(INDEX(Import!$B35:$B48,MATCH((TODAY()-L60)/365.25,Import!$A35:$A48,1))+ROUNDUP(((TODAY()-L60)/365.25-INDEX(Import!$A35:$A48,MATCH((TODAY()-L60)/365.25,Import!$A35:$A48,1)))*12,0)*INDEX(Import!$C35:$C48,MATCH((TODAY()-L60)/365.25,Import!$A35:$A48,1)))),0),0))</f>
        <v>0</v>
      </c>
      <c r="M40" s="15">
        <f ca="1">IF(M39="","",IF(M36="Buy",IF(M34&lt;&gt;"Netherlands",Import!$B$13+IF(M7="Electric",0,IF(M7="PHEV",INDEX(Import!$B$23:$B$25,MATCH(M10,Import!$A$23:$A$25,1))+(M10-INDEX(Import!$A$23:$A$25,MATCH(M10,Import!$A$23:$A$25,1)))*INDEX(Import!$C$23:$C$25,MATCH(M10,Import!$A$23:$A$25,1)),INDEX(Import!$B$27:$B$31,MATCH(M10,Import!$A$27:$A$31,1))+(M10-INDEX(Import!$A$27:$A$31,MATCH(M10,Import!$A$27:$A$31,1)))*INDEX(Import!$C$27:$C$31,MATCH(M10,Import!$A$27:$A$31,1))))*(1-(INDEX(Import!$B35:$B48,MATCH((TODAY()-M60)/365.25,Import!$A35:$A48,1))+ROUNDUP(((TODAY()-M60)/365.25-INDEX(Import!$A35:$A48,MATCH((TODAY()-M60)/365.25,Import!$A35:$A48,1)))*12,0)*INDEX(Import!$C35:$C48,MATCH((TODAY()-M60)/365.25,Import!$A35:$A48,1)))),0),0))</f>
        <v>0</v>
      </c>
      <c r="N40" s="15">
        <f ca="1">IF(N39="","",IF(N36="Buy",IF(N34&lt;&gt;"Netherlands",Import!$B$13+IF(N7="Electric",0,IF(N7="PHEV",INDEX(Import!$B$23:$B$25,MATCH(N10,Import!$A$23:$A$25,1))+(N10-INDEX(Import!$A$23:$A$25,MATCH(N10,Import!$A$23:$A$25,1)))*INDEX(Import!$C$23:$C$25,MATCH(N10,Import!$A$23:$A$25,1)),INDEX(Import!$B$27:$B$31,MATCH(N10,Import!$A$27:$A$31,1))+(N10-INDEX(Import!$A$27:$A$31,MATCH(N10,Import!$A$27:$A$31,1)))*INDEX(Import!$C$27:$C$31,MATCH(N10,Import!$A$27:$A$31,1))))*(1-(INDEX(Import!$B35:$B48,MATCH((TODAY()-N60)/365.25,Import!$A35:$A48,1))+ROUNDUP(((TODAY()-N60)/365.25-INDEX(Import!$A35:$A48,MATCH((TODAY()-N60)/365.25,Import!$A35:$A48,1)))*12,0)*INDEX(Import!$C35:$C48,MATCH((TODAY()-N60)/365.25,Import!$A35:$A48,1)))),0),0))</f>
        <v>0</v>
      </c>
      <c r="O40" s="15">
        <f ca="1">IF(O39="","",IF(O36="Buy",IF(O34&lt;&gt;"Netherlands",Import!$B$13+IF(O7="Electric",0,IF(O7="PHEV",INDEX(Import!$B$23:$B$25,MATCH(O10,Import!$A$23:$A$25,1))+(O10-INDEX(Import!$A$23:$A$25,MATCH(O10,Import!$A$23:$A$25,1)))*INDEX(Import!$C$23:$C$25,MATCH(O10,Import!$A$23:$A$25,1)),INDEX(Import!$B$27:$B$31,MATCH(O10,Import!$A$27:$A$31,1))+(O10-INDEX(Import!$A$27:$A$31,MATCH(O10,Import!$A$27:$A$31,1)))*INDEX(Import!$C$27:$C$31,MATCH(O10,Import!$A$27:$A$31,1))))*(1-(INDEX(Import!$B35:$B48,MATCH((TODAY()-O60)/365.25,Import!$A35:$A48,1))+ROUNDUP(((TODAY()-O60)/365.25-INDEX(Import!$A35:$A48,MATCH((TODAY()-O60)/365.25,Import!$A35:$A48,1)))*12,0)*INDEX(Import!$C35:$C48,MATCH((TODAY()-O60)/365.25,Import!$A35:$A48,1)))),0),0))</f>
        <v>0</v>
      </c>
      <c r="P40" s="15">
        <f ca="1">IF(P39="","",IF(P36="Buy",IF(P34&lt;&gt;"Netherlands",Import!$B$13+IF(P7="Electric",0,IF(P7="PHEV",INDEX(Import!$B$23:$B$25,MATCH(P10,Import!$A$23:$A$25,1))+(P10-INDEX(Import!$A$23:$A$25,MATCH(P10,Import!$A$23:$A$25,1)))*INDEX(Import!$C$23:$C$25,MATCH(P10,Import!$A$23:$A$25,1)),INDEX(Import!$B$27:$B$31,MATCH(P10,Import!$A$27:$A$31,1))+(P10-INDEX(Import!$A$27:$A$31,MATCH(P10,Import!$A$27:$A$31,1)))*INDEX(Import!$C$27:$C$31,MATCH(P10,Import!$A$27:$A$31,1))))*(1-(INDEX(Import!$B35:$B48,MATCH((TODAY()-P60)/365.25,Import!$A35:$A48,1))+ROUNDUP(((TODAY()-P60)/365.25-INDEX(Import!$A35:$A48,MATCH((TODAY()-P60)/365.25,Import!$A35:$A48,1)))*12,0)*INDEX(Import!$C35:$C48,MATCH((TODAY()-P60)/365.25,Import!$A35:$A48,1)))),0),0))</f>
        <v>0</v>
      </c>
      <c r="Q40" s="15">
        <f ca="1">IF(Q39="","",IF(Q36="Buy",IF(Q34&lt;&gt;"Netherlands",Import!$B$13+IF(Q7="Electric",0,IF(Q7="PHEV",INDEX(Import!$B$23:$B$25,MATCH(Q10,Import!$A$23:$A$25,1))+(Q10-INDEX(Import!$A$23:$A$25,MATCH(Q10,Import!$A$23:$A$25,1)))*INDEX(Import!$C$23:$C$25,MATCH(Q10,Import!$A$23:$A$25,1)),INDEX(Import!$B$27:$B$31,MATCH(Q10,Import!$A$27:$A$31,1))+(Q10-INDEX(Import!$A$27:$A$31,MATCH(Q10,Import!$A$27:$A$31,1)))*INDEX(Import!$C$27:$C$31,MATCH(Q10,Import!$A$27:$A$31,1))))*(1-(INDEX(Import!$B35:$B48,MATCH((TODAY()-Q60)/365.25,Import!$A35:$A48,1))+ROUNDUP(((TODAY()-Q60)/365.25-INDEX(Import!$A35:$A48,MATCH((TODAY()-Q60)/365.25,Import!$A35:$A48,1)))*12,0)*INDEX(Import!$C35:$C48,MATCH((TODAY()-Q60)/365.25,Import!$A35:$A48,1)))),0),0))</f>
        <v>0</v>
      </c>
      <c r="R40" s="15">
        <f ca="1">IF(R39="","",IF(R36="Buy",IF(R34&lt;&gt;"Netherlands",Import!$B$13+IF(R7="Electric",0,IF(R7="PHEV",INDEX(Import!$B$23:$B$25,MATCH(R10,Import!$A$23:$A$25,1))+(R10-INDEX(Import!$A$23:$A$25,MATCH(R10,Import!$A$23:$A$25,1)))*INDEX(Import!$C$23:$C$25,MATCH(R10,Import!$A$23:$A$25,1)),INDEX(Import!$B$27:$B$31,MATCH(R10,Import!$A$27:$A$31,1))+(R10-INDEX(Import!$A$27:$A$31,MATCH(R10,Import!$A$27:$A$31,1)))*INDEX(Import!$C$27:$C$31,MATCH(R10,Import!$A$27:$A$31,1))))*(1-(INDEX(Import!$B35:$B48,MATCH((TODAY()-R60)/365.25,Import!$A35:$A48,1))+ROUNDUP(((TODAY()-R60)/365.25-INDEX(Import!$A35:$A48,MATCH((TODAY()-R60)/365.25,Import!$A35:$A48,1)))*12,0)*INDEX(Import!$C35:$C48,MATCH((TODAY()-R60)/365.25,Import!$A35:$A48,1)))),0),0))</f>
        <v>0</v>
      </c>
      <c r="S40" s="15">
        <f ca="1">IF(S39="","",IF(S36="Buy",IF(S34&lt;&gt;"Netherlands",Import!$B$13+IF(S7="Electric",0,IF(S7="PHEV",INDEX(Import!$B$23:$B$25,MATCH(S10,Import!$A$23:$A$25,1))+(S10-INDEX(Import!$A$23:$A$25,MATCH(S10,Import!$A$23:$A$25,1)))*INDEX(Import!$C$23:$C$25,MATCH(S10,Import!$A$23:$A$25,1)),INDEX(Import!$B$27:$B$31,MATCH(S10,Import!$A$27:$A$31,1))+(S10-INDEX(Import!$A$27:$A$31,MATCH(S10,Import!$A$27:$A$31,1)))*INDEX(Import!$C$27:$C$31,MATCH(S10,Import!$A$27:$A$31,1))))*(1-(INDEX(Import!$B35:$B48,MATCH((TODAY()-S60)/365.25,Import!$A35:$A48,1))+ROUNDUP(((TODAY()-S60)/365.25-INDEX(Import!$A35:$A48,MATCH((TODAY()-S60)/365.25,Import!$A35:$A48,1)))*12,0)*INDEX(Import!$C35:$C48,MATCH((TODAY()-S60)/365.25,Import!$A35:$A48,1)))),0),0))</f>
        <v>0</v>
      </c>
      <c r="T40" s="15">
        <f ca="1">IF(T39="","",IF(T36="Buy",IF(T34&lt;&gt;"Netherlands",Import!$B$13+IF(T7="Electric",0,IF(T7="PHEV",INDEX(Import!$B$23:$B$25,MATCH(T10,Import!$A$23:$A$25,1))+(T10-INDEX(Import!$A$23:$A$25,MATCH(T10,Import!$A$23:$A$25,1)))*INDEX(Import!$C$23:$C$25,MATCH(T10,Import!$A$23:$A$25,1)),INDEX(Import!$B$27:$B$31,MATCH(T10,Import!$A$27:$A$31,1))+(T10-INDEX(Import!$A$27:$A$31,MATCH(T10,Import!$A$27:$A$31,1)))*INDEX(Import!$C$27:$C$31,MATCH(T10,Import!$A$27:$A$31,1))))*(1-(INDEX(Import!$B35:$B48,MATCH((TODAY()-T60)/365.25,Import!$A35:$A48,1))+ROUNDUP(((TODAY()-T60)/365.25-INDEX(Import!$A35:$A48,MATCH((TODAY()-T60)/365.25,Import!$A35:$A48,1)))*12,0)*INDEX(Import!$C35:$C48,MATCH((TODAY()-T60)/365.25,Import!$A35:$A48,1)))),0),0))</f>
        <v>0</v>
      </c>
      <c r="U40" s="15">
        <f ca="1">IF(U39="","",IF(U36="Buy",IF(U34&lt;&gt;"Netherlands",Import!$B$13+IF(U7="Electric",0,IF(U7="PHEV",INDEX(Import!$B$23:$B$25,MATCH(U10,Import!$A$23:$A$25,1))+(U10-INDEX(Import!$A$23:$A$25,MATCH(U10,Import!$A$23:$A$25,1)))*INDEX(Import!$C$23:$C$25,MATCH(U10,Import!$A$23:$A$25,1)),INDEX(Import!$B$27:$B$31,MATCH(U10,Import!$A$27:$A$31,1))+(U10-INDEX(Import!$A$27:$A$31,MATCH(U10,Import!$A$27:$A$31,1)))*INDEX(Import!$C$27:$C$31,MATCH(U10,Import!$A$27:$A$31,1))))*(1-(INDEX(Import!$B35:$B48,MATCH((TODAY()-U60)/365.25,Import!$A35:$A48,1))+ROUNDUP(((TODAY()-U60)/365.25-INDEX(Import!$A35:$A48,MATCH((TODAY()-U60)/365.25,Import!$A35:$A48,1)))*12,0)*INDEX(Import!$C35:$C48,MATCH((TODAY()-U60)/365.25,Import!$A35:$A48,1)))),0),0))</f>
        <v>129.80000000000001</v>
      </c>
      <c r="V40" s="15">
        <f ca="1">IF(V39="","",IF(V36="Buy",IF(V34&lt;&gt;"Netherlands",Import!$B$13+IF(V7="Electric",0,IF(V7="PHEV",INDEX(Import!$B$23:$B$25,MATCH(V10,Import!$A$23:$A$25,1))+(V10-INDEX(Import!$A$23:$A$25,MATCH(V10,Import!$A$23:$A$25,1)))*INDEX(Import!$C$23:$C$25,MATCH(V10,Import!$A$23:$A$25,1)),INDEX(Import!$B$27:$B$31,MATCH(V10,Import!$A$27:$A$31,1))+(V10-INDEX(Import!$A$27:$A$31,MATCH(V10,Import!$A$27:$A$31,1)))*INDEX(Import!$C$27:$C$31,MATCH(V10,Import!$A$27:$A$31,1))))*(1-(INDEX(Import!$B35:$B48,MATCH((TODAY()-V60)/365.25,Import!$A35:$A48,1))+ROUNDUP(((TODAY()-V60)/365.25-INDEX(Import!$A35:$A48,MATCH((TODAY()-V60)/365.25,Import!$A35:$A48,1)))*12,0)*INDEX(Import!$C35:$C48,MATCH((TODAY()-V60)/365.25,Import!$A35:$A48,1)))),0),0))</f>
        <v>129.80000000000001</v>
      </c>
    </row>
    <row r="41" spans="1:22" x14ac:dyDescent="0.35">
      <c r="A41" s="218"/>
      <c r="B41" s="13" t="s">
        <v>86</v>
      </c>
      <c r="C41" s="14">
        <f>IF(OR(C12="",C34="",C36="",C38=""),"Required data missing",IF(AND(C7="Electric",C12&gt;=120,C34="Netherlands",C38&gt;=12000,C38&lt;=45000),IF(C36="Buy",IF(C59&gt;0,-2000,-2950),IF(C37&gt;=4,IF(C59&gt;0,-2000,-2950),"Do not qualify")),"Do not qualify"))</f>
        <v>-2000</v>
      </c>
      <c r="D41" s="15">
        <f t="shared" ref="D41:V41" si="1">IF(OR(D12="",D34="",D36="",D38=""),"Required data missing",IF(AND(D7="Electric",D12&gt;=120,D34="Netherlands",D38&gt;=12000,D38&lt;=45000),IF(D36="Buy",IF(D59&gt;0,-2000,-2950),IF(D37&gt;=4,IF(D59&gt;0,-2000,-2950),"Do not qualify")),"Do not qualify"))</f>
        <v>-2000</v>
      </c>
      <c r="E41" s="112">
        <f t="shared" si="1"/>
        <v>-2000</v>
      </c>
      <c r="F41" s="15">
        <f t="shared" si="1"/>
        <v>-2000</v>
      </c>
      <c r="G41" s="15" t="str">
        <f t="shared" si="1"/>
        <v>Do not qualify</v>
      </c>
      <c r="H41" s="112" t="str">
        <f t="shared" si="1"/>
        <v>Do not qualify</v>
      </c>
      <c r="I41" s="15" t="str">
        <f t="shared" si="1"/>
        <v>Do not qualify</v>
      </c>
      <c r="J41" s="15" t="str">
        <f t="shared" si="1"/>
        <v>Do not qualify</v>
      </c>
      <c r="K41" s="15" t="str">
        <f t="shared" si="1"/>
        <v>Do not qualify</v>
      </c>
      <c r="L41" s="112" t="str">
        <f t="shared" si="1"/>
        <v>Required data missing</v>
      </c>
      <c r="M41" s="15" t="str">
        <f t="shared" si="1"/>
        <v>Required data missing</v>
      </c>
      <c r="N41" s="15" t="str">
        <f t="shared" si="1"/>
        <v>Do not qualify</v>
      </c>
      <c r="O41" s="15" t="str">
        <f t="shared" si="1"/>
        <v>Do not qualify</v>
      </c>
      <c r="P41" s="15" t="str">
        <f t="shared" si="1"/>
        <v>Do not qualify</v>
      </c>
      <c r="Q41" s="15">
        <f t="shared" si="1"/>
        <v>-2000</v>
      </c>
      <c r="R41" s="15" t="str">
        <f t="shared" si="1"/>
        <v>Do not qualify</v>
      </c>
      <c r="S41" s="15">
        <f t="shared" si="1"/>
        <v>-2000</v>
      </c>
      <c r="T41" s="15">
        <f t="shared" si="1"/>
        <v>-2950</v>
      </c>
      <c r="U41" s="15" t="str">
        <f t="shared" si="1"/>
        <v>Do not qualify</v>
      </c>
      <c r="V41" s="15" t="str">
        <f t="shared" si="1"/>
        <v>Do not qualify</v>
      </c>
    </row>
    <row r="42" spans="1:22" ht="15" thickBot="1" x14ac:dyDescent="0.4">
      <c r="A42" s="218"/>
      <c r="B42" s="7" t="s">
        <v>62</v>
      </c>
      <c r="C42" s="8">
        <f ca="1">IF(C36="Buy",SUM(C39:C41)+SUM(C15:C28),C39*12*C37+SUM(C40:C41)+SUM(C15:C28))</f>
        <v>6850</v>
      </c>
      <c r="D42" s="9">
        <f t="shared" ref="D42:V42" ca="1" si="2">IF(D36="Buy",SUM(D39:D41)+SUM(D15:D28),D39*12*D37+SUM(D40:D41)+SUM(D15:D28))</f>
        <v>6250</v>
      </c>
      <c r="E42" s="113">
        <f t="shared" ca="1" si="2"/>
        <v>7945</v>
      </c>
      <c r="F42" s="9">
        <f t="shared" ca="1" si="2"/>
        <v>6250</v>
      </c>
      <c r="G42" s="9">
        <f t="shared" ca="1" si="2"/>
        <v>8250</v>
      </c>
      <c r="H42" s="113">
        <f t="shared" ca="1" si="2"/>
        <v>6410</v>
      </c>
      <c r="I42" s="9">
        <f t="shared" ca="1" si="2"/>
        <v>13450</v>
      </c>
      <c r="J42" s="9">
        <f t="shared" ca="1" si="2"/>
        <v>15950</v>
      </c>
      <c r="K42" s="9">
        <f t="shared" ca="1" si="2"/>
        <v>11450</v>
      </c>
      <c r="L42" s="113">
        <f t="shared" ca="1" si="2"/>
        <v>26890</v>
      </c>
      <c r="M42" s="9">
        <f t="shared" ca="1" si="2"/>
        <v>15750</v>
      </c>
      <c r="N42" s="9">
        <f t="shared" ca="1" si="2"/>
        <v>17950</v>
      </c>
      <c r="O42" s="9">
        <f t="shared" ca="1" si="2"/>
        <v>17885</v>
      </c>
      <c r="P42" s="9">
        <f t="shared" ca="1" si="2"/>
        <v>15930</v>
      </c>
      <c r="Q42" s="9">
        <f t="shared" ca="1" si="2"/>
        <v>18900</v>
      </c>
      <c r="R42" s="9">
        <f t="shared" ca="1" si="2"/>
        <v>19950</v>
      </c>
      <c r="S42" s="9">
        <f t="shared" ca="1" si="2"/>
        <v>22650</v>
      </c>
      <c r="T42" s="9">
        <f t="shared" ca="1" si="2"/>
        <v>29885</v>
      </c>
      <c r="U42" s="9">
        <f t="shared" ca="1" si="2"/>
        <v>41198.800000000003</v>
      </c>
      <c r="V42" s="9">
        <f t="shared" ca="1" si="2"/>
        <v>36329.800000000003</v>
      </c>
    </row>
    <row r="43" spans="1:22" ht="15" thickTop="1" x14ac:dyDescent="0.35">
      <c r="A43" s="218"/>
      <c r="B43" s="10" t="s">
        <v>257</v>
      </c>
      <c r="C43" s="187">
        <f ca="1">IF(C36="Buy",IF(C60="",14,14-YEARFRAC(C60,TODAY(),1)),C37)</f>
        <v>2.4271047227926079</v>
      </c>
      <c r="D43" s="64">
        <f t="shared" ref="D43:V43" ca="1" si="3">IF(D36="Buy",IF(D60="",14,14-YEARFRAC(D60,TODAY(),1)),D37)</f>
        <v>4.1587736107309059</v>
      </c>
      <c r="E43" s="114">
        <f t="shared" ca="1" si="3"/>
        <v>3.9472374315579888</v>
      </c>
      <c r="F43" s="64">
        <f t="shared" ca="1" si="3"/>
        <v>4.1587736107309059</v>
      </c>
      <c r="G43" s="64">
        <f t="shared" ca="1" si="3"/>
        <v>8.0922956589753614</v>
      </c>
      <c r="H43" s="114">
        <f t="shared" ca="1" si="3"/>
        <v>2</v>
      </c>
      <c r="I43" s="64">
        <f t="shared" ca="1" si="3"/>
        <v>6.1806981519507183</v>
      </c>
      <c r="J43" s="64">
        <f t="shared" ca="1" si="3"/>
        <v>7.3832616347281972</v>
      </c>
      <c r="K43" s="64">
        <f t="shared" ca="1" si="3"/>
        <v>6.2108145106091719</v>
      </c>
      <c r="L43" s="114">
        <f t="shared" ca="1" si="3"/>
        <v>14</v>
      </c>
      <c r="M43" s="64">
        <f t="shared" ca="1" si="3"/>
        <v>4.7144812482890774</v>
      </c>
      <c r="N43" s="64">
        <f t="shared" ca="1" si="3"/>
        <v>4.5392827812756646</v>
      </c>
      <c r="O43" s="64">
        <f t="shared" ca="1" si="3"/>
        <v>5.429744525547445</v>
      </c>
      <c r="P43" s="64">
        <f t="shared" ca="1" si="3"/>
        <v>3.0951403148528414</v>
      </c>
      <c r="Q43" s="64">
        <f t="shared" ca="1" si="3"/>
        <v>6.8459958932238196</v>
      </c>
      <c r="R43" s="64">
        <f t="shared" ca="1" si="3"/>
        <v>8.26551094890511</v>
      </c>
      <c r="S43" s="64">
        <f t="shared" ca="1" si="3"/>
        <v>7.0130047912388775</v>
      </c>
      <c r="T43" s="64">
        <f t="shared" ca="1" si="3"/>
        <v>14</v>
      </c>
      <c r="U43" s="64">
        <f t="shared" ca="1" si="3"/>
        <v>14</v>
      </c>
      <c r="V43" s="64">
        <f t="shared" ca="1" si="3"/>
        <v>8.6377737226277382</v>
      </c>
    </row>
    <row r="44" spans="1:22" ht="15" thickBot="1" x14ac:dyDescent="0.4">
      <c r="A44" s="218"/>
      <c r="B44" s="7" t="s">
        <v>258</v>
      </c>
      <c r="C44" s="67">
        <v>2000</v>
      </c>
      <c r="D44" s="68">
        <v>2000</v>
      </c>
      <c r="E44" s="115">
        <v>2000</v>
      </c>
      <c r="F44" s="68">
        <v>2000</v>
      </c>
      <c r="G44" s="68">
        <v>2000</v>
      </c>
      <c r="H44" s="115">
        <v>0</v>
      </c>
      <c r="I44" s="68">
        <v>3500</v>
      </c>
      <c r="J44" s="68">
        <v>3000</v>
      </c>
      <c r="K44" s="68">
        <v>3000</v>
      </c>
      <c r="L44" s="115">
        <v>3500</v>
      </c>
      <c r="M44" s="68">
        <v>7000</v>
      </c>
      <c r="N44" s="68">
        <v>8500</v>
      </c>
      <c r="O44" s="68">
        <v>8500</v>
      </c>
      <c r="P44" s="68">
        <v>8500</v>
      </c>
      <c r="Q44" s="68">
        <v>9000</v>
      </c>
      <c r="R44" s="68">
        <v>9000</v>
      </c>
      <c r="S44" s="68">
        <v>6000</v>
      </c>
      <c r="T44" s="68">
        <v>6000</v>
      </c>
      <c r="U44" s="68">
        <v>6000</v>
      </c>
      <c r="V44" s="68">
        <v>15000</v>
      </c>
    </row>
    <row r="45" spans="1:22" ht="15" thickTop="1" x14ac:dyDescent="0.35">
      <c r="A45" s="218"/>
      <c r="B45" s="2" t="s">
        <v>54</v>
      </c>
      <c r="C45" s="65">
        <f ca="1">IF(C39="","",C42-C44)</f>
        <v>4850</v>
      </c>
      <c r="D45" s="66">
        <f ca="1">IF(D39="","",D42-D44)</f>
        <v>4250</v>
      </c>
      <c r="E45" s="116">
        <f ca="1">IF(E39="","",E42-E44)</f>
        <v>5945</v>
      </c>
      <c r="F45" s="66">
        <f ca="1">IF(F39="","",F42-F44)</f>
        <v>4250</v>
      </c>
      <c r="G45" s="66">
        <f t="shared" ref="G45:T45" ca="1" si="4">IF(G39="","",G42-G44)</f>
        <v>6250</v>
      </c>
      <c r="H45" s="116">
        <f t="shared" ca="1" si="4"/>
        <v>6410</v>
      </c>
      <c r="I45" s="66">
        <f t="shared" ca="1" si="4"/>
        <v>9950</v>
      </c>
      <c r="J45" s="66">
        <f t="shared" ca="1" si="4"/>
        <v>12950</v>
      </c>
      <c r="K45" s="66">
        <f t="shared" ca="1" si="4"/>
        <v>8450</v>
      </c>
      <c r="L45" s="116">
        <f t="shared" ca="1" si="4"/>
        <v>23390</v>
      </c>
      <c r="M45" s="66">
        <f ca="1">IF(M39="","",M42-M44)</f>
        <v>8750</v>
      </c>
      <c r="N45" s="66">
        <f t="shared" ca="1" si="4"/>
        <v>9450</v>
      </c>
      <c r="O45" s="66">
        <f t="shared" ca="1" si="4"/>
        <v>9385</v>
      </c>
      <c r="P45" s="66">
        <f ca="1">IF(P39="","",P42-P44)</f>
        <v>7430</v>
      </c>
      <c r="Q45" s="66">
        <f t="shared" ref="Q45" ca="1" si="5">IF(Q39="","",Q42-Q44)</f>
        <v>9900</v>
      </c>
      <c r="R45" s="66">
        <f t="shared" ref="R45" ca="1" si="6">IF(R39="","",R42-R44)</f>
        <v>10950</v>
      </c>
      <c r="S45" s="66">
        <f t="shared" ca="1" si="4"/>
        <v>16650</v>
      </c>
      <c r="T45" s="66">
        <f t="shared" ca="1" si="4"/>
        <v>23885</v>
      </c>
      <c r="U45" s="66">
        <f ca="1">IF(U39="","",U42-U44)</f>
        <v>35198.800000000003</v>
      </c>
      <c r="V45" s="66">
        <f ca="1">IF(V39="","",V42-V44)</f>
        <v>21329.800000000003</v>
      </c>
    </row>
    <row r="46" spans="1:22" ht="15" thickBot="1" x14ac:dyDescent="0.4">
      <c r="A46" s="218"/>
      <c r="B46" s="36" t="s">
        <v>55</v>
      </c>
      <c r="C46" s="37">
        <f t="shared" ref="C46:H46" ca="1" si="7">IF(C43="","",C45/C43)</f>
        <v>1998.2656514382402</v>
      </c>
      <c r="D46" s="38">
        <f t="shared" ca="1" si="7"/>
        <v>1021.9358873091101</v>
      </c>
      <c r="E46" s="117">
        <f t="shared" ca="1" si="7"/>
        <v>1506.1166456494327</v>
      </c>
      <c r="F46" s="38">
        <f t="shared" ca="1" si="7"/>
        <v>1021.9358873091101</v>
      </c>
      <c r="G46" s="38">
        <f t="shared" ca="1" si="7"/>
        <v>772.33955151749467</v>
      </c>
      <c r="H46" s="117">
        <f t="shared" ca="1" si="7"/>
        <v>3205</v>
      </c>
      <c r="I46" s="38">
        <f t="shared" ref="I46:T46" ca="1" si="8">IF(I43="","",I45/I43)</f>
        <v>1609.8504983388705</v>
      </c>
      <c r="J46" s="38">
        <f t="shared" ca="1" si="8"/>
        <v>1753.9673711531332</v>
      </c>
      <c r="K46" s="38">
        <f t="shared" ca="1" si="8"/>
        <v>1360.5300859598854</v>
      </c>
      <c r="L46" s="117">
        <f t="shared" ca="1" si="8"/>
        <v>1670.7142857142858</v>
      </c>
      <c r="M46" s="38">
        <f ca="1">IF(M43="","",M45/M43)</f>
        <v>1855.9836255951691</v>
      </c>
      <c r="N46" s="38">
        <f t="shared" ca="1" si="8"/>
        <v>2081.8266795320224</v>
      </c>
      <c r="O46" s="38">
        <f t="shared" ca="1" si="8"/>
        <v>1728.4422786086373</v>
      </c>
      <c r="P46" s="38">
        <f ca="1">IF(P43="","",P45/P43)</f>
        <v>2400.5373728438735</v>
      </c>
      <c r="Q46" s="38">
        <f t="shared" ref="Q46" ca="1" si="9">IF(Q43="","",Q45/Q43)</f>
        <v>1446.1007798440312</v>
      </c>
      <c r="R46" s="38">
        <f t="shared" ref="R46" ca="1" si="10">IF(R43="","",R45/R43)</f>
        <v>1324.7819847665305</v>
      </c>
      <c r="S46" s="38">
        <f t="shared" ca="1" si="8"/>
        <v>2374.1606480577784</v>
      </c>
      <c r="T46" s="38">
        <f t="shared" ca="1" si="8"/>
        <v>1706.0714285714287</v>
      </c>
      <c r="U46" s="38">
        <f ca="1">IF(U43="","",U45/U43)</f>
        <v>2514.2000000000003</v>
      </c>
      <c r="V46" s="38">
        <f ca="1">IF(V43="","",V45/V43)</f>
        <v>2469.3631351008767</v>
      </c>
    </row>
    <row r="47" spans="1:22" ht="15" thickTop="1" x14ac:dyDescent="0.35">
      <c r="A47" s="218"/>
      <c r="B47" s="10" t="s">
        <v>209</v>
      </c>
      <c r="C47" s="11">
        <f t="shared" ref="C47:V47" si="11">IF(OR(C7="",C8="",C9=""),"Required data missing",(C8/IF(C7="Electric",1,100)*Urban_km+C9/IF(C7="Electric",1,100)*(Extra_urban_km))*IF(C7="Electric",Off_peak_price/1000*Off_peak_charge+Peak_price/1000*Peak_charge,Petrol_price)+(C9/IF(C7="Electric",1,100)*Commuting_km*IF(C7="Petrol",Petrol_price,At_work_price/1000)))</f>
        <v>372.09599999999995</v>
      </c>
      <c r="D47" s="12">
        <f t="shared" si="11"/>
        <v>372.09599999999995</v>
      </c>
      <c r="E47" s="118">
        <f t="shared" si="11"/>
        <v>372.09599999999995</v>
      </c>
      <c r="F47" s="12">
        <f t="shared" si="11"/>
        <v>372.09599999999995</v>
      </c>
      <c r="G47" s="12">
        <f t="shared" si="11"/>
        <v>758.10000000000014</v>
      </c>
      <c r="H47" s="118">
        <f t="shared" si="11"/>
        <v>758.10000000000014</v>
      </c>
      <c r="I47" s="12">
        <f t="shared" si="11"/>
        <v>740.40000000000009</v>
      </c>
      <c r="J47" s="12">
        <f t="shared" si="11"/>
        <v>838.49999999999989</v>
      </c>
      <c r="K47" s="12">
        <f t="shared" si="11"/>
        <v>826.8</v>
      </c>
      <c r="L47" s="118">
        <f t="shared" si="11"/>
        <v>912.00000000000011</v>
      </c>
      <c r="M47" s="12">
        <f t="shared" si="11"/>
        <v>612</v>
      </c>
      <c r="N47" s="12">
        <f t="shared" si="11"/>
        <v>409.71599999999995</v>
      </c>
      <c r="O47" s="12">
        <f t="shared" si="11"/>
        <v>409.71599999999995</v>
      </c>
      <c r="P47" s="12">
        <f t="shared" si="11"/>
        <v>409.71599999999995</v>
      </c>
      <c r="Q47" s="12">
        <f t="shared" si="11"/>
        <v>396.03599999999994</v>
      </c>
      <c r="R47" s="12">
        <f t="shared" si="11"/>
        <v>389.87999999999994</v>
      </c>
      <c r="S47" s="12">
        <f t="shared" si="11"/>
        <v>402.32879999999994</v>
      </c>
      <c r="T47" s="12">
        <f t="shared" si="11"/>
        <v>462.3839999999999</v>
      </c>
      <c r="U47" s="12">
        <f t="shared" si="11"/>
        <v>521.20799999999986</v>
      </c>
      <c r="V47" s="12">
        <f t="shared" si="11"/>
        <v>360.46799999999996</v>
      </c>
    </row>
    <row r="48" spans="1:22" x14ac:dyDescent="0.35">
      <c r="A48" s="218"/>
      <c r="B48" s="3" t="s">
        <v>35</v>
      </c>
      <c r="C48" s="56">
        <v>660</v>
      </c>
      <c r="D48" s="57">
        <v>660</v>
      </c>
      <c r="E48" s="109">
        <v>660</v>
      </c>
      <c r="F48" s="57">
        <v>660</v>
      </c>
      <c r="G48" s="57">
        <v>480</v>
      </c>
      <c r="H48" s="109">
        <v>480</v>
      </c>
      <c r="I48" s="57">
        <v>600</v>
      </c>
      <c r="J48" s="57">
        <v>600</v>
      </c>
      <c r="K48" s="57">
        <v>600</v>
      </c>
      <c r="L48" s="109">
        <v>1032</v>
      </c>
      <c r="M48" s="57">
        <v>780</v>
      </c>
      <c r="N48" s="57">
        <v>780</v>
      </c>
      <c r="O48" s="57">
        <v>780</v>
      </c>
      <c r="P48" s="57">
        <v>780</v>
      </c>
      <c r="Q48" s="57">
        <v>816</v>
      </c>
      <c r="R48" s="57">
        <v>840</v>
      </c>
      <c r="S48" s="57">
        <v>780</v>
      </c>
      <c r="T48" s="57">
        <v>780</v>
      </c>
      <c r="U48" s="57">
        <v>808.44</v>
      </c>
      <c r="V48" s="57">
        <v>828</v>
      </c>
    </row>
    <row r="49" spans="1:22" x14ac:dyDescent="0.35">
      <c r="A49" s="218"/>
      <c r="B49" s="3" t="s">
        <v>36</v>
      </c>
      <c r="C49" s="5">
        <f ca="1">IF(C36="Buy",IF(C7="Electric",SUM(OFFSET(Maintenance!$D17,0,0,-C43))/C43,IF(C7="PHEV",SUM(OFFSET(Maintenance!$C17,0,0,-C43))/C43,SUM(OFFSET(Maintenance!$B17,0,0,-C43))/C43)),0)</f>
        <v>238.9678510998308</v>
      </c>
      <c r="D49" s="4">
        <f ca="1">IF(D36="Buy",IF(D7="Electric",SUM(OFFSET(Maintenance!$D17,0,0,-D43))/D43,IF(D7="PHEV",SUM(OFFSET(Maintenance!$C17,0,0,-D43))/D43,SUM(OFFSET(Maintenance!$B17,0,0,-D43))/D43)),0)</f>
        <v>259.69194312796208</v>
      </c>
      <c r="E49" s="119">
        <f ca="1">IF(E36="Buy",IF(E7="Electric",SUM(OFFSET(Maintenance!$D17,0,0,-E43))/E43,IF(E7="PHEV",SUM(OFFSET(Maintenance!$C17,0,0,-E43))/E43,SUM(OFFSET(Maintenance!$B17,0,0,-E43))/E43)),0)</f>
        <v>212.80706179066837</v>
      </c>
      <c r="F49" s="4">
        <f ca="1">IF(F36="Buy",IF(F7="Electric",SUM(OFFSET(Maintenance!$D17,0,0,-F43))/F43,IF(F7="PHEV",SUM(OFFSET(Maintenance!$C17,0,0,-F43))/F43,SUM(OFFSET(Maintenance!$B17,0,0,-F43))/F43)),0)</f>
        <v>259.69194312796208</v>
      </c>
      <c r="G49" s="4">
        <f ca="1">IF(G36="Buy",IF(G7="Electric",SUM(OFFSET(Maintenance!$D17,0,0,-G43))/G43,IF(G7="PHEV",SUM(OFFSET(Maintenance!$C17,0,0,-G43))/G43,SUM(OFFSET(Maintenance!$B17,0,0,-G43))/G43)),0)</f>
        <v>454.75352793350089</v>
      </c>
      <c r="H49" s="119">
        <f ca="1">IF(H36="Buy",IF(H7="Electric",SUM(OFFSET(Maintenance!$D17,0,0,-H43))/H43,IF(H7="PHEV",SUM(OFFSET(Maintenance!$C17,0,0,-H43))/H43,SUM(OFFSET(Maintenance!$B17,0,0,-H43))/H43)),0)</f>
        <v>0</v>
      </c>
      <c r="I49" s="4">
        <f ca="1">IF(I36="Buy",IF(I7="Electric",SUM(OFFSET(Maintenance!$D17,0,0,-I43))/I43,IF(I7="PHEV",SUM(OFFSET(Maintenance!$C17,0,0,-I43))/I43,SUM(OFFSET(Maintenance!$B17,0,0,-I43))/I43)),0)</f>
        <v>485.38205980066448</v>
      </c>
      <c r="J49" s="4">
        <f ca="1">IF(J36="Buy",IF(J7="Electric",SUM(OFFSET(Maintenance!$D17,0,0,-J43))/J43,IF(J7="PHEV",SUM(OFFSET(Maintenance!$C17,0,0,-J43))/J43,SUM(OFFSET(Maintenance!$B17,0,0,-J43))/J43)),0)</f>
        <v>455.083426028921</v>
      </c>
      <c r="K49" s="4">
        <f ca="1">IF(K36="Buy",IF(K7="Electric",SUM(OFFSET(Maintenance!$D17,0,0,-K43))/K43,IF(K7="PHEV",SUM(OFFSET(Maintenance!$C17,0,0,-K43))/K43,SUM(OFFSET(Maintenance!$B17,0,0,-K43))/K43)),0)</f>
        <v>483.02843288516641</v>
      </c>
      <c r="L49" s="119">
        <f ca="1">IF(L36="Buy",IF(L7="Electric",SUM(OFFSET(Maintenance!$D17,0,0,-L43))/L43,IF(L7="PHEV",SUM(OFFSET(Maintenance!$C17,0,0,-L43))/L43,SUM(OFFSET(Maintenance!$B17,0,0,-L43))/L43)),0)</f>
        <v>340</v>
      </c>
      <c r="M49" s="4">
        <f ca="1">IF(M36="Buy",IF(M7="Electric",SUM(OFFSET(Maintenance!$D17,0,0,-M43))/M43,IF(M7="PHEV",SUM(OFFSET(Maintenance!$C17,0,0,-M43))/M43,SUM(OFFSET(Maintenance!$B17,0,0,-M43))/M43)),0)</f>
        <v>412.34653350365812</v>
      </c>
      <c r="N49" s="4">
        <f ca="1">IF(N36="Buy",IF(N7="Electric",SUM(OFFSET(Maintenance!$D17,0,0,-N43))/N43,IF(N7="PHEV",SUM(OFFSET(Maintenance!$C17,0,0,-N43))/N43,SUM(OFFSET(Maintenance!$B17,0,0,-N43))/N43)),0)</f>
        <v>237.92304908937399</v>
      </c>
      <c r="O49" s="4">
        <f ca="1">IF(O36="Buy",IF(O7="Electric",SUM(OFFSET(Maintenance!$D17,0,0,-O43))/O43,IF(O7="PHEV",SUM(OFFSET(Maintenance!$C17,0,0,-O43))/O43,SUM(OFFSET(Maintenance!$B17,0,0,-O43))/O43)),0)</f>
        <v>239.42194589144682</v>
      </c>
      <c r="P49" s="4">
        <f ca="1">IF(P36="Buy",IF(P7="Electric",SUM(OFFSET(Maintenance!$D17,0,0,-P43))/P43,IF(P7="PHEV",SUM(OFFSET(Maintenance!$C17,0,0,-P43))/P43,SUM(OFFSET(Maintenance!$B17,0,0,-P43))/P43)),0)</f>
        <v>271.3931888544891</v>
      </c>
      <c r="Q49" s="4">
        <f ca="1">IF(Q36="Buy",IF(Q7="Electric",SUM(OFFSET(Maintenance!$D17,0,0,-Q43))/Q43,IF(Q7="PHEV",SUM(OFFSET(Maintenance!$C17,0,0,-Q43))/Q43,SUM(OFFSET(Maintenance!$B17,0,0,-Q43))/Q43)),0)</f>
        <v>219.10617876424715</v>
      </c>
      <c r="R49" s="4">
        <f ca="1">IF(R36="Buy",IF(R7="Electric",SUM(OFFSET(Maintenance!$D17,0,0,-R43))/R43,IF(R7="PHEV",SUM(OFFSET(Maintenance!$C17,0,0,-R43))/R43,SUM(OFFSET(Maintenance!$B17,0,0,-R43))/R43)),0)</f>
        <v>222.61176730323433</v>
      </c>
      <c r="S49" s="4">
        <f ca="1">IF(S36="Buy",IF(S7="Electric",SUM(OFFSET(Maintenance!$D17,0,0,-S43))/S43,IF(S7="PHEV",SUM(OFFSET(Maintenance!$C17,0,0,-S43))/S43,SUM(OFFSET(Maintenance!$B17,0,0,-S43))/S43)),0)</f>
        <v>239.55494827249657</v>
      </c>
      <c r="T49" s="4">
        <f ca="1">IF(T36="Buy",IF(T7="Electric",SUM(OFFSET(Maintenance!$D17,0,0,-T43))/T43,IF(T7="PHEV",SUM(OFFSET(Maintenance!$C17,0,0,-T43))/T43,SUM(OFFSET(Maintenance!$B17,0,0,-T43))/T43)),0)</f>
        <v>170</v>
      </c>
      <c r="U49" s="4">
        <f ca="1">IF(U36="Buy",IF(U7="Electric",SUM(OFFSET(Maintenance!$D17,0,0,-U43))/U43,IF(U7="PHEV",SUM(OFFSET(Maintenance!$C17,0,0,-U43))/U43,SUM(OFFSET(Maintenance!$B17,0,0,-U43))/U43)),0)</f>
        <v>170</v>
      </c>
      <c r="V49" s="4">
        <f ca="1">IF(V36="Buy",IF(V7="Electric",SUM(OFFSET(Maintenance!$D17,0,0,-V43))/V43,IF(V7="PHEV",SUM(OFFSET(Maintenance!$C17,0,0,-V43))/V43,SUM(OFFSET(Maintenance!$B17,0,0,-V43))/V43)),0)</f>
        <v>213.01785148410264</v>
      </c>
    </row>
    <row r="50" spans="1:22" x14ac:dyDescent="0.35">
      <c r="A50" s="218"/>
      <c r="B50" s="3" t="s">
        <v>52</v>
      </c>
      <c r="C50" s="5">
        <f t="shared" ref="C50:V50" ca="1" si="12">IF(C36="","Required data missing",IF(C36="Buy",IF(OR(C7="",C29=""),"Required data missing",SUM(C110:C127)/C43),0))</f>
        <v>205.68759273740045</v>
      </c>
      <c r="D50" s="4">
        <f t="shared" ca="1" si="12"/>
        <v>256.73353564230405</v>
      </c>
      <c r="E50" s="119">
        <f t="shared" ca="1" si="12"/>
        <v>252.56961481258773</v>
      </c>
      <c r="F50" s="4">
        <f t="shared" ca="1" si="12"/>
        <v>256.73353564230405</v>
      </c>
      <c r="G50" s="4">
        <f t="shared" ca="1" si="12"/>
        <v>348.49692311941033</v>
      </c>
      <c r="H50" s="119">
        <f>IF(H36="","Required data missing",IF(H36="Buy",IF(OR(H7="",H29=""),"Required data missing",SUM(H110:H127)/H43),0))</f>
        <v>0</v>
      </c>
      <c r="I50" s="4">
        <f t="shared" ca="1" si="12"/>
        <v>564.54747536085972</v>
      </c>
      <c r="J50" s="4">
        <f t="shared" ca="1" si="12"/>
        <v>842.47631501776539</v>
      </c>
      <c r="K50" s="4">
        <f t="shared" ca="1" si="12"/>
        <v>564.94972222130912</v>
      </c>
      <c r="L50" s="119">
        <f t="shared" ca="1" si="12"/>
        <v>826.76010383588402</v>
      </c>
      <c r="M50" s="4">
        <f t="shared" ca="1" si="12"/>
        <v>1103.2953909960052</v>
      </c>
      <c r="N50" s="4">
        <f t="shared" ca="1" si="12"/>
        <v>575.85231697451684</v>
      </c>
      <c r="O50" s="4">
        <f t="shared" ca="1" si="12"/>
        <v>620.93874268711193</v>
      </c>
      <c r="P50" s="4">
        <f t="shared" ca="1" si="12"/>
        <v>502.23289918688687</v>
      </c>
      <c r="Q50" s="4">
        <f t="shared" ca="1" si="12"/>
        <v>713.54513018296655</v>
      </c>
      <c r="R50" s="4">
        <f t="shared" ca="1" si="12"/>
        <v>784.7519686117306</v>
      </c>
      <c r="S50" s="4">
        <f t="shared" ca="1" si="12"/>
        <v>1116.9126966147987</v>
      </c>
      <c r="T50" s="4">
        <f t="shared" ca="1" si="12"/>
        <v>1563.0028591609512</v>
      </c>
      <c r="U50" s="4">
        <f t="shared" ca="1" si="12"/>
        <v>1699.765609337534</v>
      </c>
      <c r="V50" s="4">
        <f t="shared" ca="1" si="12"/>
        <v>1456.2790094594268</v>
      </c>
    </row>
    <row r="51" spans="1:22" x14ac:dyDescent="0.35">
      <c r="A51" s="218"/>
      <c r="B51" s="3" t="s">
        <v>109</v>
      </c>
      <c r="C51" s="5">
        <f ca="1">IF(C36="Buy",SUM(OFFSET(APK!$B$16,0,0,-ROUNDUP(C43,0)))/C43,0)</f>
        <v>61.802030456852791</v>
      </c>
      <c r="D51" s="4">
        <f ca="1">IF(D36="Buy",SUM(OFFSET(APK!$B$16,0,0,-ROUNDUP(D43,0)))/D43,0)</f>
        <v>60.113875724065302</v>
      </c>
      <c r="E51" s="119">
        <f ca="1">IF(E36="Buy",SUM(OFFSET(APK!$B$16,0,0,-ROUNDUP(E43,0)))/E43,0)</f>
        <v>50.668348045397231</v>
      </c>
      <c r="F51" s="4">
        <f ca="1">IF(F36="Buy",SUM(OFFSET(APK!$B$16,0,0,-ROUNDUP(F43,0)))/F43,0)</f>
        <v>60.113875724065302</v>
      </c>
      <c r="G51" s="4">
        <f ca="1">IF(G36="Buy",SUM(OFFSET(APK!$B$16,0,0,-ROUNDUP(G43,0)))/G43,0)</f>
        <v>49.429731297119659</v>
      </c>
      <c r="H51" s="119">
        <f ca="1">IF(H36="Buy",SUM(OFFSET(APK!$B$16,0,0,-ROUNDUP(H43,0)))/H43,0)</f>
        <v>0</v>
      </c>
      <c r="I51" s="4">
        <f ca="1">IF(I36="Buy",SUM(OFFSET(APK!$B$16,0,0,-ROUNDUP(I43,0)))/I43,0)</f>
        <v>56.627906976744192</v>
      </c>
      <c r="J51" s="4">
        <f ca="1">IF(J36="Buy",SUM(OFFSET(APK!$B$16,0,0,-ROUNDUP(J43,0)))/J43,0)</f>
        <v>47.404523544679272</v>
      </c>
      <c r="K51" s="4">
        <f ca="1">IF(K36="Buy",SUM(OFFSET(APK!$B$16,0,0,-ROUNDUP(K43,0)))/K43,0)</f>
        <v>56.353317169936084</v>
      </c>
      <c r="L51" s="119">
        <f ca="1">IF(L36="Buy",SUM(OFFSET(APK!$B$16,0,0,-ROUNDUP(L43,0)))/L43,0)</f>
        <v>32.142857142857146</v>
      </c>
      <c r="M51" s="4">
        <f ca="1">IF(M36="Buy",SUM(OFFSET(APK!$B$16,0,0,-ROUNDUP(M43,0)))/M43,0)</f>
        <v>53.028103588433396</v>
      </c>
      <c r="N51" s="4">
        <f ca="1">IF(N36="Buy",SUM(OFFSET(APK!$B$16,0,0,-ROUNDUP(N43,0)))/N43,0)</f>
        <v>55.074779881799529</v>
      </c>
      <c r="O51" s="4">
        <f ca="1">IF(O36="Buy",SUM(OFFSET(APK!$B$16,0,0,-ROUNDUP(O43,0)))/O43,0)</f>
        <v>55.251218282641574</v>
      </c>
      <c r="P51" s="4">
        <f ca="1">IF(P36="Buy",SUM(OFFSET(APK!$B$16,0,0,-ROUNDUP(P43,0)))/P43,0)</f>
        <v>64.617425917735503</v>
      </c>
      <c r="Q51" s="4">
        <f ca="1">IF(Q36="Buy",SUM(OFFSET(APK!$B$16,0,0,-ROUNDUP(Q43,0)))/Q43,0)</f>
        <v>51.124775044990997</v>
      </c>
      <c r="R51" s="4">
        <f ca="1">IF(R36="Buy",SUM(OFFSET(APK!$B$16,0,0,-ROUNDUP(R43,0)))/R43,0)</f>
        <v>48.393862457224856</v>
      </c>
      <c r="S51" s="4">
        <f ca="1">IF(S36="Buy",SUM(OFFSET(APK!$B$16,0,0,-ROUNDUP(S43,0)))/S43,0)</f>
        <v>49.907280890103458</v>
      </c>
      <c r="T51" s="4">
        <f ca="1">IF(T36="Buy",SUM(OFFSET(APK!$B$16,0,0,-ROUNDUP(T43,0)))/T43,0)</f>
        <v>32.142857142857146</v>
      </c>
      <c r="U51" s="4">
        <f ca="1">IF(U36="Buy",SUM(OFFSET(APK!$B$16,0,0,-ROUNDUP(U43,0)))/U43,0)</f>
        <v>32.142857142857146</v>
      </c>
      <c r="V51" s="4">
        <f ca="1">IF(V36="Buy",SUM(OFFSET(APK!$B$16,0,0,-ROUNDUP(V43,0)))/V43,0)</f>
        <v>46.308228583500572</v>
      </c>
    </row>
    <row r="52" spans="1:22" x14ac:dyDescent="0.35">
      <c r="A52" s="218"/>
      <c r="B52" s="3" t="s">
        <v>46</v>
      </c>
      <c r="C52" s="5">
        <f t="shared" ref="C52:V52" si="13">Parking_permit</f>
        <v>90</v>
      </c>
      <c r="D52" s="4">
        <f t="shared" si="13"/>
        <v>90</v>
      </c>
      <c r="E52" s="119">
        <f t="shared" si="13"/>
        <v>90</v>
      </c>
      <c r="F52" s="4">
        <f t="shared" si="13"/>
        <v>90</v>
      </c>
      <c r="G52" s="4">
        <f t="shared" si="13"/>
        <v>90</v>
      </c>
      <c r="H52" s="119">
        <f t="shared" si="13"/>
        <v>90</v>
      </c>
      <c r="I52" s="4">
        <f t="shared" si="13"/>
        <v>90</v>
      </c>
      <c r="J52" s="4">
        <f t="shared" si="13"/>
        <v>90</v>
      </c>
      <c r="K52" s="4">
        <f t="shared" si="13"/>
        <v>90</v>
      </c>
      <c r="L52" s="119">
        <f t="shared" si="13"/>
        <v>90</v>
      </c>
      <c r="M52" s="4">
        <f t="shared" si="13"/>
        <v>90</v>
      </c>
      <c r="N52" s="4">
        <f t="shared" si="13"/>
        <v>90</v>
      </c>
      <c r="O52" s="4">
        <f t="shared" si="13"/>
        <v>90</v>
      </c>
      <c r="P52" s="4">
        <f t="shared" si="13"/>
        <v>90</v>
      </c>
      <c r="Q52" s="4">
        <f t="shared" si="13"/>
        <v>90</v>
      </c>
      <c r="R52" s="4">
        <f t="shared" si="13"/>
        <v>90</v>
      </c>
      <c r="S52" s="4">
        <f t="shared" si="13"/>
        <v>90</v>
      </c>
      <c r="T52" s="4">
        <f t="shared" si="13"/>
        <v>90</v>
      </c>
      <c r="U52" s="4">
        <f t="shared" si="13"/>
        <v>90</v>
      </c>
      <c r="V52" s="4">
        <f t="shared" si="13"/>
        <v>90</v>
      </c>
    </row>
    <row r="53" spans="1:22" ht="15" thickBot="1" x14ac:dyDescent="0.4">
      <c r="A53" s="218"/>
      <c r="B53" s="33" t="s">
        <v>212</v>
      </c>
      <c r="C53" s="34">
        <f t="shared" ref="C53:V53" si="14">-Travel_allowance</f>
        <v>-1138.5</v>
      </c>
      <c r="D53" s="35">
        <f t="shared" si="14"/>
        <v>-1138.5</v>
      </c>
      <c r="E53" s="120">
        <f t="shared" si="14"/>
        <v>-1138.5</v>
      </c>
      <c r="F53" s="35">
        <f t="shared" si="14"/>
        <v>-1138.5</v>
      </c>
      <c r="G53" s="35">
        <f t="shared" si="14"/>
        <v>-1138.5</v>
      </c>
      <c r="H53" s="120">
        <f t="shared" si="14"/>
        <v>-1138.5</v>
      </c>
      <c r="I53" s="35">
        <f t="shared" si="14"/>
        <v>-1138.5</v>
      </c>
      <c r="J53" s="35">
        <f t="shared" si="14"/>
        <v>-1138.5</v>
      </c>
      <c r="K53" s="35">
        <f t="shared" si="14"/>
        <v>-1138.5</v>
      </c>
      <c r="L53" s="120">
        <f t="shared" si="14"/>
        <v>-1138.5</v>
      </c>
      <c r="M53" s="35">
        <f t="shared" si="14"/>
        <v>-1138.5</v>
      </c>
      <c r="N53" s="35">
        <f t="shared" si="14"/>
        <v>-1138.5</v>
      </c>
      <c r="O53" s="35">
        <f t="shared" si="14"/>
        <v>-1138.5</v>
      </c>
      <c r="P53" s="35">
        <f t="shared" si="14"/>
        <v>-1138.5</v>
      </c>
      <c r="Q53" s="35">
        <f t="shared" si="14"/>
        <v>-1138.5</v>
      </c>
      <c r="R53" s="35">
        <f t="shared" si="14"/>
        <v>-1138.5</v>
      </c>
      <c r="S53" s="35">
        <f t="shared" si="14"/>
        <v>-1138.5</v>
      </c>
      <c r="T53" s="35">
        <f t="shared" si="14"/>
        <v>-1138.5</v>
      </c>
      <c r="U53" s="35">
        <f t="shared" si="14"/>
        <v>-1138.5</v>
      </c>
      <c r="V53" s="35">
        <f t="shared" si="14"/>
        <v>-1138.5</v>
      </c>
    </row>
    <row r="54" spans="1:22" ht="15" thickTop="1" x14ac:dyDescent="0.35">
      <c r="A54" s="218"/>
      <c r="B54" s="39" t="s">
        <v>44</v>
      </c>
      <c r="C54" s="40">
        <f t="shared" ref="C54:V54" ca="1" si="15">IF(C39=0,"",SUM(C47:C53))</f>
        <v>490.05347429408425</v>
      </c>
      <c r="D54" s="41">
        <f t="shared" ca="1" si="15"/>
        <v>560.13535449433152</v>
      </c>
      <c r="E54" s="121">
        <f t="shared" ca="1" si="15"/>
        <v>499.64102464865323</v>
      </c>
      <c r="F54" s="41">
        <f t="shared" ca="1" si="15"/>
        <v>560.13535449433152</v>
      </c>
      <c r="G54" s="41">
        <f t="shared" ca="1" si="15"/>
        <v>1042.2801823500313</v>
      </c>
      <c r="H54" s="121">
        <f t="shared" ca="1" si="15"/>
        <v>189.60000000000014</v>
      </c>
      <c r="I54" s="41">
        <f t="shared" ca="1" si="15"/>
        <v>1398.4574421382686</v>
      </c>
      <c r="J54" s="41">
        <f t="shared" ca="1" si="15"/>
        <v>1734.9642645913655</v>
      </c>
      <c r="K54" s="41">
        <f t="shared" ca="1" si="15"/>
        <v>1482.6314722764114</v>
      </c>
      <c r="L54" s="121">
        <f t="shared" ca="1" si="15"/>
        <v>2094.4029609787412</v>
      </c>
      <c r="M54" s="41">
        <f t="shared" ca="1" si="15"/>
        <v>1912.1700280880968</v>
      </c>
      <c r="N54" s="41">
        <f t="shared" ca="1" si="15"/>
        <v>1010.0661459456906</v>
      </c>
      <c r="O54" s="41">
        <f t="shared" ca="1" si="15"/>
        <v>1056.8279068612005</v>
      </c>
      <c r="P54" s="41">
        <f t="shared" ca="1" si="15"/>
        <v>979.45951395911152</v>
      </c>
      <c r="Q54" s="41">
        <f t="shared" ca="1" si="15"/>
        <v>1147.3120839922049</v>
      </c>
      <c r="R54" s="41">
        <f t="shared" ca="1" si="15"/>
        <v>1237.1375983721896</v>
      </c>
      <c r="S54" s="41">
        <f t="shared" ca="1" si="15"/>
        <v>1540.2037257773986</v>
      </c>
      <c r="T54" s="41">
        <f t="shared" ca="1" si="15"/>
        <v>1959.0297163038085</v>
      </c>
      <c r="U54" s="41">
        <f t="shared" ca="1" si="15"/>
        <v>2183.056466480391</v>
      </c>
      <c r="V54" s="41">
        <f t="shared" ca="1" si="15"/>
        <v>1855.5730895270299</v>
      </c>
    </row>
    <row r="55" spans="1:22" ht="15" thickBot="1" x14ac:dyDescent="0.4">
      <c r="A55" s="218"/>
      <c r="B55" s="7" t="s">
        <v>45</v>
      </c>
      <c r="C55" s="8">
        <f t="shared" ref="C55:V55" ca="1" si="16">IF(C39=0,"",C54/12)</f>
        <v>40.837789524507023</v>
      </c>
      <c r="D55" s="9">
        <f t="shared" ca="1" si="16"/>
        <v>46.677946207860963</v>
      </c>
      <c r="E55" s="113">
        <f t="shared" ca="1" si="16"/>
        <v>41.636752054054433</v>
      </c>
      <c r="F55" s="9">
        <f t="shared" ca="1" si="16"/>
        <v>46.677946207860963</v>
      </c>
      <c r="G55" s="9">
        <f t="shared" ca="1" si="16"/>
        <v>86.856681862502612</v>
      </c>
      <c r="H55" s="113">
        <f t="shared" ca="1" si="16"/>
        <v>15.800000000000011</v>
      </c>
      <c r="I55" s="9">
        <f t="shared" ca="1" si="16"/>
        <v>116.53812017818905</v>
      </c>
      <c r="J55" s="9">
        <f t="shared" ca="1" si="16"/>
        <v>144.58035538261379</v>
      </c>
      <c r="K55" s="9">
        <f t="shared" ca="1" si="16"/>
        <v>123.55262268970095</v>
      </c>
      <c r="L55" s="113">
        <f t="shared" ca="1" si="16"/>
        <v>174.53358008156178</v>
      </c>
      <c r="M55" s="9">
        <f t="shared" ca="1" si="16"/>
        <v>159.34750234067474</v>
      </c>
      <c r="N55" s="9">
        <f t="shared" ca="1" si="16"/>
        <v>84.172178828807546</v>
      </c>
      <c r="O55" s="9">
        <f t="shared" ca="1" si="16"/>
        <v>88.068992238433381</v>
      </c>
      <c r="P55" s="9">
        <f t="shared" ca="1" si="16"/>
        <v>81.621626163259293</v>
      </c>
      <c r="Q55" s="9">
        <f t="shared" ca="1" si="16"/>
        <v>95.609340332683743</v>
      </c>
      <c r="R55" s="9">
        <f t="shared" ca="1" si="16"/>
        <v>103.09479986434913</v>
      </c>
      <c r="S55" s="9">
        <f t="shared" ca="1" si="16"/>
        <v>128.3503104814499</v>
      </c>
      <c r="T55" s="9">
        <f t="shared" ca="1" si="16"/>
        <v>163.25247635865071</v>
      </c>
      <c r="U55" s="9">
        <f t="shared" ca="1" si="16"/>
        <v>181.92137220669926</v>
      </c>
      <c r="V55" s="9">
        <f t="shared" ca="1" si="16"/>
        <v>154.63109079391916</v>
      </c>
    </row>
    <row r="56" spans="1:22" ht="15" thickTop="1" x14ac:dyDescent="0.35">
      <c r="A56" s="218"/>
      <c r="B56" s="178" t="s">
        <v>50</v>
      </c>
      <c r="C56" s="179">
        <f t="shared" ref="C56:V56" ca="1" si="17">IF(C39=0,"",C46+C54)</f>
        <v>2488.3191257323242</v>
      </c>
      <c r="D56" s="180">
        <f t="shared" ca="1" si="17"/>
        <v>1582.0712418034416</v>
      </c>
      <c r="E56" s="181">
        <f t="shared" ca="1" si="17"/>
        <v>2005.7576702980859</v>
      </c>
      <c r="F56" s="180">
        <f t="shared" ca="1" si="17"/>
        <v>1582.0712418034416</v>
      </c>
      <c r="G56" s="180">
        <f t="shared" ca="1" si="17"/>
        <v>1814.6197338675261</v>
      </c>
      <c r="H56" s="181">
        <f t="shared" ca="1" si="17"/>
        <v>3394.6000000000004</v>
      </c>
      <c r="I56" s="180">
        <f t="shared" ca="1" si="17"/>
        <v>3008.3079404771388</v>
      </c>
      <c r="J56" s="180">
        <f t="shared" ca="1" si="17"/>
        <v>3488.9316357444986</v>
      </c>
      <c r="K56" s="180">
        <f t="shared" ca="1" si="17"/>
        <v>2843.1615582362965</v>
      </c>
      <c r="L56" s="181">
        <f t="shared" ca="1" si="17"/>
        <v>3765.117246693027</v>
      </c>
      <c r="M56" s="180">
        <f t="shared" ca="1" si="17"/>
        <v>3768.1536536832659</v>
      </c>
      <c r="N56" s="180">
        <f t="shared" ca="1" si="17"/>
        <v>3091.8928254777129</v>
      </c>
      <c r="O56" s="180">
        <f t="shared" ca="1" si="17"/>
        <v>2785.270185469838</v>
      </c>
      <c r="P56" s="180">
        <f t="shared" ca="1" si="17"/>
        <v>3379.996886802985</v>
      </c>
      <c r="Q56" s="180">
        <f t="shared" ca="1" si="17"/>
        <v>2593.4128638362363</v>
      </c>
      <c r="R56" s="180">
        <f t="shared" ca="1" si="17"/>
        <v>2561.9195831387201</v>
      </c>
      <c r="S56" s="180">
        <f t="shared" ca="1" si="17"/>
        <v>3914.364373835177</v>
      </c>
      <c r="T56" s="180">
        <f t="shared" ca="1" si="17"/>
        <v>3665.101144875237</v>
      </c>
      <c r="U56" s="180">
        <f t="shared" ca="1" si="17"/>
        <v>4697.2564664803913</v>
      </c>
      <c r="V56" s="180">
        <f t="shared" ca="1" si="17"/>
        <v>4324.936224627907</v>
      </c>
    </row>
    <row r="57" spans="1:22" x14ac:dyDescent="0.35">
      <c r="A57" s="219"/>
      <c r="B57" s="182" t="s">
        <v>51</v>
      </c>
      <c r="C57" s="183">
        <f t="shared" ref="C57:V57" ca="1" si="18">IF(C39=0,"",C56/12)</f>
        <v>207.35992714436034</v>
      </c>
      <c r="D57" s="184">
        <f t="shared" ca="1" si="18"/>
        <v>131.83927015028681</v>
      </c>
      <c r="E57" s="185">
        <f t="shared" ca="1" si="18"/>
        <v>167.1464725248405</v>
      </c>
      <c r="F57" s="184">
        <f t="shared" ca="1" si="18"/>
        <v>131.83927015028681</v>
      </c>
      <c r="G57" s="184">
        <f t="shared" ca="1" si="18"/>
        <v>151.21831115562716</v>
      </c>
      <c r="H57" s="185">
        <f t="shared" ca="1" si="18"/>
        <v>282.88333333333338</v>
      </c>
      <c r="I57" s="184">
        <f t="shared" ca="1" si="18"/>
        <v>250.69232837309491</v>
      </c>
      <c r="J57" s="184">
        <f t="shared" ca="1" si="18"/>
        <v>290.74430297870822</v>
      </c>
      <c r="K57" s="184">
        <f t="shared" ca="1" si="18"/>
        <v>236.93012985302471</v>
      </c>
      <c r="L57" s="185">
        <f t="shared" ca="1" si="18"/>
        <v>313.75977055775223</v>
      </c>
      <c r="M57" s="184">
        <f t="shared" ca="1" si="18"/>
        <v>314.01280447360551</v>
      </c>
      <c r="N57" s="184">
        <f t="shared" ca="1" si="18"/>
        <v>257.65773545647608</v>
      </c>
      <c r="O57" s="184">
        <f t="shared" ca="1" si="18"/>
        <v>232.10584878915316</v>
      </c>
      <c r="P57" s="184">
        <f t="shared" ca="1" si="18"/>
        <v>281.66640723358211</v>
      </c>
      <c r="Q57" s="184">
        <f t="shared" ca="1" si="18"/>
        <v>216.1177386530197</v>
      </c>
      <c r="R57" s="184">
        <f t="shared" ca="1" si="18"/>
        <v>213.49329859489333</v>
      </c>
      <c r="S57" s="184">
        <f t="shared" ca="1" si="18"/>
        <v>326.1970311529314</v>
      </c>
      <c r="T57" s="184">
        <f t="shared" ca="1" si="18"/>
        <v>305.42509540626975</v>
      </c>
      <c r="U57" s="184">
        <f t="shared" ca="1" si="18"/>
        <v>391.43803887336594</v>
      </c>
      <c r="V57" s="184">
        <f t="shared" ca="1" si="18"/>
        <v>360.41135205232558</v>
      </c>
    </row>
    <row r="58" spans="1:22" customFormat="1" x14ac:dyDescent="0.35"/>
    <row r="59" spans="1:22" x14ac:dyDescent="0.35">
      <c r="A59" s="215" t="s">
        <v>37</v>
      </c>
      <c r="B59" s="87" t="s">
        <v>64</v>
      </c>
      <c r="C59" s="90">
        <v>62661</v>
      </c>
      <c r="D59" s="91">
        <v>94895</v>
      </c>
      <c r="E59" s="92">
        <v>39666</v>
      </c>
      <c r="F59" s="91">
        <v>94895</v>
      </c>
      <c r="G59" s="91">
        <v>56329</v>
      </c>
      <c r="H59" s="92"/>
      <c r="I59" s="91">
        <v>61150</v>
      </c>
      <c r="J59" s="91">
        <v>117786</v>
      </c>
      <c r="K59" s="91">
        <v>83010</v>
      </c>
      <c r="L59" s="92"/>
      <c r="M59" s="91">
        <v>126913</v>
      </c>
      <c r="N59" s="91">
        <v>55347</v>
      </c>
      <c r="O59" s="91">
        <v>83933</v>
      </c>
      <c r="P59" s="91">
        <v>86023</v>
      </c>
      <c r="Q59" s="91">
        <v>24629</v>
      </c>
      <c r="R59" s="91">
        <v>95000</v>
      </c>
      <c r="S59" s="91">
        <v>140972</v>
      </c>
      <c r="T59" s="91"/>
      <c r="U59" s="91"/>
      <c r="V59" s="91">
        <v>76300</v>
      </c>
    </row>
    <row r="60" spans="1:22" x14ac:dyDescent="0.35">
      <c r="A60" s="216"/>
      <c r="B60" s="87" t="s">
        <v>38</v>
      </c>
      <c r="C60" s="93">
        <v>41379</v>
      </c>
      <c r="D60" s="94">
        <v>42011</v>
      </c>
      <c r="E60" s="122">
        <v>41934</v>
      </c>
      <c r="F60" s="94">
        <v>42011</v>
      </c>
      <c r="G60" s="94">
        <v>43448</v>
      </c>
      <c r="H60" s="122"/>
      <c r="I60" s="94">
        <v>42750</v>
      </c>
      <c r="J60" s="94">
        <v>43189</v>
      </c>
      <c r="K60" s="94">
        <v>42761</v>
      </c>
      <c r="L60" s="122"/>
      <c r="M60" s="94">
        <v>42214</v>
      </c>
      <c r="N60" s="94">
        <v>42150</v>
      </c>
      <c r="O60" s="94">
        <v>42475</v>
      </c>
      <c r="P60" s="94">
        <v>41623</v>
      </c>
      <c r="Q60" s="94">
        <v>42993</v>
      </c>
      <c r="R60" s="94">
        <v>43511</v>
      </c>
      <c r="S60" s="94">
        <v>43054</v>
      </c>
      <c r="T60" s="94"/>
      <c r="U60" s="94"/>
      <c r="V60" s="94">
        <v>43647</v>
      </c>
    </row>
    <row r="61" spans="1:22" ht="15" thickBot="1" x14ac:dyDescent="0.4">
      <c r="A61" s="217"/>
      <c r="B61" s="95" t="s">
        <v>137</v>
      </c>
      <c r="C61" s="96" t="s">
        <v>158</v>
      </c>
      <c r="D61" s="97" t="s">
        <v>159</v>
      </c>
      <c r="E61" s="123" t="s">
        <v>186</v>
      </c>
      <c r="F61" s="97" t="s">
        <v>159</v>
      </c>
      <c r="G61" s="97" t="s">
        <v>163</v>
      </c>
      <c r="H61" s="123"/>
      <c r="I61" s="97" t="s">
        <v>74</v>
      </c>
      <c r="J61" s="97" t="s">
        <v>138</v>
      </c>
      <c r="K61" s="97" t="s">
        <v>138</v>
      </c>
      <c r="L61" s="123"/>
      <c r="M61" s="97" t="s">
        <v>217</v>
      </c>
      <c r="N61" s="97" t="s">
        <v>181</v>
      </c>
      <c r="O61" s="97" t="s">
        <v>183</v>
      </c>
      <c r="P61" s="97" t="s">
        <v>224</v>
      </c>
      <c r="Q61" s="97" t="s">
        <v>222</v>
      </c>
      <c r="R61" s="97"/>
      <c r="S61" s="97"/>
      <c r="T61" s="97"/>
      <c r="U61" s="97"/>
      <c r="V61" s="97"/>
    </row>
    <row r="63" spans="1:22" x14ac:dyDescent="0.35">
      <c r="I63" s="75"/>
      <c r="L63" s="75"/>
    </row>
    <row r="69" spans="1:22" x14ac:dyDescent="0.35">
      <c r="B69" s="62" t="s">
        <v>259</v>
      </c>
      <c r="C69" s="62" t="s">
        <v>260</v>
      </c>
    </row>
    <row r="70" spans="1:22" x14ac:dyDescent="0.35">
      <c r="A70" s="197">
        <v>44927</v>
      </c>
      <c r="B70" s="195">
        <f ca="1">IF(YEAR(TODAY())&gt;YEAR(A70),0,IF(YEAR(TODAY())=YEAR(A70),1-_xlfn.DAYS(TODAY(),A70)/_xlfn.DAYS(A71-1,A70),1))</f>
        <v>0</v>
      </c>
      <c r="C70" s="195">
        <f t="shared" ref="C70:R85" ca="1" si="19">IF(C$36="Buy",IF(C$60&gt;0,IF(14-YEARFRAC(C$60,$A70-1,1)&gt;=1,1,IF(14-YEARFRAC(C$60,$A70-1,1)&lt;0,0,14-YEARFRAC(C$60,$A70-1,1))),IF(YEAR(TODAY())+14&gt;=YEAR($A70),1,0)),IF(YEAR(TODAY())+C$37&gt;=YEAR($A70),1,0))</f>
        <v>1</v>
      </c>
      <c r="D70" s="195">
        <f t="shared" ca="1" si="19"/>
        <v>1</v>
      </c>
      <c r="E70" s="195">
        <f t="shared" ca="1" si="19"/>
        <v>1</v>
      </c>
      <c r="F70" s="195">
        <f t="shared" ca="1" si="19"/>
        <v>1</v>
      </c>
      <c r="G70" s="195">
        <f t="shared" ca="1" si="19"/>
        <v>1</v>
      </c>
      <c r="H70" s="195">
        <f ca="1">IF(H$36="Buy",IF(H$60&gt;0,IF(14-YEARFRAC(H$60,$A70-1,1)&gt;=1,1,IF(14-YEARFRAC(H$60,$A70-1,1)&lt;0,0,14-YEARFRAC(H$60,$A70-1,1))),IF(YEAR(TODAY())+14&gt;=YEAR($A70),1,0)),IF(YEAR(TODAY())+H$37&gt;=YEAR($A70),1,0))</f>
        <v>1</v>
      </c>
      <c r="I70" s="195">
        <f t="shared" ca="1" si="19"/>
        <v>1</v>
      </c>
      <c r="J70" s="195">
        <f t="shared" ca="1" si="19"/>
        <v>1</v>
      </c>
      <c r="K70" s="195">
        <f t="shared" ca="1" si="19"/>
        <v>1</v>
      </c>
      <c r="L70" s="195">
        <f t="shared" ca="1" si="19"/>
        <v>1</v>
      </c>
      <c r="M70" s="195">
        <f t="shared" ca="1" si="19"/>
        <v>1</v>
      </c>
      <c r="N70" s="195">
        <f t="shared" ca="1" si="19"/>
        <v>1</v>
      </c>
      <c r="O70" s="195">
        <f t="shared" ca="1" si="19"/>
        <v>1</v>
      </c>
      <c r="P70" s="195">
        <f t="shared" ca="1" si="19"/>
        <v>1</v>
      </c>
      <c r="Q70" s="195">
        <f t="shared" ca="1" si="19"/>
        <v>1</v>
      </c>
      <c r="R70" s="195">
        <f t="shared" ca="1" si="19"/>
        <v>1</v>
      </c>
      <c r="S70" s="195">
        <f t="shared" ref="I70:V85" ca="1" si="20">IF(S$36="Buy",IF(S$60&gt;0,IF(14-YEARFRAC(S$60,$A70-1,1)&gt;=1,1,IF(14-YEARFRAC(S$60,$A70-1,1)&lt;0,0,14-YEARFRAC(S$60,$A70-1,1))),IF(YEAR(TODAY())+14&gt;=YEAR($A70),1,0)),IF(YEAR(TODAY())+S$37&gt;=YEAR($A70),1,0))</f>
        <v>1</v>
      </c>
      <c r="T70" s="195">
        <f t="shared" ca="1" si="20"/>
        <v>1</v>
      </c>
      <c r="U70" s="195">
        <f t="shared" ca="1" si="20"/>
        <v>1</v>
      </c>
      <c r="V70" s="195">
        <f t="shared" ca="1" si="20"/>
        <v>1</v>
      </c>
    </row>
    <row r="71" spans="1:22" x14ac:dyDescent="0.35">
      <c r="A71" s="197">
        <v>45292</v>
      </c>
      <c r="B71" s="195">
        <f t="shared" ref="B71:B87" ca="1" si="21">IF(YEAR(TODAY())&gt;YEAR(A71),0,IF(YEAR(TODAY())=YEAR(A71),1-_xlfn.DAYS(TODAY(),A71)/_xlfn.DAYS(A72-1,A71),1))</f>
        <v>0.13972602739726026</v>
      </c>
      <c r="C71" s="195">
        <f t="shared" ca="1" si="19"/>
        <v>1</v>
      </c>
      <c r="D71" s="195">
        <f t="shared" ca="1" si="19"/>
        <v>1</v>
      </c>
      <c r="E71" s="195">
        <f t="shared" ca="1" si="19"/>
        <v>1</v>
      </c>
      <c r="F71" s="195">
        <f t="shared" ca="1" si="19"/>
        <v>1</v>
      </c>
      <c r="G71" s="195">
        <f t="shared" ca="1" si="19"/>
        <v>1</v>
      </c>
      <c r="H71" s="195">
        <f t="shared" ref="H71:H87" ca="1" si="22">IF(H$36="Buy",IF(H$60&gt;0,IF(14-YEARFRAC(H$60,$A71-1,1)&gt;=1,1,IF(14-YEARFRAC(H$60,$A71-1,1)&lt;0,0,14-YEARFRAC(H$60,$A71-1,1))),IF(YEAR(TODAY())+14&gt;=YEAR($A71),1,0)),IF(YEAR(TODAY())+H$37&gt;=YEAR($A71),1,0))</f>
        <v>1</v>
      </c>
      <c r="I71" s="195">
        <f t="shared" ca="1" si="20"/>
        <v>1</v>
      </c>
      <c r="J71" s="195">
        <f t="shared" ca="1" si="20"/>
        <v>1</v>
      </c>
      <c r="K71" s="195">
        <f t="shared" ca="1" si="20"/>
        <v>1</v>
      </c>
      <c r="L71" s="195">
        <f t="shared" ca="1" si="20"/>
        <v>1</v>
      </c>
      <c r="M71" s="195">
        <f t="shared" ca="1" si="20"/>
        <v>1</v>
      </c>
      <c r="N71" s="195">
        <f t="shared" ca="1" si="19"/>
        <v>1</v>
      </c>
      <c r="O71" s="195">
        <f t="shared" ca="1" si="20"/>
        <v>1</v>
      </c>
      <c r="P71" s="195">
        <f t="shared" ca="1" si="20"/>
        <v>1</v>
      </c>
      <c r="Q71" s="195">
        <f t="shared" ca="1" si="20"/>
        <v>1</v>
      </c>
      <c r="R71" s="195">
        <f t="shared" ca="1" si="20"/>
        <v>1</v>
      </c>
      <c r="S71" s="195">
        <f t="shared" ca="1" si="20"/>
        <v>1</v>
      </c>
      <c r="T71" s="195">
        <f t="shared" ca="1" si="20"/>
        <v>1</v>
      </c>
      <c r="U71" s="195">
        <f t="shared" ca="1" si="20"/>
        <v>1</v>
      </c>
      <c r="V71" s="195">
        <f t="shared" ca="1" si="20"/>
        <v>1</v>
      </c>
    </row>
    <row r="72" spans="1:22" x14ac:dyDescent="0.35">
      <c r="A72" s="197">
        <v>45658</v>
      </c>
      <c r="B72" s="195">
        <f t="shared" ca="1" si="21"/>
        <v>1</v>
      </c>
      <c r="C72" s="195">
        <f t="shared" ca="1" si="19"/>
        <v>1</v>
      </c>
      <c r="D72" s="195">
        <f t="shared" ca="1" si="19"/>
        <v>1</v>
      </c>
      <c r="E72" s="195">
        <f t="shared" ca="1" si="19"/>
        <v>1</v>
      </c>
      <c r="F72" s="195">
        <f t="shared" ca="1" si="19"/>
        <v>1</v>
      </c>
      <c r="G72" s="195">
        <f t="shared" ca="1" si="19"/>
        <v>1</v>
      </c>
      <c r="H72" s="195">
        <f t="shared" ca="1" si="22"/>
        <v>1</v>
      </c>
      <c r="I72" s="195">
        <f t="shared" ca="1" si="20"/>
        <v>1</v>
      </c>
      <c r="J72" s="195">
        <f t="shared" ca="1" si="20"/>
        <v>1</v>
      </c>
      <c r="K72" s="195">
        <f t="shared" ca="1" si="20"/>
        <v>1</v>
      </c>
      <c r="L72" s="195">
        <f t="shared" ca="1" si="20"/>
        <v>1</v>
      </c>
      <c r="M72" s="195">
        <f t="shared" ca="1" si="20"/>
        <v>1</v>
      </c>
      <c r="N72" s="195">
        <f t="shared" ca="1" si="20"/>
        <v>1</v>
      </c>
      <c r="O72" s="195">
        <f t="shared" ca="1" si="20"/>
        <v>1</v>
      </c>
      <c r="P72" s="195">
        <f t="shared" ca="1" si="20"/>
        <v>1</v>
      </c>
      <c r="Q72" s="195">
        <f t="shared" ca="1" si="20"/>
        <v>1</v>
      </c>
      <c r="R72" s="195">
        <f t="shared" ca="1" si="20"/>
        <v>1</v>
      </c>
      <c r="S72" s="195">
        <f t="shared" ca="1" si="20"/>
        <v>1</v>
      </c>
      <c r="T72" s="195">
        <f t="shared" ca="1" si="20"/>
        <v>1</v>
      </c>
      <c r="U72" s="195">
        <f t="shared" ca="1" si="20"/>
        <v>1</v>
      </c>
      <c r="V72" s="195">
        <f t="shared" ca="1" si="20"/>
        <v>1</v>
      </c>
    </row>
    <row r="73" spans="1:22" x14ac:dyDescent="0.35">
      <c r="A73" s="197">
        <v>46023</v>
      </c>
      <c r="B73" s="195">
        <f t="shared" ca="1" si="21"/>
        <v>1</v>
      </c>
      <c r="C73" s="195">
        <f t="shared" ca="1" si="19"/>
        <v>1</v>
      </c>
      <c r="D73" s="195">
        <f t="shared" ca="1" si="19"/>
        <v>1</v>
      </c>
      <c r="E73" s="195">
        <f t="shared" ca="1" si="19"/>
        <v>1</v>
      </c>
      <c r="F73" s="195">
        <f t="shared" ca="1" si="19"/>
        <v>1</v>
      </c>
      <c r="G73" s="195">
        <f t="shared" ca="1" si="19"/>
        <v>1</v>
      </c>
      <c r="H73" s="195">
        <f t="shared" ca="1" si="22"/>
        <v>1</v>
      </c>
      <c r="I73" s="195">
        <f t="shared" ca="1" si="20"/>
        <v>1</v>
      </c>
      <c r="J73" s="195">
        <f t="shared" ca="1" si="20"/>
        <v>1</v>
      </c>
      <c r="K73" s="195">
        <f t="shared" ca="1" si="20"/>
        <v>1</v>
      </c>
      <c r="L73" s="195">
        <f t="shared" ca="1" si="20"/>
        <v>1</v>
      </c>
      <c r="M73" s="195">
        <f t="shared" ca="1" si="20"/>
        <v>1</v>
      </c>
      <c r="N73" s="195">
        <f t="shared" ca="1" si="20"/>
        <v>1</v>
      </c>
      <c r="O73" s="195">
        <f t="shared" ca="1" si="20"/>
        <v>1</v>
      </c>
      <c r="P73" s="195">
        <f t="shared" ca="1" si="20"/>
        <v>1</v>
      </c>
      <c r="Q73" s="195">
        <f t="shared" ca="1" si="20"/>
        <v>1</v>
      </c>
      <c r="R73" s="195">
        <f t="shared" ca="1" si="20"/>
        <v>1</v>
      </c>
      <c r="S73" s="195">
        <f t="shared" ca="1" si="20"/>
        <v>1</v>
      </c>
      <c r="T73" s="195">
        <f t="shared" ca="1" si="20"/>
        <v>1</v>
      </c>
      <c r="U73" s="195">
        <f t="shared" ca="1" si="20"/>
        <v>1</v>
      </c>
      <c r="V73" s="195">
        <f t="shared" ca="1" si="20"/>
        <v>1</v>
      </c>
    </row>
    <row r="74" spans="1:22" x14ac:dyDescent="0.35">
      <c r="A74" s="197">
        <v>46388</v>
      </c>
      <c r="B74" s="195">
        <f t="shared" ca="1" si="21"/>
        <v>1</v>
      </c>
      <c r="C74" s="195">
        <f t="shared" ca="1" si="19"/>
        <v>0.28750244474868047</v>
      </c>
      <c r="D74" s="195">
        <f t="shared" ca="1" si="19"/>
        <v>1</v>
      </c>
      <c r="E74" s="195">
        <f t="shared" ca="1" si="19"/>
        <v>1</v>
      </c>
      <c r="F74" s="195">
        <f t="shared" ca="1" si="19"/>
        <v>1</v>
      </c>
      <c r="G74" s="195">
        <f t="shared" ca="1" si="19"/>
        <v>1</v>
      </c>
      <c r="H74" s="195">
        <f t="shared" ca="1" si="22"/>
        <v>0</v>
      </c>
      <c r="I74" s="195">
        <f t="shared" ca="1" si="20"/>
        <v>1</v>
      </c>
      <c r="J74" s="195">
        <f t="shared" ca="1" si="20"/>
        <v>1</v>
      </c>
      <c r="K74" s="195">
        <f t="shared" ca="1" si="20"/>
        <v>1</v>
      </c>
      <c r="L74" s="195">
        <f t="shared" ca="1" si="20"/>
        <v>1</v>
      </c>
      <c r="M74" s="195">
        <f t="shared" ca="1" si="20"/>
        <v>1</v>
      </c>
      <c r="N74" s="195">
        <f t="shared" ca="1" si="20"/>
        <v>1</v>
      </c>
      <c r="O74" s="195">
        <f t="shared" ca="1" si="20"/>
        <v>1</v>
      </c>
      <c r="P74" s="195">
        <f t="shared" ca="1" si="20"/>
        <v>0.95560336397418411</v>
      </c>
      <c r="Q74" s="195">
        <f t="shared" ca="1" si="20"/>
        <v>1</v>
      </c>
      <c r="R74" s="195">
        <f t="shared" ca="1" si="20"/>
        <v>1</v>
      </c>
      <c r="S74" s="195">
        <f t="shared" ca="1" si="20"/>
        <v>1</v>
      </c>
      <c r="T74" s="195">
        <f t="shared" ca="1" si="20"/>
        <v>1</v>
      </c>
      <c r="U74" s="195">
        <f t="shared" ca="1" si="20"/>
        <v>1</v>
      </c>
      <c r="V74" s="195">
        <f t="shared" ca="1" si="20"/>
        <v>1</v>
      </c>
    </row>
    <row r="75" spans="1:22" x14ac:dyDescent="0.35">
      <c r="A75" s="197">
        <v>46753</v>
      </c>
      <c r="B75" s="195">
        <f t="shared" ca="1" si="21"/>
        <v>1</v>
      </c>
      <c r="C75" s="195">
        <f t="shared" ca="1" si="19"/>
        <v>0</v>
      </c>
      <c r="D75" s="195">
        <f t="shared" ca="1" si="19"/>
        <v>1</v>
      </c>
      <c r="E75" s="195">
        <f t="shared" ca="1" si="19"/>
        <v>0.80774496381772032</v>
      </c>
      <c r="F75" s="195">
        <f t="shared" ca="1" si="19"/>
        <v>1</v>
      </c>
      <c r="G75" s="195">
        <f t="shared" ca="1" si="19"/>
        <v>1</v>
      </c>
      <c r="H75" s="195">
        <f t="shared" ca="1" si="22"/>
        <v>0</v>
      </c>
      <c r="I75" s="195">
        <f t="shared" ca="1" si="20"/>
        <v>1</v>
      </c>
      <c r="J75" s="195">
        <f t="shared" ca="1" si="20"/>
        <v>1</v>
      </c>
      <c r="K75" s="195">
        <f t="shared" ca="1" si="20"/>
        <v>1</v>
      </c>
      <c r="L75" s="195">
        <f t="shared" ca="1" si="20"/>
        <v>1</v>
      </c>
      <c r="M75" s="195">
        <f t="shared" ca="1" si="20"/>
        <v>1</v>
      </c>
      <c r="N75" s="195">
        <f t="shared" ca="1" si="20"/>
        <v>1</v>
      </c>
      <c r="O75" s="195">
        <f t="shared" ca="1" si="20"/>
        <v>1</v>
      </c>
      <c r="P75" s="195">
        <f t="shared" ca="1" si="20"/>
        <v>0</v>
      </c>
      <c r="Q75" s="195">
        <f t="shared" ca="1" si="20"/>
        <v>1</v>
      </c>
      <c r="R75" s="195">
        <f t="shared" ca="1" si="20"/>
        <v>1</v>
      </c>
      <c r="S75" s="195">
        <f t="shared" ca="1" si="20"/>
        <v>1</v>
      </c>
      <c r="T75" s="195">
        <f t="shared" ca="1" si="20"/>
        <v>1</v>
      </c>
      <c r="U75" s="195">
        <f t="shared" ca="1" si="20"/>
        <v>1</v>
      </c>
      <c r="V75" s="195">
        <f t="shared" ca="1" si="20"/>
        <v>1</v>
      </c>
    </row>
    <row r="76" spans="1:22" x14ac:dyDescent="0.35">
      <c r="A76" s="197">
        <v>47119</v>
      </c>
      <c r="B76" s="195">
        <f t="shared" ca="1" si="21"/>
        <v>1</v>
      </c>
      <c r="C76" s="195">
        <f t="shared" ca="1" si="19"/>
        <v>0</v>
      </c>
      <c r="D76" s="195">
        <f t="shared" ca="1" si="19"/>
        <v>1.9163081736410348E-2</v>
      </c>
      <c r="E76" s="195">
        <f t="shared" ca="1" si="19"/>
        <v>0</v>
      </c>
      <c r="F76" s="195">
        <f t="shared" ca="1" si="19"/>
        <v>1.9163081736410348E-2</v>
      </c>
      <c r="G76" s="195">
        <f t="shared" ca="1" si="19"/>
        <v>1</v>
      </c>
      <c r="H76" s="195">
        <f t="shared" ca="1" si="22"/>
        <v>0</v>
      </c>
      <c r="I76" s="195">
        <f t="shared" ca="1" si="20"/>
        <v>1</v>
      </c>
      <c r="J76" s="195">
        <f t="shared" ca="1" si="20"/>
        <v>1</v>
      </c>
      <c r="K76" s="195">
        <f t="shared" ca="1" si="20"/>
        <v>1</v>
      </c>
      <c r="L76" s="195">
        <f t="shared" ca="1" si="20"/>
        <v>1</v>
      </c>
      <c r="M76" s="195">
        <f t="shared" ca="1" si="20"/>
        <v>0.57489245209229622</v>
      </c>
      <c r="N76" s="195">
        <f t="shared" ca="1" si="20"/>
        <v>0.39968713335940542</v>
      </c>
      <c r="O76" s="195">
        <f t="shared" ca="1" si="20"/>
        <v>1</v>
      </c>
      <c r="P76" s="195">
        <f t="shared" ca="1" si="20"/>
        <v>0</v>
      </c>
      <c r="Q76" s="195">
        <f t="shared" ca="1" si="20"/>
        <v>1</v>
      </c>
      <c r="R76" s="195">
        <f t="shared" ca="1" si="20"/>
        <v>1</v>
      </c>
      <c r="S76" s="195">
        <f t="shared" ca="1" si="20"/>
        <v>1</v>
      </c>
      <c r="T76" s="195">
        <f t="shared" ca="1" si="20"/>
        <v>1</v>
      </c>
      <c r="U76" s="195">
        <f t="shared" ca="1" si="20"/>
        <v>1</v>
      </c>
      <c r="V76" s="195">
        <f t="shared" ca="1" si="20"/>
        <v>1</v>
      </c>
    </row>
    <row r="77" spans="1:22" x14ac:dyDescent="0.35">
      <c r="A77" s="197">
        <v>47484</v>
      </c>
      <c r="B77" s="195">
        <f t="shared" ca="1" si="21"/>
        <v>1</v>
      </c>
      <c r="C77" s="195">
        <f t="shared" ca="1" si="19"/>
        <v>0</v>
      </c>
      <c r="D77" s="195">
        <f t="shared" ca="1" si="19"/>
        <v>0</v>
      </c>
      <c r="E77" s="195">
        <f t="shared" ca="1" si="19"/>
        <v>0</v>
      </c>
      <c r="F77" s="195">
        <f t="shared" ca="1" si="19"/>
        <v>0</v>
      </c>
      <c r="G77" s="195">
        <f t="shared" ca="1" si="19"/>
        <v>1</v>
      </c>
      <c r="H77" s="195">
        <f t="shared" ca="1" si="22"/>
        <v>0</v>
      </c>
      <c r="I77" s="195">
        <f t="shared" ca="1" si="20"/>
        <v>1</v>
      </c>
      <c r="J77" s="195">
        <f t="shared" ca="1" si="20"/>
        <v>1</v>
      </c>
      <c r="K77" s="195">
        <f t="shared" ca="1" si="20"/>
        <v>1</v>
      </c>
      <c r="L77" s="195">
        <f t="shared" ca="1" si="20"/>
        <v>1</v>
      </c>
      <c r="M77" s="195">
        <f t="shared" ca="1" si="20"/>
        <v>0</v>
      </c>
      <c r="N77" s="195">
        <f t="shared" ca="1" si="20"/>
        <v>0</v>
      </c>
      <c r="O77" s="195">
        <f t="shared" ca="1" si="20"/>
        <v>0.29018380915134934</v>
      </c>
      <c r="P77" s="195">
        <f t="shared" ca="1" si="20"/>
        <v>0</v>
      </c>
      <c r="Q77" s="195">
        <f t="shared" ca="1" si="20"/>
        <v>1</v>
      </c>
      <c r="R77" s="195">
        <f t="shared" ca="1" si="20"/>
        <v>1</v>
      </c>
      <c r="S77" s="195">
        <f t="shared" ca="1" si="20"/>
        <v>1</v>
      </c>
      <c r="T77" s="195">
        <f t="shared" ca="1" si="20"/>
        <v>1</v>
      </c>
      <c r="U77" s="195">
        <f t="shared" ca="1" si="20"/>
        <v>1</v>
      </c>
      <c r="V77" s="195">
        <f t="shared" ca="1" si="20"/>
        <v>1</v>
      </c>
    </row>
    <row r="78" spans="1:22" x14ac:dyDescent="0.35">
      <c r="A78" s="197">
        <v>47849</v>
      </c>
      <c r="B78" s="195">
        <f t="shared" ca="1" si="21"/>
        <v>1</v>
      </c>
      <c r="C78" s="195">
        <f t="shared" ca="1" si="19"/>
        <v>0</v>
      </c>
      <c r="D78" s="195">
        <f t="shared" ca="1" si="19"/>
        <v>0</v>
      </c>
      <c r="E78" s="195">
        <f t="shared" ca="1" si="19"/>
        <v>0</v>
      </c>
      <c r="F78" s="195">
        <f t="shared" ca="1" si="19"/>
        <v>0</v>
      </c>
      <c r="G78" s="195">
        <f t="shared" ca="1" si="19"/>
        <v>1</v>
      </c>
      <c r="H78" s="195">
        <f t="shared" ca="1" si="22"/>
        <v>0</v>
      </c>
      <c r="I78" s="195">
        <f t="shared" ca="1" si="20"/>
        <v>4.1071777821240829E-2</v>
      </c>
      <c r="J78" s="195">
        <f t="shared" ca="1" si="20"/>
        <v>1</v>
      </c>
      <c r="K78" s="195">
        <f t="shared" ca="1" si="20"/>
        <v>7.1191081556817082E-2</v>
      </c>
      <c r="L78" s="195">
        <f t="shared" ca="1" si="20"/>
        <v>1</v>
      </c>
      <c r="M78" s="195">
        <f t="shared" ca="1" si="20"/>
        <v>0</v>
      </c>
      <c r="N78" s="195">
        <f t="shared" ca="1" si="20"/>
        <v>0</v>
      </c>
      <c r="O78" s="195">
        <f t="shared" ca="1" si="20"/>
        <v>0</v>
      </c>
      <c r="P78" s="195">
        <f t="shared" ca="1" si="20"/>
        <v>0</v>
      </c>
      <c r="Q78" s="195">
        <f t="shared" ca="1" si="20"/>
        <v>0.70643457852532876</v>
      </c>
      <c r="R78" s="195">
        <f t="shared" ca="1" si="20"/>
        <v>1</v>
      </c>
      <c r="S78" s="195">
        <f t="shared" ca="1" si="20"/>
        <v>0.87345980833170422</v>
      </c>
      <c r="T78" s="195">
        <f t="shared" ca="1" si="20"/>
        <v>1</v>
      </c>
      <c r="U78" s="195">
        <f t="shared" ca="1" si="20"/>
        <v>1</v>
      </c>
      <c r="V78" s="195">
        <f t="shared" ca="1" si="20"/>
        <v>1</v>
      </c>
    </row>
    <row r="79" spans="1:22" x14ac:dyDescent="0.35">
      <c r="A79" s="197">
        <v>48214</v>
      </c>
      <c r="B79" s="195">
        <f t="shared" ca="1" si="21"/>
        <v>1</v>
      </c>
      <c r="C79" s="195">
        <f t="shared" ca="1" si="19"/>
        <v>0</v>
      </c>
      <c r="D79" s="195">
        <f t="shared" ca="1" si="19"/>
        <v>0</v>
      </c>
      <c r="E79" s="195">
        <f t="shared" ca="1" si="19"/>
        <v>0</v>
      </c>
      <c r="F79" s="195">
        <f t="shared" ca="1" si="19"/>
        <v>0</v>
      </c>
      <c r="G79" s="195">
        <f t="shared" ca="1" si="19"/>
        <v>0.95286524545276841</v>
      </c>
      <c r="H79" s="195">
        <f t="shared" ca="1" si="22"/>
        <v>0</v>
      </c>
      <c r="I79" s="195">
        <f t="shared" ca="1" si="20"/>
        <v>0</v>
      </c>
      <c r="J79" s="195">
        <f t="shared" ca="1" si="20"/>
        <v>0.24369254840602395</v>
      </c>
      <c r="K79" s="195">
        <f t="shared" ca="1" si="20"/>
        <v>0</v>
      </c>
      <c r="L79" s="195">
        <f t="shared" ca="1" si="20"/>
        <v>1</v>
      </c>
      <c r="M79" s="195">
        <f t="shared" ca="1" si="20"/>
        <v>0</v>
      </c>
      <c r="N79" s="195">
        <f t="shared" ca="1" si="20"/>
        <v>0</v>
      </c>
      <c r="O79" s="195">
        <f t="shared" ca="1" si="20"/>
        <v>0</v>
      </c>
      <c r="P79" s="195">
        <f t="shared" ca="1" si="20"/>
        <v>0</v>
      </c>
      <c r="Q79" s="195">
        <f t="shared" ca="1" si="20"/>
        <v>0</v>
      </c>
      <c r="R79" s="195">
        <f t="shared" ca="1" si="20"/>
        <v>1</v>
      </c>
      <c r="S79" s="195">
        <f t="shared" ca="1" si="20"/>
        <v>0</v>
      </c>
      <c r="T79" s="195">
        <f t="shared" ca="1" si="20"/>
        <v>1</v>
      </c>
      <c r="U79" s="195">
        <f t="shared" ca="1" si="20"/>
        <v>1</v>
      </c>
      <c r="V79" s="195">
        <f t="shared" ca="1" si="20"/>
        <v>1</v>
      </c>
    </row>
    <row r="80" spans="1:22" x14ac:dyDescent="0.35">
      <c r="A80" s="197">
        <v>48580</v>
      </c>
      <c r="B80" s="195">
        <f t="shared" ca="1" si="21"/>
        <v>1</v>
      </c>
      <c r="C80" s="195">
        <f t="shared" ca="1" si="19"/>
        <v>0</v>
      </c>
      <c r="D80" s="195">
        <f t="shared" ca="1" si="19"/>
        <v>0</v>
      </c>
      <c r="E80" s="195">
        <f t="shared" ca="1" si="19"/>
        <v>0</v>
      </c>
      <c r="F80" s="195">
        <f t="shared" ca="1" si="19"/>
        <v>0</v>
      </c>
      <c r="G80" s="195">
        <f t="shared" ca="1" si="19"/>
        <v>0</v>
      </c>
      <c r="H80" s="195">
        <f t="shared" ca="1" si="22"/>
        <v>0</v>
      </c>
      <c r="I80" s="195">
        <f t="shared" ca="1" si="20"/>
        <v>0</v>
      </c>
      <c r="J80" s="195">
        <f t="shared" ca="1" si="20"/>
        <v>0</v>
      </c>
      <c r="K80" s="195">
        <f t="shared" ca="1" si="20"/>
        <v>0</v>
      </c>
      <c r="L80" s="195">
        <f t="shared" ca="1" si="20"/>
        <v>1</v>
      </c>
      <c r="M80" s="195">
        <f t="shared" ca="1" si="20"/>
        <v>0</v>
      </c>
      <c r="N80" s="195">
        <f t="shared" ca="1" si="20"/>
        <v>0</v>
      </c>
      <c r="O80" s="195">
        <f t="shared" ca="1" si="20"/>
        <v>0</v>
      </c>
      <c r="P80" s="195">
        <f t="shared" ca="1" si="20"/>
        <v>0</v>
      </c>
      <c r="Q80" s="195">
        <f t="shared" ca="1" si="20"/>
        <v>0</v>
      </c>
      <c r="R80" s="195">
        <f t="shared" ca="1" si="20"/>
        <v>0.12592882283926521</v>
      </c>
      <c r="S80" s="195">
        <f t="shared" ca="1" si="20"/>
        <v>0</v>
      </c>
      <c r="T80" s="195">
        <f t="shared" ca="1" si="20"/>
        <v>1</v>
      </c>
      <c r="U80" s="195">
        <f t="shared" ca="1" si="20"/>
        <v>1</v>
      </c>
      <c r="V80" s="195">
        <f t="shared" ca="1" si="20"/>
        <v>0.49824012514665661</v>
      </c>
    </row>
    <row r="81" spans="1:22" x14ac:dyDescent="0.35">
      <c r="A81" s="197">
        <v>48945</v>
      </c>
      <c r="B81" s="195">
        <f t="shared" ca="1" si="21"/>
        <v>1</v>
      </c>
      <c r="C81" s="195">
        <f t="shared" ca="1" si="19"/>
        <v>0</v>
      </c>
      <c r="D81" s="195">
        <f t="shared" ca="1" si="19"/>
        <v>0</v>
      </c>
      <c r="E81" s="195">
        <f t="shared" ca="1" si="19"/>
        <v>0</v>
      </c>
      <c r="F81" s="195">
        <f t="shared" ca="1" si="19"/>
        <v>0</v>
      </c>
      <c r="G81" s="195">
        <f t="shared" ca="1" si="19"/>
        <v>0</v>
      </c>
      <c r="H81" s="195">
        <f t="shared" ca="1" si="22"/>
        <v>0</v>
      </c>
      <c r="I81" s="195">
        <f t="shared" ca="1" si="20"/>
        <v>0</v>
      </c>
      <c r="J81" s="195">
        <f t="shared" ca="1" si="20"/>
        <v>0</v>
      </c>
      <c r="K81" s="195">
        <f t="shared" ca="1" si="20"/>
        <v>0</v>
      </c>
      <c r="L81" s="195">
        <f t="shared" ca="1" si="20"/>
        <v>1</v>
      </c>
      <c r="M81" s="195">
        <f t="shared" ca="1" si="20"/>
        <v>0</v>
      </c>
      <c r="N81" s="195">
        <f t="shared" ca="1" si="20"/>
        <v>0</v>
      </c>
      <c r="O81" s="195">
        <f t="shared" ca="1" si="20"/>
        <v>0</v>
      </c>
      <c r="P81" s="195">
        <f t="shared" ca="1" si="20"/>
        <v>0</v>
      </c>
      <c r="Q81" s="195">
        <f t="shared" ca="1" si="20"/>
        <v>0</v>
      </c>
      <c r="R81" s="195">
        <f t="shared" ca="1" si="20"/>
        <v>0</v>
      </c>
      <c r="S81" s="195">
        <f t="shared" ca="1" si="20"/>
        <v>0</v>
      </c>
      <c r="T81" s="195">
        <f t="shared" ca="1" si="20"/>
        <v>1</v>
      </c>
      <c r="U81" s="195">
        <f t="shared" ca="1" si="20"/>
        <v>1</v>
      </c>
      <c r="V81" s="195">
        <f t="shared" ca="1" si="20"/>
        <v>0</v>
      </c>
    </row>
    <row r="82" spans="1:22" x14ac:dyDescent="0.35">
      <c r="A82" s="197">
        <v>49310</v>
      </c>
      <c r="B82" s="195">
        <f t="shared" ca="1" si="21"/>
        <v>1</v>
      </c>
      <c r="C82" s="195">
        <f t="shared" ca="1" si="19"/>
        <v>0</v>
      </c>
      <c r="D82" s="195">
        <f t="shared" ca="1" si="19"/>
        <v>0</v>
      </c>
      <c r="E82" s="195">
        <f t="shared" ca="1" si="19"/>
        <v>0</v>
      </c>
      <c r="F82" s="195">
        <f t="shared" ca="1" si="19"/>
        <v>0</v>
      </c>
      <c r="G82" s="195">
        <f t="shared" ca="1" si="19"/>
        <v>0</v>
      </c>
      <c r="H82" s="195">
        <f t="shared" ca="1" si="22"/>
        <v>0</v>
      </c>
      <c r="I82" s="195">
        <f t="shared" ca="1" si="20"/>
        <v>0</v>
      </c>
      <c r="J82" s="195">
        <f t="shared" ca="1" si="20"/>
        <v>0</v>
      </c>
      <c r="K82" s="195">
        <f t="shared" ca="1" si="20"/>
        <v>0</v>
      </c>
      <c r="L82" s="195">
        <f t="shared" ca="1" si="20"/>
        <v>1</v>
      </c>
      <c r="M82" s="195">
        <f t="shared" ca="1" si="20"/>
        <v>0</v>
      </c>
      <c r="N82" s="195">
        <f t="shared" ca="1" si="20"/>
        <v>0</v>
      </c>
      <c r="O82" s="195">
        <f t="shared" ca="1" si="20"/>
        <v>0</v>
      </c>
      <c r="P82" s="195">
        <f t="shared" ca="1" si="20"/>
        <v>0</v>
      </c>
      <c r="Q82" s="195">
        <f t="shared" ca="1" si="20"/>
        <v>0</v>
      </c>
      <c r="R82" s="195">
        <f t="shared" ca="1" si="20"/>
        <v>0</v>
      </c>
      <c r="S82" s="195">
        <f t="shared" ca="1" si="20"/>
        <v>0</v>
      </c>
      <c r="T82" s="195">
        <f t="shared" ca="1" si="20"/>
        <v>1</v>
      </c>
      <c r="U82" s="195">
        <f t="shared" ca="1" si="20"/>
        <v>1</v>
      </c>
      <c r="V82" s="195">
        <f t="shared" ca="1" si="20"/>
        <v>0</v>
      </c>
    </row>
    <row r="83" spans="1:22" x14ac:dyDescent="0.35">
      <c r="A83" s="197">
        <v>49675</v>
      </c>
      <c r="B83" s="195">
        <f t="shared" ca="1" si="21"/>
        <v>1</v>
      </c>
      <c r="C83" s="195">
        <f t="shared" ca="1" si="19"/>
        <v>0</v>
      </c>
      <c r="D83" s="195">
        <f t="shared" ca="1" si="19"/>
        <v>0</v>
      </c>
      <c r="E83" s="195">
        <f t="shared" ca="1" si="19"/>
        <v>0</v>
      </c>
      <c r="F83" s="195">
        <f t="shared" ca="1" si="19"/>
        <v>0</v>
      </c>
      <c r="G83" s="195">
        <f t="shared" ca="1" si="19"/>
        <v>0</v>
      </c>
      <c r="H83" s="195">
        <f t="shared" ca="1" si="22"/>
        <v>0</v>
      </c>
      <c r="I83" s="195">
        <f t="shared" ca="1" si="20"/>
        <v>0</v>
      </c>
      <c r="J83" s="195">
        <f t="shared" ca="1" si="20"/>
        <v>0</v>
      </c>
      <c r="K83" s="195">
        <f t="shared" ca="1" si="20"/>
        <v>0</v>
      </c>
      <c r="L83" s="195">
        <f t="shared" ca="1" si="20"/>
        <v>1</v>
      </c>
      <c r="M83" s="195">
        <f t="shared" ca="1" si="20"/>
        <v>0</v>
      </c>
      <c r="N83" s="195">
        <f t="shared" ca="1" si="20"/>
        <v>0</v>
      </c>
      <c r="O83" s="195">
        <f t="shared" ca="1" si="20"/>
        <v>0</v>
      </c>
      <c r="P83" s="195">
        <f t="shared" ca="1" si="20"/>
        <v>0</v>
      </c>
      <c r="Q83" s="195">
        <f t="shared" ca="1" si="20"/>
        <v>0</v>
      </c>
      <c r="R83" s="195">
        <f t="shared" ca="1" si="20"/>
        <v>0</v>
      </c>
      <c r="S83" s="195">
        <f t="shared" ca="1" si="20"/>
        <v>0</v>
      </c>
      <c r="T83" s="195">
        <f t="shared" ca="1" si="20"/>
        <v>1</v>
      </c>
      <c r="U83" s="195">
        <f t="shared" ca="1" si="20"/>
        <v>1</v>
      </c>
      <c r="V83" s="195">
        <f t="shared" ca="1" si="20"/>
        <v>0</v>
      </c>
    </row>
    <row r="84" spans="1:22" x14ac:dyDescent="0.35">
      <c r="A84" s="197">
        <v>50041</v>
      </c>
      <c r="B84" s="195">
        <f t="shared" ca="1" si="21"/>
        <v>1</v>
      </c>
      <c r="C84" s="195">
        <f t="shared" ca="1" si="19"/>
        <v>0</v>
      </c>
      <c r="D84" s="195">
        <f t="shared" ca="1" si="19"/>
        <v>0</v>
      </c>
      <c r="E84" s="195">
        <f t="shared" ca="1" si="19"/>
        <v>0</v>
      </c>
      <c r="F84" s="195">
        <f t="shared" ca="1" si="19"/>
        <v>0</v>
      </c>
      <c r="G84" s="195">
        <f t="shared" ca="1" si="19"/>
        <v>0</v>
      </c>
      <c r="H84" s="195">
        <f t="shared" ca="1" si="22"/>
        <v>0</v>
      </c>
      <c r="I84" s="195">
        <f t="shared" ca="1" si="20"/>
        <v>0</v>
      </c>
      <c r="J84" s="195">
        <f t="shared" ca="1" si="20"/>
        <v>0</v>
      </c>
      <c r="K84" s="195">
        <f t="shared" ca="1" si="20"/>
        <v>0</v>
      </c>
      <c r="L84" s="195">
        <f t="shared" ca="1" si="20"/>
        <v>1</v>
      </c>
      <c r="M84" s="195">
        <f t="shared" ca="1" si="20"/>
        <v>0</v>
      </c>
      <c r="N84" s="195">
        <f t="shared" ca="1" si="20"/>
        <v>0</v>
      </c>
      <c r="O84" s="195">
        <f t="shared" ca="1" si="20"/>
        <v>0</v>
      </c>
      <c r="P84" s="195">
        <f t="shared" ca="1" si="20"/>
        <v>0</v>
      </c>
      <c r="Q84" s="195">
        <f t="shared" ca="1" si="20"/>
        <v>0</v>
      </c>
      <c r="R84" s="195">
        <f t="shared" ca="1" si="20"/>
        <v>0</v>
      </c>
      <c r="S84" s="195">
        <f t="shared" ca="1" si="20"/>
        <v>0</v>
      </c>
      <c r="T84" s="195">
        <f t="shared" ca="1" si="20"/>
        <v>1</v>
      </c>
      <c r="U84" s="195">
        <f t="shared" ca="1" si="20"/>
        <v>1</v>
      </c>
      <c r="V84" s="195">
        <f t="shared" ca="1" si="20"/>
        <v>0</v>
      </c>
    </row>
    <row r="85" spans="1:22" x14ac:dyDescent="0.35">
      <c r="A85" s="197">
        <v>50406</v>
      </c>
      <c r="B85" s="195">
        <f t="shared" ca="1" si="21"/>
        <v>1</v>
      </c>
      <c r="C85" s="195">
        <f t="shared" ca="1" si="19"/>
        <v>0</v>
      </c>
      <c r="D85" s="195">
        <f t="shared" ca="1" si="19"/>
        <v>0</v>
      </c>
      <c r="E85" s="195">
        <f t="shared" ca="1" si="19"/>
        <v>0</v>
      </c>
      <c r="F85" s="195">
        <f t="shared" ca="1" si="19"/>
        <v>0</v>
      </c>
      <c r="G85" s="195">
        <f t="shared" ca="1" si="19"/>
        <v>0</v>
      </c>
      <c r="H85" s="195">
        <f t="shared" ca="1" si="22"/>
        <v>0</v>
      </c>
      <c r="I85" s="195">
        <f t="shared" ca="1" si="20"/>
        <v>0</v>
      </c>
      <c r="J85" s="195">
        <f t="shared" ca="1" si="20"/>
        <v>0</v>
      </c>
      <c r="K85" s="195">
        <f t="shared" ca="1" si="20"/>
        <v>0</v>
      </c>
      <c r="L85" s="195">
        <f t="shared" ca="1" si="20"/>
        <v>1</v>
      </c>
      <c r="M85" s="195">
        <f t="shared" ca="1" si="20"/>
        <v>0</v>
      </c>
      <c r="N85" s="195">
        <f t="shared" ca="1" si="20"/>
        <v>0</v>
      </c>
      <c r="O85" s="195">
        <f t="shared" ca="1" si="20"/>
        <v>0</v>
      </c>
      <c r="P85" s="195">
        <f t="shared" ca="1" si="20"/>
        <v>0</v>
      </c>
      <c r="Q85" s="195">
        <f t="shared" ca="1" si="20"/>
        <v>0</v>
      </c>
      <c r="R85" s="195">
        <f t="shared" ca="1" si="20"/>
        <v>0</v>
      </c>
      <c r="S85" s="195">
        <f t="shared" ca="1" si="20"/>
        <v>0</v>
      </c>
      <c r="T85" s="195">
        <f t="shared" ca="1" si="20"/>
        <v>1</v>
      </c>
      <c r="U85" s="195">
        <f t="shared" ca="1" si="20"/>
        <v>1</v>
      </c>
      <c r="V85" s="195">
        <f t="shared" ca="1" si="20"/>
        <v>0</v>
      </c>
    </row>
    <row r="86" spans="1:22" x14ac:dyDescent="0.35">
      <c r="A86" s="197">
        <v>50771</v>
      </c>
      <c r="B86" s="195">
        <f t="shared" ca="1" si="21"/>
        <v>1</v>
      </c>
      <c r="C86" s="195">
        <f t="shared" ref="C86:R87" ca="1" si="23">IF(C$36="Buy",IF(C$60&gt;0,IF(14-YEARFRAC(C$60,$A86-1,1)&gt;=1,1,IF(14-YEARFRAC(C$60,$A86-1,1)&lt;0,0,14-YEARFRAC(C$60,$A86-1,1))),IF(YEAR(TODAY())+14&gt;=YEAR($A86),1,0)),IF(YEAR(TODAY())+C$37&gt;=YEAR($A86),1,0))</f>
        <v>0</v>
      </c>
      <c r="D86" s="195">
        <f t="shared" ca="1" si="23"/>
        <v>0</v>
      </c>
      <c r="E86" s="195">
        <f t="shared" ca="1" si="23"/>
        <v>0</v>
      </c>
      <c r="F86" s="195">
        <f t="shared" ca="1" si="23"/>
        <v>0</v>
      </c>
      <c r="G86" s="195">
        <f t="shared" ca="1" si="23"/>
        <v>0</v>
      </c>
      <c r="H86" s="195">
        <f t="shared" ca="1" si="22"/>
        <v>0</v>
      </c>
      <c r="I86" s="195">
        <f t="shared" ca="1" si="23"/>
        <v>0</v>
      </c>
      <c r="J86" s="195">
        <f t="shared" ca="1" si="23"/>
        <v>0</v>
      </c>
      <c r="K86" s="195">
        <f t="shared" ca="1" si="23"/>
        <v>0</v>
      </c>
      <c r="L86" s="195">
        <f t="shared" ca="1" si="23"/>
        <v>0</v>
      </c>
      <c r="M86" s="195">
        <f t="shared" ca="1" si="23"/>
        <v>0</v>
      </c>
      <c r="N86" s="195">
        <f t="shared" ca="1" si="23"/>
        <v>0</v>
      </c>
      <c r="O86" s="195">
        <f t="shared" ca="1" si="23"/>
        <v>0</v>
      </c>
      <c r="P86" s="195">
        <f t="shared" ca="1" si="23"/>
        <v>0</v>
      </c>
      <c r="Q86" s="195">
        <f t="shared" ca="1" si="23"/>
        <v>0</v>
      </c>
      <c r="R86" s="195">
        <f t="shared" ca="1" si="23"/>
        <v>0</v>
      </c>
      <c r="S86" s="195">
        <f t="shared" ref="I86:V87" ca="1" si="24">IF(S$36="Buy",IF(S$60&gt;0,IF(14-YEARFRAC(S$60,$A86-1,1)&gt;=1,1,IF(14-YEARFRAC(S$60,$A86-1,1)&lt;0,0,14-YEARFRAC(S$60,$A86-1,1))),IF(YEAR(TODAY())+14&gt;=YEAR($A86),1,0)),IF(YEAR(TODAY())+S$37&gt;=YEAR($A86),1,0))</f>
        <v>0</v>
      </c>
      <c r="T86" s="195">
        <f t="shared" ca="1" si="24"/>
        <v>0</v>
      </c>
      <c r="U86" s="195">
        <f t="shared" ca="1" si="24"/>
        <v>0</v>
      </c>
      <c r="V86" s="195">
        <f t="shared" ca="1" si="24"/>
        <v>0</v>
      </c>
    </row>
    <row r="87" spans="1:22" x14ac:dyDescent="0.35">
      <c r="A87" s="197">
        <v>51136</v>
      </c>
      <c r="B87" s="195">
        <f t="shared" ca="1" si="21"/>
        <v>1</v>
      </c>
      <c r="C87" s="195">
        <f t="shared" ca="1" si="23"/>
        <v>0</v>
      </c>
      <c r="D87" s="195">
        <f t="shared" ca="1" si="23"/>
        <v>0</v>
      </c>
      <c r="E87" s="195">
        <f t="shared" ca="1" si="23"/>
        <v>0</v>
      </c>
      <c r="F87" s="195">
        <f t="shared" ca="1" si="23"/>
        <v>0</v>
      </c>
      <c r="G87" s="195">
        <f t="shared" ca="1" si="23"/>
        <v>0</v>
      </c>
      <c r="H87" s="195">
        <f t="shared" ca="1" si="22"/>
        <v>0</v>
      </c>
      <c r="I87" s="195">
        <f t="shared" ca="1" si="24"/>
        <v>0</v>
      </c>
      <c r="J87" s="195">
        <f t="shared" ca="1" si="24"/>
        <v>0</v>
      </c>
      <c r="K87" s="195">
        <f t="shared" ca="1" si="24"/>
        <v>0</v>
      </c>
      <c r="L87" s="195">
        <f t="shared" ca="1" si="24"/>
        <v>0</v>
      </c>
      <c r="M87" s="195">
        <f t="shared" ca="1" si="24"/>
        <v>0</v>
      </c>
      <c r="N87" s="195">
        <f t="shared" ca="1" si="24"/>
        <v>0</v>
      </c>
      <c r="O87" s="195">
        <f t="shared" ca="1" si="24"/>
        <v>0</v>
      </c>
      <c r="P87" s="195">
        <f t="shared" ca="1" si="24"/>
        <v>0</v>
      </c>
      <c r="Q87" s="195">
        <f t="shared" ca="1" si="24"/>
        <v>0</v>
      </c>
      <c r="R87" s="195">
        <f t="shared" ca="1" si="24"/>
        <v>0</v>
      </c>
      <c r="S87" s="195">
        <f t="shared" ca="1" si="24"/>
        <v>0</v>
      </c>
      <c r="T87" s="195">
        <f t="shared" ca="1" si="24"/>
        <v>0</v>
      </c>
      <c r="U87" s="195">
        <f t="shared" ca="1" si="24"/>
        <v>0</v>
      </c>
      <c r="V87" s="195">
        <f t="shared" ca="1" si="24"/>
        <v>0</v>
      </c>
    </row>
    <row r="88" spans="1:22" x14ac:dyDescent="0.35">
      <c r="B88"/>
    </row>
    <row r="89" spans="1:22" x14ac:dyDescent="0.35">
      <c r="B89"/>
      <c r="C89" s="62" t="s">
        <v>266</v>
      </c>
    </row>
    <row r="90" spans="1:22" x14ac:dyDescent="0.35">
      <c r="A90" s="197">
        <v>44927</v>
      </c>
      <c r="B90"/>
      <c r="C90" s="196">
        <f t="shared" ref="C90:C107" ca="1" si="25">MIN($B70,C70)</f>
        <v>0</v>
      </c>
      <c r="D90" s="196">
        <f t="shared" ref="D90:V90" ca="1" si="26">MIN($B70,D70)</f>
        <v>0</v>
      </c>
      <c r="E90" s="196">
        <f t="shared" ca="1" si="26"/>
        <v>0</v>
      </c>
      <c r="F90" s="196">
        <f t="shared" ca="1" si="26"/>
        <v>0</v>
      </c>
      <c r="G90" s="196">
        <f t="shared" ca="1" si="26"/>
        <v>0</v>
      </c>
      <c r="H90" s="196">
        <f t="shared" ca="1" si="26"/>
        <v>0</v>
      </c>
      <c r="I90" s="196">
        <f t="shared" ca="1" si="26"/>
        <v>0</v>
      </c>
      <c r="J90" s="196">
        <f t="shared" ca="1" si="26"/>
        <v>0</v>
      </c>
      <c r="K90" s="196">
        <f t="shared" ca="1" si="26"/>
        <v>0</v>
      </c>
      <c r="L90" s="196">
        <f t="shared" ca="1" si="26"/>
        <v>0</v>
      </c>
      <c r="M90" s="196">
        <f t="shared" ca="1" si="26"/>
        <v>0</v>
      </c>
      <c r="N90" s="196">
        <f t="shared" ca="1" si="26"/>
        <v>0</v>
      </c>
      <c r="O90" s="196">
        <f t="shared" ca="1" si="26"/>
        <v>0</v>
      </c>
      <c r="P90" s="196">
        <f t="shared" ca="1" si="26"/>
        <v>0</v>
      </c>
      <c r="Q90" s="196">
        <f t="shared" ca="1" si="26"/>
        <v>0</v>
      </c>
      <c r="R90" s="196">
        <f t="shared" ca="1" si="26"/>
        <v>0</v>
      </c>
      <c r="S90" s="196">
        <f t="shared" ca="1" si="26"/>
        <v>0</v>
      </c>
      <c r="T90" s="196">
        <f t="shared" ca="1" si="26"/>
        <v>0</v>
      </c>
      <c r="U90" s="196">
        <f t="shared" ca="1" si="26"/>
        <v>0</v>
      </c>
      <c r="V90" s="196">
        <f t="shared" ca="1" si="26"/>
        <v>0</v>
      </c>
    </row>
    <row r="91" spans="1:22" x14ac:dyDescent="0.35">
      <c r="A91" s="197">
        <v>45292</v>
      </c>
      <c r="B91"/>
      <c r="C91" s="196">
        <f t="shared" ca="1" si="25"/>
        <v>0.13972602739726026</v>
      </c>
      <c r="D91" s="196">
        <f t="shared" ref="D91:V91" ca="1" si="27">MIN($B71,D71)</f>
        <v>0.13972602739726026</v>
      </c>
      <c r="E91" s="196">
        <f t="shared" ca="1" si="27"/>
        <v>0.13972602739726026</v>
      </c>
      <c r="F91" s="196">
        <f t="shared" ca="1" si="27"/>
        <v>0.13972602739726026</v>
      </c>
      <c r="G91" s="196">
        <f t="shared" ca="1" si="27"/>
        <v>0.13972602739726026</v>
      </c>
      <c r="H91" s="196">
        <f t="shared" ca="1" si="27"/>
        <v>0.13972602739726026</v>
      </c>
      <c r="I91" s="196">
        <f t="shared" ca="1" si="27"/>
        <v>0.13972602739726026</v>
      </c>
      <c r="J91" s="196">
        <f t="shared" ca="1" si="27"/>
        <v>0.13972602739726026</v>
      </c>
      <c r="K91" s="196">
        <f t="shared" ca="1" si="27"/>
        <v>0.13972602739726026</v>
      </c>
      <c r="L91" s="196">
        <f t="shared" ca="1" si="27"/>
        <v>0.13972602739726026</v>
      </c>
      <c r="M91" s="196">
        <f t="shared" ca="1" si="27"/>
        <v>0.13972602739726026</v>
      </c>
      <c r="N91" s="196">
        <f t="shared" ca="1" si="27"/>
        <v>0.13972602739726026</v>
      </c>
      <c r="O91" s="196">
        <f t="shared" ca="1" si="27"/>
        <v>0.13972602739726026</v>
      </c>
      <c r="P91" s="196">
        <f t="shared" ca="1" si="27"/>
        <v>0.13972602739726026</v>
      </c>
      <c r="Q91" s="196">
        <f t="shared" ca="1" si="27"/>
        <v>0.13972602739726026</v>
      </c>
      <c r="R91" s="196">
        <f t="shared" ca="1" si="27"/>
        <v>0.13972602739726026</v>
      </c>
      <c r="S91" s="196">
        <f t="shared" ca="1" si="27"/>
        <v>0.13972602739726026</v>
      </c>
      <c r="T91" s="196">
        <f t="shared" ca="1" si="27"/>
        <v>0.13972602739726026</v>
      </c>
      <c r="U91" s="196">
        <f t="shared" ca="1" si="27"/>
        <v>0.13972602739726026</v>
      </c>
      <c r="V91" s="196">
        <f t="shared" ca="1" si="27"/>
        <v>0.13972602739726026</v>
      </c>
    </row>
    <row r="92" spans="1:22" x14ac:dyDescent="0.35">
      <c r="A92" s="197">
        <v>45658</v>
      </c>
      <c r="B92"/>
      <c r="C92" s="196">
        <f t="shared" ca="1" si="25"/>
        <v>1</v>
      </c>
      <c r="D92" s="196">
        <f t="shared" ref="D92:V92" ca="1" si="28">MIN($B72,D72)</f>
        <v>1</v>
      </c>
      <c r="E92" s="196">
        <f t="shared" ca="1" si="28"/>
        <v>1</v>
      </c>
      <c r="F92" s="196">
        <f t="shared" ca="1" si="28"/>
        <v>1</v>
      </c>
      <c r="G92" s="196">
        <f t="shared" ca="1" si="28"/>
        <v>1</v>
      </c>
      <c r="H92" s="196">
        <f t="shared" ca="1" si="28"/>
        <v>1</v>
      </c>
      <c r="I92" s="196">
        <f t="shared" ca="1" si="28"/>
        <v>1</v>
      </c>
      <c r="J92" s="196">
        <f t="shared" ca="1" si="28"/>
        <v>1</v>
      </c>
      <c r="K92" s="196">
        <f t="shared" ca="1" si="28"/>
        <v>1</v>
      </c>
      <c r="L92" s="196">
        <f t="shared" ca="1" si="28"/>
        <v>1</v>
      </c>
      <c r="M92" s="196">
        <f t="shared" ca="1" si="28"/>
        <v>1</v>
      </c>
      <c r="N92" s="196">
        <f t="shared" ca="1" si="28"/>
        <v>1</v>
      </c>
      <c r="O92" s="196">
        <f t="shared" ca="1" si="28"/>
        <v>1</v>
      </c>
      <c r="P92" s="196">
        <f t="shared" ca="1" si="28"/>
        <v>1</v>
      </c>
      <c r="Q92" s="196">
        <f t="shared" ca="1" si="28"/>
        <v>1</v>
      </c>
      <c r="R92" s="196">
        <f t="shared" ca="1" si="28"/>
        <v>1</v>
      </c>
      <c r="S92" s="196">
        <f t="shared" ca="1" si="28"/>
        <v>1</v>
      </c>
      <c r="T92" s="196">
        <f t="shared" ca="1" si="28"/>
        <v>1</v>
      </c>
      <c r="U92" s="196">
        <f t="shared" ca="1" si="28"/>
        <v>1</v>
      </c>
      <c r="V92" s="196">
        <f t="shared" ca="1" si="28"/>
        <v>1</v>
      </c>
    </row>
    <row r="93" spans="1:22" x14ac:dyDescent="0.35">
      <c r="A93" s="197">
        <v>46023</v>
      </c>
      <c r="B93"/>
      <c r="C93" s="196">
        <f t="shared" ca="1" si="25"/>
        <v>1</v>
      </c>
      <c r="D93" s="196">
        <f t="shared" ref="D93:V93" ca="1" si="29">MIN($B73,D73)</f>
        <v>1</v>
      </c>
      <c r="E93" s="196">
        <f t="shared" ca="1" si="29"/>
        <v>1</v>
      </c>
      <c r="F93" s="196">
        <f t="shared" ca="1" si="29"/>
        <v>1</v>
      </c>
      <c r="G93" s="196">
        <f t="shared" ca="1" si="29"/>
        <v>1</v>
      </c>
      <c r="H93" s="196">
        <f t="shared" ca="1" si="29"/>
        <v>1</v>
      </c>
      <c r="I93" s="196">
        <f t="shared" ca="1" si="29"/>
        <v>1</v>
      </c>
      <c r="J93" s="196">
        <f t="shared" ca="1" si="29"/>
        <v>1</v>
      </c>
      <c r="K93" s="196">
        <f t="shared" ca="1" si="29"/>
        <v>1</v>
      </c>
      <c r="L93" s="196">
        <f t="shared" ca="1" si="29"/>
        <v>1</v>
      </c>
      <c r="M93" s="196">
        <f t="shared" ca="1" si="29"/>
        <v>1</v>
      </c>
      <c r="N93" s="196">
        <f t="shared" ca="1" si="29"/>
        <v>1</v>
      </c>
      <c r="O93" s="196">
        <f t="shared" ca="1" si="29"/>
        <v>1</v>
      </c>
      <c r="P93" s="196">
        <f t="shared" ca="1" si="29"/>
        <v>1</v>
      </c>
      <c r="Q93" s="196">
        <f t="shared" ca="1" si="29"/>
        <v>1</v>
      </c>
      <c r="R93" s="196">
        <f t="shared" ca="1" si="29"/>
        <v>1</v>
      </c>
      <c r="S93" s="196">
        <f t="shared" ca="1" si="29"/>
        <v>1</v>
      </c>
      <c r="T93" s="196">
        <f t="shared" ca="1" si="29"/>
        <v>1</v>
      </c>
      <c r="U93" s="196">
        <f t="shared" ca="1" si="29"/>
        <v>1</v>
      </c>
      <c r="V93" s="196">
        <f t="shared" ca="1" si="29"/>
        <v>1</v>
      </c>
    </row>
    <row r="94" spans="1:22" x14ac:dyDescent="0.35">
      <c r="A94" s="197">
        <v>46388</v>
      </c>
      <c r="B94"/>
      <c r="C94" s="196">
        <f t="shared" ca="1" si="25"/>
        <v>0.28750244474868047</v>
      </c>
      <c r="D94" s="196">
        <f t="shared" ref="D94:V94" ca="1" si="30">MIN($B74,D74)</f>
        <v>1</v>
      </c>
      <c r="E94" s="196">
        <f t="shared" ca="1" si="30"/>
        <v>1</v>
      </c>
      <c r="F94" s="196">
        <f t="shared" ca="1" si="30"/>
        <v>1</v>
      </c>
      <c r="G94" s="196">
        <f t="shared" ca="1" si="30"/>
        <v>1</v>
      </c>
      <c r="H94" s="196">
        <f t="shared" ca="1" si="30"/>
        <v>0</v>
      </c>
      <c r="I94" s="196">
        <f t="shared" ca="1" si="30"/>
        <v>1</v>
      </c>
      <c r="J94" s="196">
        <f t="shared" ca="1" si="30"/>
        <v>1</v>
      </c>
      <c r="K94" s="196">
        <f t="shared" ca="1" si="30"/>
        <v>1</v>
      </c>
      <c r="L94" s="196">
        <f t="shared" ca="1" si="30"/>
        <v>1</v>
      </c>
      <c r="M94" s="196">
        <f t="shared" ca="1" si="30"/>
        <v>1</v>
      </c>
      <c r="N94" s="196">
        <f t="shared" ca="1" si="30"/>
        <v>1</v>
      </c>
      <c r="O94" s="196">
        <f t="shared" ca="1" si="30"/>
        <v>1</v>
      </c>
      <c r="P94" s="196">
        <f t="shared" ca="1" si="30"/>
        <v>0.95560336397418411</v>
      </c>
      <c r="Q94" s="196">
        <f t="shared" ca="1" si="30"/>
        <v>1</v>
      </c>
      <c r="R94" s="196">
        <f t="shared" ca="1" si="30"/>
        <v>1</v>
      </c>
      <c r="S94" s="196">
        <f t="shared" ca="1" si="30"/>
        <v>1</v>
      </c>
      <c r="T94" s="196">
        <f t="shared" ca="1" si="30"/>
        <v>1</v>
      </c>
      <c r="U94" s="196">
        <f t="shared" ca="1" si="30"/>
        <v>1</v>
      </c>
      <c r="V94" s="196">
        <f t="shared" ca="1" si="30"/>
        <v>1</v>
      </c>
    </row>
    <row r="95" spans="1:22" x14ac:dyDescent="0.35">
      <c r="A95" s="197">
        <v>46753</v>
      </c>
      <c r="B95"/>
      <c r="C95" s="196">
        <f t="shared" ca="1" si="25"/>
        <v>0</v>
      </c>
      <c r="D95" s="196">
        <f t="shared" ref="D95:V95" ca="1" si="31">MIN($B75,D75)</f>
        <v>1</v>
      </c>
      <c r="E95" s="196">
        <f t="shared" ca="1" si="31"/>
        <v>0.80774496381772032</v>
      </c>
      <c r="F95" s="196">
        <f t="shared" ca="1" si="31"/>
        <v>1</v>
      </c>
      <c r="G95" s="196">
        <f t="shared" ca="1" si="31"/>
        <v>1</v>
      </c>
      <c r="H95" s="196">
        <f t="shared" ca="1" si="31"/>
        <v>0</v>
      </c>
      <c r="I95" s="196">
        <f t="shared" ca="1" si="31"/>
        <v>1</v>
      </c>
      <c r="J95" s="196">
        <f t="shared" ca="1" si="31"/>
        <v>1</v>
      </c>
      <c r="K95" s="196">
        <f t="shared" ca="1" si="31"/>
        <v>1</v>
      </c>
      <c r="L95" s="196">
        <f t="shared" ca="1" si="31"/>
        <v>1</v>
      </c>
      <c r="M95" s="196">
        <f t="shared" ca="1" si="31"/>
        <v>1</v>
      </c>
      <c r="N95" s="196">
        <f t="shared" ca="1" si="31"/>
        <v>1</v>
      </c>
      <c r="O95" s="196">
        <f t="shared" ca="1" si="31"/>
        <v>1</v>
      </c>
      <c r="P95" s="196">
        <f t="shared" ca="1" si="31"/>
        <v>0</v>
      </c>
      <c r="Q95" s="196">
        <f t="shared" ca="1" si="31"/>
        <v>1</v>
      </c>
      <c r="R95" s="196">
        <f t="shared" ca="1" si="31"/>
        <v>1</v>
      </c>
      <c r="S95" s="196">
        <f t="shared" ca="1" si="31"/>
        <v>1</v>
      </c>
      <c r="T95" s="196">
        <f t="shared" ca="1" si="31"/>
        <v>1</v>
      </c>
      <c r="U95" s="196">
        <f t="shared" ca="1" si="31"/>
        <v>1</v>
      </c>
      <c r="V95" s="196">
        <f t="shared" ca="1" si="31"/>
        <v>1</v>
      </c>
    </row>
    <row r="96" spans="1:22" x14ac:dyDescent="0.35">
      <c r="A96" s="197">
        <v>47119</v>
      </c>
      <c r="B96"/>
      <c r="C96" s="196">
        <f t="shared" ca="1" si="25"/>
        <v>0</v>
      </c>
      <c r="D96" s="196">
        <f t="shared" ref="D96:V96" ca="1" si="32">MIN($B76,D76)</f>
        <v>1.9163081736410348E-2</v>
      </c>
      <c r="E96" s="196">
        <f t="shared" ca="1" si="32"/>
        <v>0</v>
      </c>
      <c r="F96" s="196">
        <f t="shared" ca="1" si="32"/>
        <v>1.9163081736410348E-2</v>
      </c>
      <c r="G96" s="196">
        <f t="shared" ca="1" si="32"/>
        <v>1</v>
      </c>
      <c r="H96" s="196">
        <f t="shared" ca="1" si="32"/>
        <v>0</v>
      </c>
      <c r="I96" s="196">
        <f t="shared" ca="1" si="32"/>
        <v>1</v>
      </c>
      <c r="J96" s="196">
        <f t="shared" ca="1" si="32"/>
        <v>1</v>
      </c>
      <c r="K96" s="196">
        <f t="shared" ca="1" si="32"/>
        <v>1</v>
      </c>
      <c r="L96" s="196">
        <f t="shared" ca="1" si="32"/>
        <v>1</v>
      </c>
      <c r="M96" s="196">
        <f t="shared" ca="1" si="32"/>
        <v>0.57489245209229622</v>
      </c>
      <c r="N96" s="196">
        <f t="shared" ca="1" si="32"/>
        <v>0.39968713335940542</v>
      </c>
      <c r="O96" s="196">
        <f t="shared" ca="1" si="32"/>
        <v>1</v>
      </c>
      <c r="P96" s="196">
        <f t="shared" ca="1" si="32"/>
        <v>0</v>
      </c>
      <c r="Q96" s="196">
        <f t="shared" ca="1" si="32"/>
        <v>1</v>
      </c>
      <c r="R96" s="196">
        <f t="shared" ca="1" si="32"/>
        <v>1</v>
      </c>
      <c r="S96" s="196">
        <f t="shared" ca="1" si="32"/>
        <v>1</v>
      </c>
      <c r="T96" s="196">
        <f t="shared" ca="1" si="32"/>
        <v>1</v>
      </c>
      <c r="U96" s="196">
        <f t="shared" ca="1" si="32"/>
        <v>1</v>
      </c>
      <c r="V96" s="196">
        <f t="shared" ca="1" si="32"/>
        <v>1</v>
      </c>
    </row>
    <row r="97" spans="1:22" x14ac:dyDescent="0.35">
      <c r="A97" s="197">
        <v>47484</v>
      </c>
      <c r="B97"/>
      <c r="C97" s="196">
        <f t="shared" ca="1" si="25"/>
        <v>0</v>
      </c>
      <c r="D97" s="196">
        <f t="shared" ref="D97:V97" ca="1" si="33">MIN($B77,D77)</f>
        <v>0</v>
      </c>
      <c r="E97" s="196">
        <f t="shared" ca="1" si="33"/>
        <v>0</v>
      </c>
      <c r="F97" s="196">
        <f t="shared" ca="1" si="33"/>
        <v>0</v>
      </c>
      <c r="G97" s="196">
        <f t="shared" ca="1" si="33"/>
        <v>1</v>
      </c>
      <c r="H97" s="196">
        <f t="shared" ca="1" si="33"/>
        <v>0</v>
      </c>
      <c r="I97" s="196">
        <f t="shared" ca="1" si="33"/>
        <v>1</v>
      </c>
      <c r="J97" s="196">
        <f t="shared" ca="1" si="33"/>
        <v>1</v>
      </c>
      <c r="K97" s="196">
        <f t="shared" ca="1" si="33"/>
        <v>1</v>
      </c>
      <c r="L97" s="196">
        <f t="shared" ca="1" si="33"/>
        <v>1</v>
      </c>
      <c r="M97" s="196">
        <f t="shared" ca="1" si="33"/>
        <v>0</v>
      </c>
      <c r="N97" s="196">
        <f t="shared" ca="1" si="33"/>
        <v>0</v>
      </c>
      <c r="O97" s="196">
        <f t="shared" ca="1" si="33"/>
        <v>0.29018380915134934</v>
      </c>
      <c r="P97" s="196">
        <f t="shared" ca="1" si="33"/>
        <v>0</v>
      </c>
      <c r="Q97" s="196">
        <f t="shared" ca="1" si="33"/>
        <v>1</v>
      </c>
      <c r="R97" s="196">
        <f t="shared" ca="1" si="33"/>
        <v>1</v>
      </c>
      <c r="S97" s="196">
        <f t="shared" ca="1" si="33"/>
        <v>1</v>
      </c>
      <c r="T97" s="196">
        <f t="shared" ca="1" si="33"/>
        <v>1</v>
      </c>
      <c r="U97" s="196">
        <f t="shared" ca="1" si="33"/>
        <v>1</v>
      </c>
      <c r="V97" s="196">
        <f t="shared" ca="1" si="33"/>
        <v>1</v>
      </c>
    </row>
    <row r="98" spans="1:22" x14ac:dyDescent="0.35">
      <c r="A98" s="197">
        <v>47849</v>
      </c>
      <c r="B98"/>
      <c r="C98" s="196">
        <f t="shared" ca="1" si="25"/>
        <v>0</v>
      </c>
      <c r="D98" s="196">
        <f t="shared" ref="D98:V98" ca="1" si="34">MIN($B78,D78)</f>
        <v>0</v>
      </c>
      <c r="E98" s="196">
        <f t="shared" ca="1" si="34"/>
        <v>0</v>
      </c>
      <c r="F98" s="196">
        <f t="shared" ca="1" si="34"/>
        <v>0</v>
      </c>
      <c r="G98" s="196">
        <f t="shared" ca="1" si="34"/>
        <v>1</v>
      </c>
      <c r="H98" s="196">
        <f t="shared" ca="1" si="34"/>
        <v>0</v>
      </c>
      <c r="I98" s="196">
        <f t="shared" ca="1" si="34"/>
        <v>4.1071777821240829E-2</v>
      </c>
      <c r="J98" s="196">
        <f t="shared" ca="1" si="34"/>
        <v>1</v>
      </c>
      <c r="K98" s="196">
        <f t="shared" ca="1" si="34"/>
        <v>7.1191081556817082E-2</v>
      </c>
      <c r="L98" s="196">
        <f t="shared" ca="1" si="34"/>
        <v>1</v>
      </c>
      <c r="M98" s="196">
        <f t="shared" ca="1" si="34"/>
        <v>0</v>
      </c>
      <c r="N98" s="196">
        <f t="shared" ca="1" si="34"/>
        <v>0</v>
      </c>
      <c r="O98" s="196">
        <f t="shared" ca="1" si="34"/>
        <v>0</v>
      </c>
      <c r="P98" s="196">
        <f t="shared" ca="1" si="34"/>
        <v>0</v>
      </c>
      <c r="Q98" s="196">
        <f t="shared" ca="1" si="34"/>
        <v>0.70643457852532876</v>
      </c>
      <c r="R98" s="196">
        <f t="shared" ca="1" si="34"/>
        <v>1</v>
      </c>
      <c r="S98" s="196">
        <f t="shared" ca="1" si="34"/>
        <v>0.87345980833170422</v>
      </c>
      <c r="T98" s="196">
        <f t="shared" ca="1" si="34"/>
        <v>1</v>
      </c>
      <c r="U98" s="196">
        <f t="shared" ca="1" si="34"/>
        <v>1</v>
      </c>
      <c r="V98" s="196">
        <f t="shared" ca="1" si="34"/>
        <v>1</v>
      </c>
    </row>
    <row r="99" spans="1:22" x14ac:dyDescent="0.35">
      <c r="A99" s="197">
        <v>48214</v>
      </c>
      <c r="B99"/>
      <c r="C99" s="196">
        <f t="shared" ca="1" si="25"/>
        <v>0</v>
      </c>
      <c r="D99" s="196">
        <f t="shared" ref="D99:V99" ca="1" si="35">MIN($B79,D79)</f>
        <v>0</v>
      </c>
      <c r="E99" s="196">
        <f t="shared" ca="1" si="35"/>
        <v>0</v>
      </c>
      <c r="F99" s="196">
        <f t="shared" ca="1" si="35"/>
        <v>0</v>
      </c>
      <c r="G99" s="196">
        <f t="shared" ca="1" si="35"/>
        <v>0.95286524545276841</v>
      </c>
      <c r="H99" s="196">
        <f t="shared" ca="1" si="35"/>
        <v>0</v>
      </c>
      <c r="I99" s="196">
        <f t="shared" ca="1" si="35"/>
        <v>0</v>
      </c>
      <c r="J99" s="196">
        <f t="shared" ca="1" si="35"/>
        <v>0.24369254840602395</v>
      </c>
      <c r="K99" s="196">
        <f t="shared" ca="1" si="35"/>
        <v>0</v>
      </c>
      <c r="L99" s="196">
        <f t="shared" ca="1" si="35"/>
        <v>1</v>
      </c>
      <c r="M99" s="196">
        <f t="shared" ca="1" si="35"/>
        <v>0</v>
      </c>
      <c r="N99" s="196">
        <f t="shared" ca="1" si="35"/>
        <v>0</v>
      </c>
      <c r="O99" s="196">
        <f t="shared" ca="1" si="35"/>
        <v>0</v>
      </c>
      <c r="P99" s="196">
        <f t="shared" ca="1" si="35"/>
        <v>0</v>
      </c>
      <c r="Q99" s="196">
        <f t="shared" ca="1" si="35"/>
        <v>0</v>
      </c>
      <c r="R99" s="196">
        <f t="shared" ca="1" si="35"/>
        <v>1</v>
      </c>
      <c r="S99" s="196">
        <f t="shared" ca="1" si="35"/>
        <v>0</v>
      </c>
      <c r="T99" s="196">
        <f t="shared" ca="1" si="35"/>
        <v>1</v>
      </c>
      <c r="U99" s="196">
        <f t="shared" ca="1" si="35"/>
        <v>1</v>
      </c>
      <c r="V99" s="196">
        <f t="shared" ca="1" si="35"/>
        <v>1</v>
      </c>
    </row>
    <row r="100" spans="1:22" x14ac:dyDescent="0.35">
      <c r="A100" s="197">
        <v>48580</v>
      </c>
      <c r="B100"/>
      <c r="C100" s="196">
        <f t="shared" ca="1" si="25"/>
        <v>0</v>
      </c>
      <c r="D100" s="196">
        <f t="shared" ref="D100:V100" ca="1" si="36">MIN($B80,D80)</f>
        <v>0</v>
      </c>
      <c r="E100" s="196">
        <f t="shared" ca="1" si="36"/>
        <v>0</v>
      </c>
      <c r="F100" s="196">
        <f t="shared" ca="1" si="36"/>
        <v>0</v>
      </c>
      <c r="G100" s="196">
        <f t="shared" ca="1" si="36"/>
        <v>0</v>
      </c>
      <c r="H100" s="196">
        <f t="shared" ca="1" si="36"/>
        <v>0</v>
      </c>
      <c r="I100" s="196">
        <f t="shared" ca="1" si="36"/>
        <v>0</v>
      </c>
      <c r="J100" s="196">
        <f t="shared" ca="1" si="36"/>
        <v>0</v>
      </c>
      <c r="K100" s="196">
        <f t="shared" ca="1" si="36"/>
        <v>0</v>
      </c>
      <c r="L100" s="196">
        <f t="shared" ca="1" si="36"/>
        <v>1</v>
      </c>
      <c r="M100" s="196">
        <f t="shared" ca="1" si="36"/>
        <v>0</v>
      </c>
      <c r="N100" s="196">
        <f t="shared" ca="1" si="36"/>
        <v>0</v>
      </c>
      <c r="O100" s="196">
        <f t="shared" ca="1" si="36"/>
        <v>0</v>
      </c>
      <c r="P100" s="196">
        <f t="shared" ca="1" si="36"/>
        <v>0</v>
      </c>
      <c r="Q100" s="196">
        <f t="shared" ca="1" si="36"/>
        <v>0</v>
      </c>
      <c r="R100" s="196">
        <f t="shared" ca="1" si="36"/>
        <v>0.12592882283926521</v>
      </c>
      <c r="S100" s="196">
        <f t="shared" ca="1" si="36"/>
        <v>0</v>
      </c>
      <c r="T100" s="196">
        <f t="shared" ca="1" si="36"/>
        <v>1</v>
      </c>
      <c r="U100" s="196">
        <f t="shared" ca="1" si="36"/>
        <v>1</v>
      </c>
      <c r="V100" s="196">
        <f t="shared" ca="1" si="36"/>
        <v>0.49824012514665661</v>
      </c>
    </row>
    <row r="101" spans="1:22" x14ac:dyDescent="0.35">
      <c r="A101" s="197">
        <v>48945</v>
      </c>
      <c r="B101"/>
      <c r="C101" s="196">
        <f t="shared" ca="1" si="25"/>
        <v>0</v>
      </c>
      <c r="D101" s="196">
        <f t="shared" ref="D101:V101" ca="1" si="37">MIN($B81,D81)</f>
        <v>0</v>
      </c>
      <c r="E101" s="196">
        <f t="shared" ca="1" si="37"/>
        <v>0</v>
      </c>
      <c r="F101" s="196">
        <f t="shared" ca="1" si="37"/>
        <v>0</v>
      </c>
      <c r="G101" s="196">
        <f t="shared" ca="1" si="37"/>
        <v>0</v>
      </c>
      <c r="H101" s="196">
        <f t="shared" ca="1" si="37"/>
        <v>0</v>
      </c>
      <c r="I101" s="196">
        <f t="shared" ca="1" si="37"/>
        <v>0</v>
      </c>
      <c r="J101" s="196">
        <f t="shared" ca="1" si="37"/>
        <v>0</v>
      </c>
      <c r="K101" s="196">
        <f t="shared" ca="1" si="37"/>
        <v>0</v>
      </c>
      <c r="L101" s="196">
        <f t="shared" ca="1" si="37"/>
        <v>1</v>
      </c>
      <c r="M101" s="196">
        <f t="shared" ca="1" si="37"/>
        <v>0</v>
      </c>
      <c r="N101" s="196">
        <f t="shared" ca="1" si="37"/>
        <v>0</v>
      </c>
      <c r="O101" s="196">
        <f t="shared" ca="1" si="37"/>
        <v>0</v>
      </c>
      <c r="P101" s="196">
        <f t="shared" ca="1" si="37"/>
        <v>0</v>
      </c>
      <c r="Q101" s="196">
        <f t="shared" ca="1" si="37"/>
        <v>0</v>
      </c>
      <c r="R101" s="196">
        <f t="shared" ca="1" si="37"/>
        <v>0</v>
      </c>
      <c r="S101" s="196">
        <f t="shared" ca="1" si="37"/>
        <v>0</v>
      </c>
      <c r="T101" s="196">
        <f t="shared" ca="1" si="37"/>
        <v>1</v>
      </c>
      <c r="U101" s="196">
        <f t="shared" ca="1" si="37"/>
        <v>1</v>
      </c>
      <c r="V101" s="196">
        <f t="shared" ca="1" si="37"/>
        <v>0</v>
      </c>
    </row>
    <row r="102" spans="1:22" x14ac:dyDescent="0.35">
      <c r="A102" s="197">
        <v>49310</v>
      </c>
      <c r="B102"/>
      <c r="C102" s="196">
        <f t="shared" ca="1" si="25"/>
        <v>0</v>
      </c>
      <c r="D102" s="196">
        <f t="shared" ref="D102:V102" ca="1" si="38">MIN($B82,D82)</f>
        <v>0</v>
      </c>
      <c r="E102" s="196">
        <f t="shared" ca="1" si="38"/>
        <v>0</v>
      </c>
      <c r="F102" s="196">
        <f t="shared" ca="1" si="38"/>
        <v>0</v>
      </c>
      <c r="G102" s="196">
        <f t="shared" ca="1" si="38"/>
        <v>0</v>
      </c>
      <c r="H102" s="196">
        <f t="shared" ca="1" si="38"/>
        <v>0</v>
      </c>
      <c r="I102" s="196">
        <f t="shared" ca="1" si="38"/>
        <v>0</v>
      </c>
      <c r="J102" s="196">
        <f t="shared" ca="1" si="38"/>
        <v>0</v>
      </c>
      <c r="K102" s="196">
        <f t="shared" ca="1" si="38"/>
        <v>0</v>
      </c>
      <c r="L102" s="196">
        <f t="shared" ca="1" si="38"/>
        <v>1</v>
      </c>
      <c r="M102" s="196">
        <f t="shared" ca="1" si="38"/>
        <v>0</v>
      </c>
      <c r="N102" s="196">
        <f t="shared" ca="1" si="38"/>
        <v>0</v>
      </c>
      <c r="O102" s="196">
        <f t="shared" ca="1" si="38"/>
        <v>0</v>
      </c>
      <c r="P102" s="196">
        <f t="shared" ca="1" si="38"/>
        <v>0</v>
      </c>
      <c r="Q102" s="196">
        <f t="shared" ca="1" si="38"/>
        <v>0</v>
      </c>
      <c r="R102" s="196">
        <f t="shared" ca="1" si="38"/>
        <v>0</v>
      </c>
      <c r="S102" s="196">
        <f t="shared" ca="1" si="38"/>
        <v>0</v>
      </c>
      <c r="T102" s="196">
        <f t="shared" ca="1" si="38"/>
        <v>1</v>
      </c>
      <c r="U102" s="196">
        <f t="shared" ca="1" si="38"/>
        <v>1</v>
      </c>
      <c r="V102" s="196">
        <f t="shared" ca="1" si="38"/>
        <v>0</v>
      </c>
    </row>
    <row r="103" spans="1:22" x14ac:dyDescent="0.35">
      <c r="A103" s="197">
        <v>49675</v>
      </c>
      <c r="B103"/>
      <c r="C103" s="196">
        <f t="shared" ca="1" si="25"/>
        <v>0</v>
      </c>
      <c r="D103" s="196">
        <f t="shared" ref="D103:V103" ca="1" si="39">MIN($B83,D83)</f>
        <v>0</v>
      </c>
      <c r="E103" s="196">
        <f t="shared" ca="1" si="39"/>
        <v>0</v>
      </c>
      <c r="F103" s="196">
        <f t="shared" ca="1" si="39"/>
        <v>0</v>
      </c>
      <c r="G103" s="196">
        <f t="shared" ca="1" si="39"/>
        <v>0</v>
      </c>
      <c r="H103" s="196">
        <f t="shared" ca="1" si="39"/>
        <v>0</v>
      </c>
      <c r="I103" s="196">
        <f t="shared" ca="1" si="39"/>
        <v>0</v>
      </c>
      <c r="J103" s="196">
        <f t="shared" ca="1" si="39"/>
        <v>0</v>
      </c>
      <c r="K103" s="196">
        <f t="shared" ca="1" si="39"/>
        <v>0</v>
      </c>
      <c r="L103" s="196">
        <f t="shared" ca="1" si="39"/>
        <v>1</v>
      </c>
      <c r="M103" s="196">
        <f t="shared" ca="1" si="39"/>
        <v>0</v>
      </c>
      <c r="N103" s="196">
        <f t="shared" ca="1" si="39"/>
        <v>0</v>
      </c>
      <c r="O103" s="196">
        <f t="shared" ca="1" si="39"/>
        <v>0</v>
      </c>
      <c r="P103" s="196">
        <f t="shared" ca="1" si="39"/>
        <v>0</v>
      </c>
      <c r="Q103" s="196">
        <f t="shared" ca="1" si="39"/>
        <v>0</v>
      </c>
      <c r="R103" s="196">
        <f t="shared" ca="1" si="39"/>
        <v>0</v>
      </c>
      <c r="S103" s="196">
        <f t="shared" ca="1" si="39"/>
        <v>0</v>
      </c>
      <c r="T103" s="196">
        <f t="shared" ca="1" si="39"/>
        <v>1</v>
      </c>
      <c r="U103" s="196">
        <f t="shared" ca="1" si="39"/>
        <v>1</v>
      </c>
      <c r="V103" s="196">
        <f t="shared" ca="1" si="39"/>
        <v>0</v>
      </c>
    </row>
    <row r="104" spans="1:22" x14ac:dyDescent="0.35">
      <c r="A104" s="197">
        <v>50041</v>
      </c>
      <c r="B104"/>
      <c r="C104" s="196">
        <f t="shared" ca="1" si="25"/>
        <v>0</v>
      </c>
      <c r="D104" s="196">
        <f t="shared" ref="D104:V104" ca="1" si="40">MIN($B84,D84)</f>
        <v>0</v>
      </c>
      <c r="E104" s="196">
        <f t="shared" ca="1" si="40"/>
        <v>0</v>
      </c>
      <c r="F104" s="196">
        <f t="shared" ca="1" si="40"/>
        <v>0</v>
      </c>
      <c r="G104" s="196">
        <f t="shared" ca="1" si="40"/>
        <v>0</v>
      </c>
      <c r="H104" s="196">
        <f t="shared" ca="1" si="40"/>
        <v>0</v>
      </c>
      <c r="I104" s="196">
        <f t="shared" ca="1" si="40"/>
        <v>0</v>
      </c>
      <c r="J104" s="196">
        <f t="shared" ca="1" si="40"/>
        <v>0</v>
      </c>
      <c r="K104" s="196">
        <f t="shared" ca="1" si="40"/>
        <v>0</v>
      </c>
      <c r="L104" s="196">
        <f t="shared" ca="1" si="40"/>
        <v>1</v>
      </c>
      <c r="M104" s="196">
        <f t="shared" ca="1" si="40"/>
        <v>0</v>
      </c>
      <c r="N104" s="196">
        <f t="shared" ca="1" si="40"/>
        <v>0</v>
      </c>
      <c r="O104" s="196">
        <f t="shared" ca="1" si="40"/>
        <v>0</v>
      </c>
      <c r="P104" s="196">
        <f t="shared" ca="1" si="40"/>
        <v>0</v>
      </c>
      <c r="Q104" s="196">
        <f t="shared" ca="1" si="40"/>
        <v>0</v>
      </c>
      <c r="R104" s="196">
        <f t="shared" ca="1" si="40"/>
        <v>0</v>
      </c>
      <c r="S104" s="196">
        <f t="shared" ca="1" si="40"/>
        <v>0</v>
      </c>
      <c r="T104" s="196">
        <f t="shared" ca="1" si="40"/>
        <v>1</v>
      </c>
      <c r="U104" s="196">
        <f t="shared" ca="1" si="40"/>
        <v>1</v>
      </c>
      <c r="V104" s="196">
        <f t="shared" ca="1" si="40"/>
        <v>0</v>
      </c>
    </row>
    <row r="105" spans="1:22" x14ac:dyDescent="0.35">
      <c r="A105" s="197">
        <v>50406</v>
      </c>
      <c r="B105"/>
      <c r="C105" s="196">
        <f t="shared" ca="1" si="25"/>
        <v>0</v>
      </c>
      <c r="D105" s="196">
        <f t="shared" ref="D105:V105" ca="1" si="41">MIN($B85,D85)</f>
        <v>0</v>
      </c>
      <c r="E105" s="196">
        <f t="shared" ca="1" si="41"/>
        <v>0</v>
      </c>
      <c r="F105" s="196">
        <f t="shared" ca="1" si="41"/>
        <v>0</v>
      </c>
      <c r="G105" s="196">
        <f t="shared" ca="1" si="41"/>
        <v>0</v>
      </c>
      <c r="H105" s="196">
        <f t="shared" ca="1" si="41"/>
        <v>0</v>
      </c>
      <c r="I105" s="196">
        <f t="shared" ca="1" si="41"/>
        <v>0</v>
      </c>
      <c r="J105" s="196">
        <f t="shared" ca="1" si="41"/>
        <v>0</v>
      </c>
      <c r="K105" s="196">
        <f t="shared" ca="1" si="41"/>
        <v>0</v>
      </c>
      <c r="L105" s="196">
        <f t="shared" ca="1" si="41"/>
        <v>1</v>
      </c>
      <c r="M105" s="196">
        <f t="shared" ca="1" si="41"/>
        <v>0</v>
      </c>
      <c r="N105" s="196">
        <f t="shared" ca="1" si="41"/>
        <v>0</v>
      </c>
      <c r="O105" s="196">
        <f t="shared" ca="1" si="41"/>
        <v>0</v>
      </c>
      <c r="P105" s="196">
        <f t="shared" ca="1" si="41"/>
        <v>0</v>
      </c>
      <c r="Q105" s="196">
        <f t="shared" ca="1" si="41"/>
        <v>0</v>
      </c>
      <c r="R105" s="196">
        <f t="shared" ca="1" si="41"/>
        <v>0</v>
      </c>
      <c r="S105" s="196">
        <f t="shared" ca="1" si="41"/>
        <v>0</v>
      </c>
      <c r="T105" s="196">
        <f t="shared" ca="1" si="41"/>
        <v>1</v>
      </c>
      <c r="U105" s="196">
        <f t="shared" ca="1" si="41"/>
        <v>1</v>
      </c>
      <c r="V105" s="196">
        <f t="shared" ca="1" si="41"/>
        <v>0</v>
      </c>
    </row>
    <row r="106" spans="1:22" x14ac:dyDescent="0.35">
      <c r="A106" s="197">
        <v>50771</v>
      </c>
      <c r="B106"/>
      <c r="C106" s="196">
        <f t="shared" ca="1" si="25"/>
        <v>0</v>
      </c>
      <c r="D106" s="196">
        <f t="shared" ref="D106:V106" ca="1" si="42">MIN($B86,D86)</f>
        <v>0</v>
      </c>
      <c r="E106" s="196">
        <f t="shared" ca="1" si="42"/>
        <v>0</v>
      </c>
      <c r="F106" s="196">
        <f t="shared" ca="1" si="42"/>
        <v>0</v>
      </c>
      <c r="G106" s="196">
        <f t="shared" ca="1" si="42"/>
        <v>0</v>
      </c>
      <c r="H106" s="196">
        <f t="shared" ca="1" si="42"/>
        <v>0</v>
      </c>
      <c r="I106" s="196">
        <f t="shared" ca="1" si="42"/>
        <v>0</v>
      </c>
      <c r="J106" s="196">
        <f t="shared" ca="1" si="42"/>
        <v>0</v>
      </c>
      <c r="K106" s="196">
        <f t="shared" ca="1" si="42"/>
        <v>0</v>
      </c>
      <c r="L106" s="196">
        <f t="shared" ca="1" si="42"/>
        <v>0</v>
      </c>
      <c r="M106" s="196">
        <f t="shared" ca="1" si="42"/>
        <v>0</v>
      </c>
      <c r="N106" s="196">
        <f t="shared" ca="1" si="42"/>
        <v>0</v>
      </c>
      <c r="O106" s="196">
        <f t="shared" ca="1" si="42"/>
        <v>0</v>
      </c>
      <c r="P106" s="196">
        <f t="shared" ca="1" si="42"/>
        <v>0</v>
      </c>
      <c r="Q106" s="196">
        <f t="shared" ca="1" si="42"/>
        <v>0</v>
      </c>
      <c r="R106" s="196">
        <f t="shared" ca="1" si="42"/>
        <v>0</v>
      </c>
      <c r="S106" s="196">
        <f t="shared" ca="1" si="42"/>
        <v>0</v>
      </c>
      <c r="T106" s="196">
        <f t="shared" ca="1" si="42"/>
        <v>0</v>
      </c>
      <c r="U106" s="196">
        <f t="shared" ca="1" si="42"/>
        <v>0</v>
      </c>
      <c r="V106" s="196">
        <f t="shared" ca="1" si="42"/>
        <v>0</v>
      </c>
    </row>
    <row r="107" spans="1:22" x14ac:dyDescent="0.35">
      <c r="A107" s="197">
        <v>51136</v>
      </c>
      <c r="B107"/>
      <c r="C107" s="196">
        <f t="shared" ca="1" si="25"/>
        <v>0</v>
      </c>
      <c r="D107" s="196">
        <f t="shared" ref="D107:V107" ca="1" si="43">MIN($B87,D87)</f>
        <v>0</v>
      </c>
      <c r="E107" s="196">
        <f t="shared" ca="1" si="43"/>
        <v>0</v>
      </c>
      <c r="F107" s="196">
        <f t="shared" ca="1" si="43"/>
        <v>0</v>
      </c>
      <c r="G107" s="196">
        <f t="shared" ca="1" si="43"/>
        <v>0</v>
      </c>
      <c r="H107" s="196">
        <f t="shared" ca="1" si="43"/>
        <v>0</v>
      </c>
      <c r="I107" s="196">
        <f t="shared" ca="1" si="43"/>
        <v>0</v>
      </c>
      <c r="J107" s="196">
        <f t="shared" ca="1" si="43"/>
        <v>0</v>
      </c>
      <c r="K107" s="196">
        <f t="shared" ca="1" si="43"/>
        <v>0</v>
      </c>
      <c r="L107" s="196">
        <f t="shared" ca="1" si="43"/>
        <v>0</v>
      </c>
      <c r="M107" s="196">
        <f t="shared" ca="1" si="43"/>
        <v>0</v>
      </c>
      <c r="N107" s="196">
        <f t="shared" ca="1" si="43"/>
        <v>0</v>
      </c>
      <c r="O107" s="196">
        <f t="shared" ca="1" si="43"/>
        <v>0</v>
      </c>
      <c r="P107" s="196">
        <f t="shared" ca="1" si="43"/>
        <v>0</v>
      </c>
      <c r="Q107" s="196">
        <f t="shared" ca="1" si="43"/>
        <v>0</v>
      </c>
      <c r="R107" s="196">
        <f t="shared" ca="1" si="43"/>
        <v>0</v>
      </c>
      <c r="S107" s="196">
        <f t="shared" ca="1" si="43"/>
        <v>0</v>
      </c>
      <c r="T107" s="196">
        <f t="shared" ca="1" si="43"/>
        <v>0</v>
      </c>
      <c r="U107" s="196">
        <f t="shared" ca="1" si="43"/>
        <v>0</v>
      </c>
      <c r="V107" s="196">
        <f t="shared" ca="1" si="43"/>
        <v>0</v>
      </c>
    </row>
    <row r="108" spans="1:22" x14ac:dyDescent="0.35">
      <c r="B108"/>
    </row>
    <row r="109" spans="1:22" x14ac:dyDescent="0.35">
      <c r="B109"/>
      <c r="C109" s="62" t="s">
        <v>261</v>
      </c>
    </row>
    <row r="110" spans="1:22" x14ac:dyDescent="0.35">
      <c r="A110" s="197">
        <v>44927</v>
      </c>
      <c r="B110"/>
      <c r="C110" s="198">
        <f ca="1">C90*OFFSET(MRB!$C$21,MATCH(YEAR($A110),MRB!$B$21:$B$38,0)-1,MATCH(C$7,MRB!$C$2:$E$2,0)-1)*OFFSET(MRB!$F$21,MATCH(YEAR($A110),MRB!$B$21:$B$38,0)-1,MATCH(C$29,MRB!$F$2:$T$2,1))</f>
        <v>0</v>
      </c>
      <c r="D110" s="198">
        <f ca="1">D90*OFFSET(MRB!$C$21,MATCH(YEAR($A110),MRB!$B$21:$B$38,0)-1,MATCH(D$7,MRB!$C$2:$E$2,0)-1)*OFFSET(MRB!$F$21,MATCH(YEAR($A110),MRB!$B$21:$B$38,0)-1,MATCH(D$29,MRB!$F$2:$T$2,1))</f>
        <v>0</v>
      </c>
      <c r="E110" s="198">
        <f ca="1">E90*OFFSET(MRB!$C$21,MATCH(YEAR($A110),MRB!$B$21:$B$38,0)-1,MATCH(E$7,MRB!$C$2:$E$2,0)-1)*OFFSET(MRB!$F$21,MATCH(YEAR($A110),MRB!$B$21:$B$38,0)-1,MATCH(E$29,MRB!$F$2:$T$2,1))</f>
        <v>0</v>
      </c>
      <c r="F110" s="198">
        <f ca="1">F90*OFFSET(MRB!$C$21,MATCH(YEAR($A110),MRB!$B$21:$B$38,0)-1,MATCH(F$7,MRB!$C$2:$E$2,0)-1)*OFFSET(MRB!$F$21,MATCH(YEAR($A110),MRB!$B$21:$B$38,0)-1,MATCH(F$29,MRB!$F$2:$T$2,1))</f>
        <v>0</v>
      </c>
      <c r="G110" s="198">
        <f ca="1">G90*OFFSET(MRB!$C$21,MATCH(YEAR($A110),MRB!$B$21:$B$38,0)-1,MATCH(G$7,MRB!$C$2:$E$2,0)-1)*OFFSET(MRB!$F$21,MATCH(YEAR($A110),MRB!$B$21:$B$38,0)-1,MATCH(G$29,MRB!$F$2:$T$2,1))</f>
        <v>0</v>
      </c>
      <c r="H110" s="198" t="e">
        <f ca="1">H90*OFFSET(MRB!$C$21,MATCH(YEAR($A110),MRB!$B$21:$B$38,0)-1,MATCH(H$7,MRB!$C$2:$E$2,0)-1)*OFFSET(MRB!$F$21,MATCH(YEAR($A110),MRB!$B$21:$B$38,0)-1,MATCH(H$29,MRB!$F$2:$T$2,1))</f>
        <v>#N/A</v>
      </c>
      <c r="I110" s="198">
        <f ca="1">I90*OFFSET(MRB!$C$21,MATCH(YEAR($A110),MRB!$B$21:$B$38,0)-1,MATCH(I$7,MRB!$C$2:$E$2,0)-1)*OFFSET(MRB!$F$21,MATCH(YEAR($A110),MRB!$B$21:$B$38,0)-1,MATCH(I$29,MRB!$F$2:$T$2,1))</f>
        <v>0</v>
      </c>
      <c r="J110" s="198">
        <f ca="1">J90*OFFSET(MRB!$C$21,MATCH(YEAR($A110),MRB!$B$21:$B$38,0)-1,MATCH(J$7,MRB!$C$2:$E$2,0)-1)*OFFSET(MRB!$F$21,MATCH(YEAR($A110),MRB!$B$21:$B$38,0)-1,MATCH(J$29,MRB!$F$2:$T$2,1))</f>
        <v>0</v>
      </c>
      <c r="K110" s="198">
        <f ca="1">K90*OFFSET(MRB!$C$21,MATCH(YEAR($A110),MRB!$B$21:$B$38,0)-1,MATCH(K$7,MRB!$C$2:$E$2,0)-1)*OFFSET(MRB!$F$21,MATCH(YEAR($A110),MRB!$B$21:$B$38,0)-1,MATCH(K$29,MRB!$F$2:$T$2,1))</f>
        <v>0</v>
      </c>
      <c r="L110" s="198">
        <f ca="1">L90*OFFSET(MRB!$C$21,MATCH(YEAR($A110),MRB!$B$21:$B$38,0)-1,MATCH(L$7,MRB!$C$2:$E$2,0)-1)*OFFSET(MRB!$F$21,MATCH(YEAR($A110),MRB!$B$21:$B$38,0)-1,MATCH(L$29,MRB!$F$2:$T$2,1))</f>
        <v>0</v>
      </c>
      <c r="M110" s="198">
        <f ca="1">M90*OFFSET(MRB!$C$21,MATCH(YEAR($A110),MRB!$B$21:$B$38,0)-1,MATCH(M$7,MRB!$C$2:$E$2,0)-1)*OFFSET(MRB!$F$21,MATCH(YEAR($A110),MRB!$B$21:$B$38,0)-1,MATCH(M$29,MRB!$F$2:$T$2,1))</f>
        <v>0</v>
      </c>
      <c r="N110" s="198">
        <f ca="1">N90*OFFSET(MRB!$C$21,MATCH(YEAR($A110),MRB!$B$21:$B$38,0)-1,MATCH(N$7,MRB!$C$2:$E$2,0)-1)*OFFSET(MRB!$F$21,MATCH(YEAR($A110),MRB!$B$21:$B$38,0)-1,MATCH(N$29,MRB!$F$2:$T$2,1))</f>
        <v>0</v>
      </c>
      <c r="O110" s="198">
        <f ca="1">O90*OFFSET(MRB!$C$21,MATCH(YEAR($A110),MRB!$B$21:$B$38,0)-1,MATCH(O$7,MRB!$C$2:$E$2,0)-1)*OFFSET(MRB!$F$21,MATCH(YEAR($A110),MRB!$B$21:$B$38,0)-1,MATCH(O$29,MRB!$F$2:$T$2,1))</f>
        <v>0</v>
      </c>
      <c r="P110" s="198">
        <f ca="1">P90*OFFSET(MRB!$C$21,MATCH(YEAR($A110),MRB!$B$21:$B$38,0)-1,MATCH(P$7,MRB!$C$2:$E$2,0)-1)*OFFSET(MRB!$F$21,MATCH(YEAR($A110),MRB!$B$21:$B$38,0)-1,MATCH(P$29,MRB!$F$2:$T$2,1))</f>
        <v>0</v>
      </c>
      <c r="Q110" s="198">
        <f ca="1">Q90*OFFSET(MRB!$C$21,MATCH(YEAR($A110),MRB!$B$21:$B$38,0)-1,MATCH(Q$7,MRB!$C$2:$E$2,0)-1)*OFFSET(MRB!$F$21,MATCH(YEAR($A110),MRB!$B$21:$B$38,0)-1,MATCH(Q$29,MRB!$F$2:$T$2,1))</f>
        <v>0</v>
      </c>
      <c r="R110" s="198">
        <f ca="1">R90*OFFSET(MRB!$C$21,MATCH(YEAR($A110),MRB!$B$21:$B$38,0)-1,MATCH(R$7,MRB!$C$2:$E$2,0)-1)*OFFSET(MRB!$F$21,MATCH(YEAR($A110),MRB!$B$21:$B$38,0)-1,MATCH(R$29,MRB!$F$2:$T$2,1))</f>
        <v>0</v>
      </c>
      <c r="S110" s="198">
        <f ca="1">S90*OFFSET(MRB!$C$21,MATCH(YEAR($A110),MRB!$B$21:$B$38,0)-1,MATCH(S$7,MRB!$C$2:$E$2,0)-1)*OFFSET(MRB!$F$21,MATCH(YEAR($A110),MRB!$B$21:$B$38,0)-1,MATCH(S$29,MRB!$F$2:$T$2,1))</f>
        <v>0</v>
      </c>
      <c r="T110" s="198">
        <f ca="1">T90*OFFSET(MRB!$C$21,MATCH(YEAR($A110),MRB!$B$21:$B$38,0)-1,MATCH(T$7,MRB!$C$2:$E$2,0)-1)*OFFSET(MRB!$F$21,MATCH(YEAR($A110),MRB!$B$21:$B$38,0)-1,MATCH(T$29,MRB!$F$2:$T$2,1))</f>
        <v>0</v>
      </c>
      <c r="U110" s="198">
        <f ca="1">U90*OFFSET(MRB!$C$21,MATCH(YEAR($A110),MRB!$B$21:$B$38,0)-1,MATCH(U$7,MRB!$C$2:$E$2,0)-1)*OFFSET(MRB!$F$21,MATCH(YEAR($A110),MRB!$B$21:$B$38,0)-1,MATCH(U$29,MRB!$F$2:$T$2,1))</f>
        <v>0</v>
      </c>
      <c r="V110" s="198">
        <f ca="1">V90*OFFSET(MRB!$C$21,MATCH(YEAR($A110),MRB!$B$21:$B$38,0)-1,MATCH(V$7,MRB!$C$2:$E$2,0)-1)*OFFSET(MRB!$F$21,MATCH(YEAR($A110),MRB!$B$21:$B$38,0)-1,MATCH(V$29,MRB!$F$2:$T$2,1))</f>
        <v>0</v>
      </c>
    </row>
    <row r="111" spans="1:22" x14ac:dyDescent="0.35">
      <c r="A111" s="197">
        <v>45292</v>
      </c>
      <c r="B111"/>
      <c r="C111" s="198">
        <f ca="1">C91*OFFSET(MRB!$C$21,MATCH(YEAR($A111),MRB!$B$21:$B$38,0)-1,MATCH(C$7,MRB!$C$2:$E$2,0)-1)*OFFSET(MRB!$F$21,MATCH(YEAR($A111),MRB!$B$21:$B$38,0)-1,MATCH(C$29,MRB!$F$2:$T$2,1))</f>
        <v>0</v>
      </c>
      <c r="D111" s="198">
        <f ca="1">D91*OFFSET(MRB!$C$21,MATCH(YEAR($A111),MRB!$B$21:$B$38,0)-1,MATCH(D$7,MRB!$C$2:$E$2,0)-1)*OFFSET(MRB!$F$21,MATCH(YEAR($A111),MRB!$B$21:$B$38,0)-1,MATCH(D$29,MRB!$F$2:$T$2,1))</f>
        <v>0</v>
      </c>
      <c r="E111" s="198">
        <f ca="1">E91*OFFSET(MRB!$C$21,MATCH(YEAR($A111),MRB!$B$21:$B$38,0)-1,MATCH(E$7,MRB!$C$2:$E$2,0)-1)*OFFSET(MRB!$F$21,MATCH(YEAR($A111),MRB!$B$21:$B$38,0)-1,MATCH(E$29,MRB!$F$2:$T$2,1))</f>
        <v>0</v>
      </c>
      <c r="F111" s="198">
        <f ca="1">F91*OFFSET(MRB!$C$21,MATCH(YEAR($A111),MRB!$B$21:$B$38,0)-1,MATCH(F$7,MRB!$C$2:$E$2,0)-1)*OFFSET(MRB!$F$21,MATCH(YEAR($A111),MRB!$B$21:$B$38,0)-1,MATCH(F$29,MRB!$F$2:$T$2,1))</f>
        <v>0</v>
      </c>
      <c r="G111" s="198">
        <f ca="1">G91*OFFSET(MRB!$C$21,MATCH(YEAR($A111),MRB!$B$21:$B$38,0)-1,MATCH(G$7,MRB!$C$2:$E$2,0)-1)*OFFSET(MRB!$F$21,MATCH(YEAR($A111),MRB!$B$21:$B$38,0)-1,MATCH(G$29,MRB!$F$2:$T$2,1))</f>
        <v>40.799999999999997</v>
      </c>
      <c r="H111" s="198" t="e">
        <f ca="1">H91*OFFSET(MRB!$C$21,MATCH(YEAR($A111),MRB!$B$21:$B$38,0)-1,MATCH(H$7,MRB!$C$2:$E$2,0)-1)*OFFSET(MRB!$F$21,MATCH(YEAR($A111),MRB!$B$21:$B$38,0)-1,MATCH(H$29,MRB!$F$2:$T$2,1))</f>
        <v>#N/A</v>
      </c>
      <c r="I111" s="198">
        <f ca="1">I91*OFFSET(MRB!$C$21,MATCH(YEAR($A111),MRB!$B$21:$B$38,0)-1,MATCH(I$7,MRB!$C$2:$E$2,0)-1)*OFFSET(MRB!$F$21,MATCH(YEAR($A111),MRB!$B$21:$B$38,0)-1,MATCH(I$29,MRB!$F$2:$T$2,1))</f>
        <v>68.745205479452039</v>
      </c>
      <c r="J111" s="198">
        <f ca="1">J91*OFFSET(MRB!$C$21,MATCH(YEAR($A111),MRB!$B$21:$B$38,0)-1,MATCH(J$7,MRB!$C$2:$E$2,0)-1)*OFFSET(MRB!$F$21,MATCH(YEAR($A111),MRB!$B$21:$B$38,0)-1,MATCH(J$29,MRB!$F$2:$T$2,1))</f>
        <v>100.04383561643834</v>
      </c>
      <c r="K111" s="198">
        <f ca="1">K91*OFFSET(MRB!$C$21,MATCH(YEAR($A111),MRB!$B$21:$B$38,0)-1,MATCH(K$7,MRB!$C$2:$E$2,0)-1)*OFFSET(MRB!$F$21,MATCH(YEAR($A111),MRB!$B$21:$B$38,0)-1,MATCH(K$29,MRB!$F$2:$T$2,1))</f>
        <v>68.745205479452039</v>
      </c>
      <c r="L111" s="198">
        <f ca="1">L91*OFFSET(MRB!$C$21,MATCH(YEAR($A111),MRB!$B$21:$B$38,0)-1,MATCH(L$7,MRB!$C$2:$E$2,0)-1)*OFFSET(MRB!$F$21,MATCH(YEAR($A111),MRB!$B$21:$B$38,0)-1,MATCH(L$29,MRB!$F$2:$T$2,1))</f>
        <v>84.394520547945191</v>
      </c>
      <c r="M111" s="198">
        <f ca="1">M91*OFFSET(MRB!$C$21,MATCH(YEAR($A111),MRB!$B$21:$B$38,0)-1,MATCH(M$7,MRB!$C$2:$E$2,0)-1)*OFFSET(MRB!$F$21,MATCH(YEAR($A111),MRB!$B$21:$B$38,0)-1,MATCH(M$29,MRB!$F$2:$T$2,1))</f>
        <v>73.775342465753411</v>
      </c>
      <c r="N111" s="198">
        <f ca="1">N91*OFFSET(MRB!$C$21,MATCH(YEAR($A111),MRB!$B$21:$B$38,0)-1,MATCH(N$7,MRB!$C$2:$E$2,0)-1)*OFFSET(MRB!$F$21,MATCH(YEAR($A111),MRB!$B$21:$B$38,0)-1,MATCH(N$29,MRB!$F$2:$T$2,1))</f>
        <v>0</v>
      </c>
      <c r="O111" s="198">
        <f ca="1">O91*OFFSET(MRB!$C$21,MATCH(YEAR($A111),MRB!$B$21:$B$38,0)-1,MATCH(O$7,MRB!$C$2:$E$2,0)-1)*OFFSET(MRB!$F$21,MATCH(YEAR($A111),MRB!$B$21:$B$38,0)-1,MATCH(O$29,MRB!$F$2:$T$2,1))</f>
        <v>0</v>
      </c>
      <c r="P111" s="198">
        <f ca="1">P91*OFFSET(MRB!$C$21,MATCH(YEAR($A111),MRB!$B$21:$B$38,0)-1,MATCH(P$7,MRB!$C$2:$E$2,0)-1)*OFFSET(MRB!$F$21,MATCH(YEAR($A111),MRB!$B$21:$B$38,0)-1,MATCH(P$29,MRB!$F$2:$T$2,1))</f>
        <v>0</v>
      </c>
      <c r="Q111" s="198">
        <f ca="1">Q91*OFFSET(MRB!$C$21,MATCH(YEAR($A111),MRB!$B$21:$B$38,0)-1,MATCH(Q$7,MRB!$C$2:$E$2,0)-1)*OFFSET(MRB!$F$21,MATCH(YEAR($A111),MRB!$B$21:$B$38,0)-1,MATCH(Q$29,MRB!$F$2:$T$2,1))</f>
        <v>0</v>
      </c>
      <c r="R111" s="198">
        <f ca="1">R91*OFFSET(MRB!$C$21,MATCH(YEAR($A111),MRB!$B$21:$B$38,0)-1,MATCH(R$7,MRB!$C$2:$E$2,0)-1)*OFFSET(MRB!$F$21,MATCH(YEAR($A111),MRB!$B$21:$B$38,0)-1,MATCH(R$29,MRB!$F$2:$T$2,1))</f>
        <v>0</v>
      </c>
      <c r="S111" s="198">
        <f ca="1">S91*OFFSET(MRB!$C$21,MATCH(YEAR($A111),MRB!$B$21:$B$38,0)-1,MATCH(S$7,MRB!$C$2:$E$2,0)-1)*OFFSET(MRB!$F$21,MATCH(YEAR($A111),MRB!$B$21:$B$38,0)-1,MATCH(S$29,MRB!$F$2:$T$2,1))</f>
        <v>0</v>
      </c>
      <c r="T111" s="198">
        <f ca="1">T91*OFFSET(MRB!$C$21,MATCH(YEAR($A111),MRB!$B$21:$B$38,0)-1,MATCH(T$7,MRB!$C$2:$E$2,0)-1)*OFFSET(MRB!$F$21,MATCH(YEAR($A111),MRB!$B$21:$B$38,0)-1,MATCH(T$29,MRB!$F$2:$T$2,1))</f>
        <v>0</v>
      </c>
      <c r="U111" s="198">
        <f ca="1">U91*OFFSET(MRB!$C$21,MATCH(YEAR($A111),MRB!$B$21:$B$38,0)-1,MATCH(U$7,MRB!$C$2:$E$2,0)-1)*OFFSET(MRB!$F$21,MATCH(YEAR($A111),MRB!$B$21:$B$38,0)-1,MATCH(U$29,MRB!$F$2:$T$2,1))</f>
        <v>0</v>
      </c>
      <c r="V111" s="198">
        <f ca="1">V91*OFFSET(MRB!$C$21,MATCH(YEAR($A111),MRB!$B$21:$B$38,0)-1,MATCH(V$7,MRB!$C$2:$E$2,0)-1)*OFFSET(MRB!$F$21,MATCH(YEAR($A111),MRB!$B$21:$B$38,0)-1,MATCH(V$29,MRB!$F$2:$T$2,1))</f>
        <v>0</v>
      </c>
    </row>
    <row r="112" spans="1:22" x14ac:dyDescent="0.35">
      <c r="A112" s="197">
        <v>45658</v>
      </c>
      <c r="B112"/>
      <c r="C112" s="198">
        <f ca="1">C92*OFFSET(MRB!$C$21,MATCH(YEAR($A112),MRB!$B$21:$B$38,0)-1,MATCH(C$7,MRB!$C$2:$E$2,0)-1)*OFFSET(MRB!$F$21,MATCH(YEAR($A112),MRB!$B$21:$B$38,0)-1,MATCH(C$29,MRB!$F$2:$T$2,1))</f>
        <v>98.8</v>
      </c>
      <c r="D112" s="198">
        <f ca="1">D92*OFFSET(MRB!$C$21,MATCH(YEAR($A112),MRB!$B$21:$B$38,0)-1,MATCH(D$7,MRB!$C$2:$E$2,0)-1)*OFFSET(MRB!$F$21,MATCH(YEAR($A112),MRB!$B$21:$B$38,0)-1,MATCH(D$29,MRB!$F$2:$T$2,1))</f>
        <v>98.8</v>
      </c>
      <c r="E112" s="198">
        <f ca="1">E92*OFFSET(MRB!$C$21,MATCH(YEAR($A112),MRB!$B$21:$B$38,0)-1,MATCH(E$7,MRB!$C$2:$E$2,0)-1)*OFFSET(MRB!$F$21,MATCH(YEAR($A112),MRB!$B$21:$B$38,0)-1,MATCH(E$29,MRB!$F$2:$T$2,1))</f>
        <v>98.8</v>
      </c>
      <c r="F112" s="198">
        <f ca="1">F92*OFFSET(MRB!$C$21,MATCH(YEAR($A112),MRB!$B$21:$B$38,0)-1,MATCH(F$7,MRB!$C$2:$E$2,0)-1)*OFFSET(MRB!$F$21,MATCH(YEAR($A112),MRB!$B$21:$B$38,0)-1,MATCH(F$29,MRB!$F$2:$T$2,1))</f>
        <v>98.8</v>
      </c>
      <c r="G112" s="198">
        <f ca="1">G92*OFFSET(MRB!$C$21,MATCH(YEAR($A112),MRB!$B$21:$B$38,0)-1,MATCH(G$7,MRB!$C$2:$E$2,0)-1)*OFFSET(MRB!$F$21,MATCH(YEAR($A112),MRB!$B$21:$B$38,0)-1,MATCH(G$29,MRB!$F$2:$T$2,1))</f>
        <v>303.68</v>
      </c>
      <c r="H112" s="198" t="e">
        <f ca="1">H92*OFFSET(MRB!$C$21,MATCH(YEAR($A112),MRB!$B$21:$B$38,0)-1,MATCH(H$7,MRB!$C$2:$E$2,0)-1)*OFFSET(MRB!$F$21,MATCH(YEAR($A112),MRB!$B$21:$B$38,0)-1,MATCH(H$29,MRB!$F$2:$T$2,1))</f>
        <v>#N/A</v>
      </c>
      <c r="I112" s="198">
        <f ca="1">I92*OFFSET(MRB!$C$21,MATCH(YEAR($A112),MRB!$B$21:$B$38,0)-1,MATCH(I$7,MRB!$C$2:$E$2,0)-1)*OFFSET(MRB!$F$21,MATCH(YEAR($A112),MRB!$B$21:$B$38,0)-1,MATCH(I$29,MRB!$F$2:$T$2,1))</f>
        <v>511.68</v>
      </c>
      <c r="J112" s="198">
        <f ca="1">J92*OFFSET(MRB!$C$21,MATCH(YEAR($A112),MRB!$B$21:$B$38,0)-1,MATCH(J$7,MRB!$C$2:$E$2,0)-1)*OFFSET(MRB!$F$21,MATCH(YEAR($A112),MRB!$B$21:$B$38,0)-1,MATCH(J$29,MRB!$F$2:$T$2,1))</f>
        <v>744.64</v>
      </c>
      <c r="K112" s="198">
        <f ca="1">K92*OFFSET(MRB!$C$21,MATCH(YEAR($A112),MRB!$B$21:$B$38,0)-1,MATCH(K$7,MRB!$C$2:$E$2,0)-1)*OFFSET(MRB!$F$21,MATCH(YEAR($A112),MRB!$B$21:$B$38,0)-1,MATCH(K$29,MRB!$F$2:$T$2,1))</f>
        <v>511.68</v>
      </c>
      <c r="L112" s="198">
        <f ca="1">L92*OFFSET(MRB!$C$21,MATCH(YEAR($A112),MRB!$B$21:$B$38,0)-1,MATCH(L$7,MRB!$C$2:$E$2,0)-1)*OFFSET(MRB!$F$21,MATCH(YEAR($A112),MRB!$B$21:$B$38,0)-1,MATCH(L$29,MRB!$F$2:$T$2,1))</f>
        <v>628.16</v>
      </c>
      <c r="M112" s="198">
        <f ca="1">M92*OFFSET(MRB!$C$21,MATCH(YEAR($A112),MRB!$B$21:$B$38,0)-1,MATCH(M$7,MRB!$C$2:$E$2,0)-1)*OFFSET(MRB!$F$21,MATCH(YEAR($A112),MRB!$B$21:$B$38,0)-1,MATCH(M$29,MRB!$F$2:$T$2,1))</f>
        <v>823.68000000000006</v>
      </c>
      <c r="N112" s="198">
        <f ca="1">N92*OFFSET(MRB!$C$21,MATCH(YEAR($A112),MRB!$B$21:$B$38,0)-1,MATCH(N$7,MRB!$C$2:$E$2,0)-1)*OFFSET(MRB!$F$21,MATCH(YEAR($A112),MRB!$B$21:$B$38,0)-1,MATCH(N$29,MRB!$F$2:$T$2,1))</f>
        <v>215.28</v>
      </c>
      <c r="O112" s="198">
        <f ca="1">O92*OFFSET(MRB!$C$21,MATCH(YEAR($A112),MRB!$B$21:$B$38,0)-1,MATCH(O$7,MRB!$C$2:$E$2,0)-1)*OFFSET(MRB!$F$21,MATCH(YEAR($A112),MRB!$B$21:$B$38,0)-1,MATCH(O$29,MRB!$F$2:$T$2,1))</f>
        <v>215.28</v>
      </c>
      <c r="P112" s="198">
        <f ca="1">P92*OFFSET(MRB!$C$21,MATCH(YEAR($A112),MRB!$B$21:$B$38,0)-1,MATCH(P$7,MRB!$C$2:$E$2,0)-1)*OFFSET(MRB!$F$21,MATCH(YEAR($A112),MRB!$B$21:$B$38,0)-1,MATCH(P$29,MRB!$F$2:$T$2,1))</f>
        <v>215.28</v>
      </c>
      <c r="Q112" s="198">
        <f ca="1">Q92*OFFSET(MRB!$C$21,MATCH(YEAR($A112),MRB!$B$21:$B$38,0)-1,MATCH(Q$7,MRB!$C$2:$E$2,0)-1)*OFFSET(MRB!$F$21,MATCH(YEAR($A112),MRB!$B$21:$B$38,0)-1,MATCH(Q$29,MRB!$F$2:$T$2,1))</f>
        <v>215.28</v>
      </c>
      <c r="R112" s="198">
        <f ca="1">R92*OFFSET(MRB!$C$21,MATCH(YEAR($A112),MRB!$B$21:$B$38,0)-1,MATCH(R$7,MRB!$C$2:$E$2,0)-1)*OFFSET(MRB!$F$21,MATCH(YEAR($A112),MRB!$B$21:$B$38,0)-1,MATCH(R$29,MRB!$F$2:$T$2,1))</f>
        <v>215.28</v>
      </c>
      <c r="S112" s="198">
        <f ca="1">S92*OFFSET(MRB!$C$21,MATCH(YEAR($A112),MRB!$B$21:$B$38,0)-1,MATCH(S$7,MRB!$C$2:$E$2,0)-1)*OFFSET(MRB!$F$21,MATCH(YEAR($A112),MRB!$B$21:$B$38,0)-1,MATCH(S$29,MRB!$F$2:$T$2,1))</f>
        <v>332.8</v>
      </c>
      <c r="T112" s="198">
        <f ca="1">T92*OFFSET(MRB!$C$21,MATCH(YEAR($A112),MRB!$B$21:$B$38,0)-1,MATCH(T$7,MRB!$C$2:$E$2,0)-1)*OFFSET(MRB!$F$21,MATCH(YEAR($A112),MRB!$B$21:$B$38,0)-1,MATCH(T$29,MRB!$F$2:$T$2,1))</f>
        <v>332.8</v>
      </c>
      <c r="U112" s="198">
        <f ca="1">U92*OFFSET(MRB!$C$21,MATCH(YEAR($A112),MRB!$B$21:$B$38,0)-1,MATCH(U$7,MRB!$C$2:$E$2,0)-1)*OFFSET(MRB!$F$21,MATCH(YEAR($A112),MRB!$B$21:$B$38,0)-1,MATCH(U$29,MRB!$F$2:$T$2,1))</f>
        <v>361.92</v>
      </c>
      <c r="V112" s="198">
        <f ca="1">V92*OFFSET(MRB!$C$21,MATCH(YEAR($A112),MRB!$B$21:$B$38,0)-1,MATCH(V$7,MRB!$C$2:$E$2,0)-1)*OFFSET(MRB!$F$21,MATCH(YEAR($A112),MRB!$B$21:$B$38,0)-1,MATCH(V$29,MRB!$F$2:$T$2,1))</f>
        <v>391.04</v>
      </c>
    </row>
    <row r="113" spans="1:22" x14ac:dyDescent="0.35">
      <c r="A113" s="197">
        <v>46023</v>
      </c>
      <c r="B113"/>
      <c r="C113" s="198">
        <f ca="1">C93*OFFSET(MRB!$C$21,MATCH(YEAR($A113),MRB!$B$21:$B$38,0)-1,MATCH(C$7,MRB!$C$2:$E$2,0)-1)*OFFSET(MRB!$F$21,MATCH(YEAR($A113),MRB!$B$21:$B$38,0)-1,MATCH(C$29,MRB!$F$2:$T$2,1))</f>
        <v>308.25599999999997</v>
      </c>
      <c r="D113" s="198">
        <f ca="1">D93*OFFSET(MRB!$C$21,MATCH(YEAR($A113),MRB!$B$21:$B$38,0)-1,MATCH(D$7,MRB!$C$2:$E$2,0)-1)*OFFSET(MRB!$F$21,MATCH(YEAR($A113),MRB!$B$21:$B$38,0)-1,MATCH(D$29,MRB!$F$2:$T$2,1))</f>
        <v>308.25599999999997</v>
      </c>
      <c r="E113" s="198">
        <f ca="1">E93*OFFSET(MRB!$C$21,MATCH(YEAR($A113),MRB!$B$21:$B$38,0)-1,MATCH(E$7,MRB!$C$2:$E$2,0)-1)*OFFSET(MRB!$F$21,MATCH(YEAR($A113),MRB!$B$21:$B$38,0)-1,MATCH(E$29,MRB!$F$2:$T$2,1))</f>
        <v>308.25599999999997</v>
      </c>
      <c r="F113" s="198">
        <f ca="1">F93*OFFSET(MRB!$C$21,MATCH(YEAR($A113),MRB!$B$21:$B$38,0)-1,MATCH(F$7,MRB!$C$2:$E$2,0)-1)*OFFSET(MRB!$F$21,MATCH(YEAR($A113),MRB!$B$21:$B$38,0)-1,MATCH(F$29,MRB!$F$2:$T$2,1))</f>
        <v>308.25599999999997</v>
      </c>
      <c r="G113" s="198">
        <f ca="1">G93*OFFSET(MRB!$C$21,MATCH(YEAR($A113),MRB!$B$21:$B$38,0)-1,MATCH(G$7,MRB!$C$2:$E$2,0)-1)*OFFSET(MRB!$F$21,MATCH(YEAR($A113),MRB!$B$21:$B$38,0)-1,MATCH(G$29,MRB!$F$2:$T$2,1))</f>
        <v>315.8272</v>
      </c>
      <c r="H113" s="198" t="e">
        <f ca="1">H93*OFFSET(MRB!$C$21,MATCH(YEAR($A113),MRB!$B$21:$B$38,0)-1,MATCH(H$7,MRB!$C$2:$E$2,0)-1)*OFFSET(MRB!$F$21,MATCH(YEAR($A113),MRB!$B$21:$B$38,0)-1,MATCH(H$29,MRB!$F$2:$T$2,1))</f>
        <v>#N/A</v>
      </c>
      <c r="I113" s="198">
        <f ca="1">I93*OFFSET(MRB!$C$21,MATCH(YEAR($A113),MRB!$B$21:$B$38,0)-1,MATCH(I$7,MRB!$C$2:$E$2,0)-1)*OFFSET(MRB!$F$21,MATCH(YEAR($A113),MRB!$B$21:$B$38,0)-1,MATCH(I$29,MRB!$F$2:$T$2,1))</f>
        <v>532.1472</v>
      </c>
      <c r="J113" s="198">
        <f ca="1">J93*OFFSET(MRB!$C$21,MATCH(YEAR($A113),MRB!$B$21:$B$38,0)-1,MATCH(J$7,MRB!$C$2:$E$2,0)-1)*OFFSET(MRB!$F$21,MATCH(YEAR($A113),MRB!$B$21:$B$38,0)-1,MATCH(J$29,MRB!$F$2:$T$2,1))</f>
        <v>774.42560000000003</v>
      </c>
      <c r="K113" s="198">
        <f ca="1">K93*OFFSET(MRB!$C$21,MATCH(YEAR($A113),MRB!$B$21:$B$38,0)-1,MATCH(K$7,MRB!$C$2:$E$2,0)-1)*OFFSET(MRB!$F$21,MATCH(YEAR($A113),MRB!$B$21:$B$38,0)-1,MATCH(K$29,MRB!$F$2:$T$2,1))</f>
        <v>532.1472</v>
      </c>
      <c r="L113" s="198">
        <f ca="1">L93*OFFSET(MRB!$C$21,MATCH(YEAR($A113),MRB!$B$21:$B$38,0)-1,MATCH(L$7,MRB!$C$2:$E$2,0)-1)*OFFSET(MRB!$F$21,MATCH(YEAR($A113),MRB!$B$21:$B$38,0)-1,MATCH(L$29,MRB!$F$2:$T$2,1))</f>
        <v>653.28639999999996</v>
      </c>
      <c r="M113" s="198">
        <f ca="1">M93*OFFSET(MRB!$C$21,MATCH(YEAR($A113),MRB!$B$21:$B$38,0)-1,MATCH(M$7,MRB!$C$2:$E$2,0)-1)*OFFSET(MRB!$F$21,MATCH(YEAR($A113),MRB!$B$21:$B$38,0)-1,MATCH(M$29,MRB!$F$2:$T$2,1))</f>
        <v>1142.1695999999999</v>
      </c>
      <c r="N113" s="198">
        <f ca="1">N93*OFFSET(MRB!$C$21,MATCH(YEAR($A113),MRB!$B$21:$B$38,0)-1,MATCH(N$7,MRB!$C$2:$E$2,0)-1)*OFFSET(MRB!$F$21,MATCH(YEAR($A113),MRB!$B$21:$B$38,0)-1,MATCH(N$29,MRB!$F$2:$T$2,1))</f>
        <v>671.67359999999996</v>
      </c>
      <c r="O113" s="198">
        <f ca="1">O93*OFFSET(MRB!$C$21,MATCH(YEAR($A113),MRB!$B$21:$B$38,0)-1,MATCH(O$7,MRB!$C$2:$E$2,0)-1)*OFFSET(MRB!$F$21,MATCH(YEAR($A113),MRB!$B$21:$B$38,0)-1,MATCH(O$29,MRB!$F$2:$T$2,1))</f>
        <v>671.67359999999996</v>
      </c>
      <c r="P113" s="198">
        <f ca="1">P93*OFFSET(MRB!$C$21,MATCH(YEAR($A113),MRB!$B$21:$B$38,0)-1,MATCH(P$7,MRB!$C$2:$E$2,0)-1)*OFFSET(MRB!$F$21,MATCH(YEAR($A113),MRB!$B$21:$B$38,0)-1,MATCH(P$29,MRB!$F$2:$T$2,1))</f>
        <v>671.67359999999996</v>
      </c>
      <c r="Q113" s="198">
        <f ca="1">Q93*OFFSET(MRB!$C$21,MATCH(YEAR($A113),MRB!$B$21:$B$38,0)-1,MATCH(Q$7,MRB!$C$2:$E$2,0)-1)*OFFSET(MRB!$F$21,MATCH(YEAR($A113),MRB!$B$21:$B$38,0)-1,MATCH(Q$29,MRB!$F$2:$T$2,1))</f>
        <v>671.67359999999996</v>
      </c>
      <c r="R113" s="198">
        <f ca="1">R93*OFFSET(MRB!$C$21,MATCH(YEAR($A113),MRB!$B$21:$B$38,0)-1,MATCH(R$7,MRB!$C$2:$E$2,0)-1)*OFFSET(MRB!$F$21,MATCH(YEAR($A113),MRB!$B$21:$B$38,0)-1,MATCH(R$29,MRB!$F$2:$T$2,1))</f>
        <v>671.67359999999996</v>
      </c>
      <c r="S113" s="198">
        <f ca="1">S93*OFFSET(MRB!$C$21,MATCH(YEAR($A113),MRB!$B$21:$B$38,0)-1,MATCH(S$7,MRB!$C$2:$E$2,0)-1)*OFFSET(MRB!$F$21,MATCH(YEAR($A113),MRB!$B$21:$B$38,0)-1,MATCH(S$29,MRB!$F$2:$T$2,1))</f>
        <v>1038.336</v>
      </c>
      <c r="T113" s="198">
        <f ca="1">T93*OFFSET(MRB!$C$21,MATCH(YEAR($A113),MRB!$B$21:$B$38,0)-1,MATCH(T$7,MRB!$C$2:$E$2,0)-1)*OFFSET(MRB!$F$21,MATCH(YEAR($A113),MRB!$B$21:$B$38,0)-1,MATCH(T$29,MRB!$F$2:$T$2,1))</f>
        <v>1038.336</v>
      </c>
      <c r="U113" s="198">
        <f ca="1">U93*OFFSET(MRB!$C$21,MATCH(YEAR($A113),MRB!$B$21:$B$38,0)-1,MATCH(U$7,MRB!$C$2:$E$2,0)-1)*OFFSET(MRB!$F$21,MATCH(YEAR($A113),MRB!$B$21:$B$38,0)-1,MATCH(U$29,MRB!$F$2:$T$2,1))</f>
        <v>1129.1904000000002</v>
      </c>
      <c r="V113" s="198">
        <f ca="1">V93*OFFSET(MRB!$C$21,MATCH(YEAR($A113),MRB!$B$21:$B$38,0)-1,MATCH(V$7,MRB!$C$2:$E$2,0)-1)*OFFSET(MRB!$F$21,MATCH(YEAR($A113),MRB!$B$21:$B$38,0)-1,MATCH(V$29,MRB!$F$2:$T$2,1))</f>
        <v>1220.0448000000001</v>
      </c>
    </row>
    <row r="114" spans="1:22" x14ac:dyDescent="0.35">
      <c r="A114" s="197">
        <v>46388</v>
      </c>
      <c r="B114"/>
      <c r="C114" s="198">
        <f ca="1">C94*OFFSET(MRB!$C$21,MATCH(YEAR($A114),MRB!$B$21:$B$38,0)-1,MATCH(C$7,MRB!$C$2:$E$2,0)-1)*OFFSET(MRB!$F$21,MATCH(YEAR($A114),MRB!$B$21:$B$38,0)-1,MATCH(C$29,MRB!$F$2:$T$2,1))</f>
        <v>92.169327752787211</v>
      </c>
      <c r="D114" s="198">
        <f ca="1">D94*OFFSET(MRB!$C$21,MATCH(YEAR($A114),MRB!$B$21:$B$38,0)-1,MATCH(D$7,MRB!$C$2:$E$2,0)-1)*OFFSET(MRB!$F$21,MATCH(YEAR($A114),MRB!$B$21:$B$38,0)-1,MATCH(D$29,MRB!$F$2:$T$2,1))</f>
        <v>320.58623999999998</v>
      </c>
      <c r="E114" s="198">
        <f ca="1">E94*OFFSET(MRB!$C$21,MATCH(YEAR($A114),MRB!$B$21:$B$38,0)-1,MATCH(E$7,MRB!$C$2:$E$2,0)-1)*OFFSET(MRB!$F$21,MATCH(YEAR($A114),MRB!$B$21:$B$38,0)-1,MATCH(E$29,MRB!$F$2:$T$2,1))</f>
        <v>320.58623999999998</v>
      </c>
      <c r="F114" s="198">
        <f ca="1">F94*OFFSET(MRB!$C$21,MATCH(YEAR($A114),MRB!$B$21:$B$38,0)-1,MATCH(F$7,MRB!$C$2:$E$2,0)-1)*OFFSET(MRB!$F$21,MATCH(YEAR($A114),MRB!$B$21:$B$38,0)-1,MATCH(F$29,MRB!$F$2:$T$2,1))</f>
        <v>320.58623999999998</v>
      </c>
      <c r="G114" s="198">
        <f ca="1">G94*OFFSET(MRB!$C$21,MATCH(YEAR($A114),MRB!$B$21:$B$38,0)-1,MATCH(G$7,MRB!$C$2:$E$2,0)-1)*OFFSET(MRB!$F$21,MATCH(YEAR($A114),MRB!$B$21:$B$38,0)-1,MATCH(G$29,MRB!$F$2:$T$2,1))</f>
        <v>328.46028799999999</v>
      </c>
      <c r="H114" s="198" t="e">
        <f ca="1">H94*OFFSET(MRB!$C$21,MATCH(YEAR($A114),MRB!$B$21:$B$38,0)-1,MATCH(H$7,MRB!$C$2:$E$2,0)-1)*OFFSET(MRB!$F$21,MATCH(YEAR($A114),MRB!$B$21:$B$38,0)-1,MATCH(H$29,MRB!$F$2:$T$2,1))</f>
        <v>#N/A</v>
      </c>
      <c r="I114" s="198">
        <f ca="1">I94*OFFSET(MRB!$C$21,MATCH(YEAR($A114),MRB!$B$21:$B$38,0)-1,MATCH(I$7,MRB!$C$2:$E$2,0)-1)*OFFSET(MRB!$F$21,MATCH(YEAR($A114),MRB!$B$21:$B$38,0)-1,MATCH(I$29,MRB!$F$2:$T$2,1))</f>
        <v>553.433088</v>
      </c>
      <c r="J114" s="198">
        <f ca="1">J94*OFFSET(MRB!$C$21,MATCH(YEAR($A114),MRB!$B$21:$B$38,0)-1,MATCH(J$7,MRB!$C$2:$E$2,0)-1)*OFFSET(MRB!$F$21,MATCH(YEAR($A114),MRB!$B$21:$B$38,0)-1,MATCH(J$29,MRB!$F$2:$T$2,1))</f>
        <v>805.40262400000006</v>
      </c>
      <c r="K114" s="198">
        <f ca="1">K94*OFFSET(MRB!$C$21,MATCH(YEAR($A114),MRB!$B$21:$B$38,0)-1,MATCH(K$7,MRB!$C$2:$E$2,0)-1)*OFFSET(MRB!$F$21,MATCH(YEAR($A114),MRB!$B$21:$B$38,0)-1,MATCH(K$29,MRB!$F$2:$T$2,1))</f>
        <v>553.433088</v>
      </c>
      <c r="L114" s="198">
        <f ca="1">L94*OFFSET(MRB!$C$21,MATCH(YEAR($A114),MRB!$B$21:$B$38,0)-1,MATCH(L$7,MRB!$C$2:$E$2,0)-1)*OFFSET(MRB!$F$21,MATCH(YEAR($A114),MRB!$B$21:$B$38,0)-1,MATCH(L$29,MRB!$F$2:$T$2,1))</f>
        <v>679.41785600000003</v>
      </c>
      <c r="M114" s="198">
        <f ca="1">M94*OFFSET(MRB!$C$21,MATCH(YEAR($A114),MRB!$B$21:$B$38,0)-1,MATCH(M$7,MRB!$C$2:$E$2,0)-1)*OFFSET(MRB!$F$21,MATCH(YEAR($A114),MRB!$B$21:$B$38,0)-1,MATCH(M$29,MRB!$F$2:$T$2,1))</f>
        <v>1187.8563839999999</v>
      </c>
      <c r="N114" s="198">
        <f ca="1">N94*OFFSET(MRB!$C$21,MATCH(YEAR($A114),MRB!$B$21:$B$38,0)-1,MATCH(N$7,MRB!$C$2:$E$2,0)-1)*OFFSET(MRB!$F$21,MATCH(YEAR($A114),MRB!$B$21:$B$38,0)-1,MATCH(N$29,MRB!$F$2:$T$2,1))</f>
        <v>698.54054399999995</v>
      </c>
      <c r="O114" s="198">
        <f ca="1">O94*OFFSET(MRB!$C$21,MATCH(YEAR($A114),MRB!$B$21:$B$38,0)-1,MATCH(O$7,MRB!$C$2:$E$2,0)-1)*OFFSET(MRB!$F$21,MATCH(YEAR($A114),MRB!$B$21:$B$38,0)-1,MATCH(O$29,MRB!$F$2:$T$2,1))</f>
        <v>698.54054399999995</v>
      </c>
      <c r="P114" s="198">
        <f ca="1">P94*OFFSET(MRB!$C$21,MATCH(YEAR($A114),MRB!$B$21:$B$38,0)-1,MATCH(P$7,MRB!$C$2:$E$2,0)-1)*OFFSET(MRB!$F$21,MATCH(YEAR($A114),MRB!$B$21:$B$38,0)-1,MATCH(P$29,MRB!$F$2:$T$2,1))</f>
        <v>667.5276937187565</v>
      </c>
      <c r="Q114" s="198">
        <f ca="1">Q94*OFFSET(MRB!$C$21,MATCH(YEAR($A114),MRB!$B$21:$B$38,0)-1,MATCH(Q$7,MRB!$C$2:$E$2,0)-1)*OFFSET(MRB!$F$21,MATCH(YEAR($A114),MRB!$B$21:$B$38,0)-1,MATCH(Q$29,MRB!$F$2:$T$2,1))</f>
        <v>698.54054399999995</v>
      </c>
      <c r="R114" s="198">
        <f ca="1">R94*OFFSET(MRB!$C$21,MATCH(YEAR($A114),MRB!$B$21:$B$38,0)-1,MATCH(R$7,MRB!$C$2:$E$2,0)-1)*OFFSET(MRB!$F$21,MATCH(YEAR($A114),MRB!$B$21:$B$38,0)-1,MATCH(R$29,MRB!$F$2:$T$2,1))</f>
        <v>698.54054399999995</v>
      </c>
      <c r="S114" s="198">
        <f ca="1">S94*OFFSET(MRB!$C$21,MATCH(YEAR($A114),MRB!$B$21:$B$38,0)-1,MATCH(S$7,MRB!$C$2:$E$2,0)-1)*OFFSET(MRB!$F$21,MATCH(YEAR($A114),MRB!$B$21:$B$38,0)-1,MATCH(S$29,MRB!$F$2:$T$2,1))</f>
        <v>1079.8694400000002</v>
      </c>
      <c r="T114" s="198">
        <f ca="1">T94*OFFSET(MRB!$C$21,MATCH(YEAR($A114),MRB!$B$21:$B$38,0)-1,MATCH(T$7,MRB!$C$2:$E$2,0)-1)*OFFSET(MRB!$F$21,MATCH(YEAR($A114),MRB!$B$21:$B$38,0)-1,MATCH(T$29,MRB!$F$2:$T$2,1))</f>
        <v>1079.8694400000002</v>
      </c>
      <c r="U114" s="198">
        <f ca="1">U94*OFFSET(MRB!$C$21,MATCH(YEAR($A114),MRB!$B$21:$B$38,0)-1,MATCH(U$7,MRB!$C$2:$E$2,0)-1)*OFFSET(MRB!$F$21,MATCH(YEAR($A114),MRB!$B$21:$B$38,0)-1,MATCH(U$29,MRB!$F$2:$T$2,1))</f>
        <v>1174.3580160000001</v>
      </c>
      <c r="V114" s="198">
        <f ca="1">V94*OFFSET(MRB!$C$21,MATCH(YEAR($A114),MRB!$B$21:$B$38,0)-1,MATCH(V$7,MRB!$C$2:$E$2,0)-1)*OFFSET(MRB!$F$21,MATCH(YEAR($A114),MRB!$B$21:$B$38,0)-1,MATCH(V$29,MRB!$F$2:$T$2,1))</f>
        <v>1268.8465920000003</v>
      </c>
    </row>
    <row r="115" spans="1:22" x14ac:dyDescent="0.35">
      <c r="A115" s="197">
        <v>46753</v>
      </c>
      <c r="B115"/>
      <c r="C115" s="198">
        <f ca="1">C95*OFFSET(MRB!$C$21,MATCH(YEAR($A115),MRB!$B$21:$B$38,0)-1,MATCH(C$7,MRB!$C$2:$E$2,0)-1)*OFFSET(MRB!$F$21,MATCH(YEAR($A115),MRB!$B$21:$B$38,0)-1,MATCH(C$29,MRB!$F$2:$T$2,1))</f>
        <v>0</v>
      </c>
      <c r="D115" s="198">
        <f ca="1">D95*OFFSET(MRB!$C$21,MATCH(YEAR($A115),MRB!$B$21:$B$38,0)-1,MATCH(D$7,MRB!$C$2:$E$2,0)-1)*OFFSET(MRB!$F$21,MATCH(YEAR($A115),MRB!$B$21:$B$38,0)-1,MATCH(D$29,MRB!$F$2:$T$2,1))</f>
        <v>333.40968959999998</v>
      </c>
      <c r="E115" s="198">
        <f ca="1">E95*OFFSET(MRB!$C$21,MATCH(YEAR($A115),MRB!$B$21:$B$38,0)-1,MATCH(E$7,MRB!$C$2:$E$2,0)-1)*OFFSET(MRB!$F$21,MATCH(YEAR($A115),MRB!$B$21:$B$38,0)-1,MATCH(E$29,MRB!$F$2:$T$2,1))</f>
        <v>269.30999766242934</v>
      </c>
      <c r="F115" s="198">
        <f ca="1">F95*OFFSET(MRB!$C$21,MATCH(YEAR($A115),MRB!$B$21:$B$38,0)-1,MATCH(F$7,MRB!$C$2:$E$2,0)-1)*OFFSET(MRB!$F$21,MATCH(YEAR($A115),MRB!$B$21:$B$38,0)-1,MATCH(F$29,MRB!$F$2:$T$2,1))</f>
        <v>333.40968959999998</v>
      </c>
      <c r="G115" s="198">
        <f ca="1">G95*OFFSET(MRB!$C$21,MATCH(YEAR($A115),MRB!$B$21:$B$38,0)-1,MATCH(G$7,MRB!$C$2:$E$2,0)-1)*OFFSET(MRB!$F$21,MATCH(YEAR($A115),MRB!$B$21:$B$38,0)-1,MATCH(G$29,MRB!$F$2:$T$2,1))</f>
        <v>341.59869952000003</v>
      </c>
      <c r="H115" s="198" t="e">
        <f ca="1">H95*OFFSET(MRB!$C$21,MATCH(YEAR($A115),MRB!$B$21:$B$38,0)-1,MATCH(H$7,MRB!$C$2:$E$2,0)-1)*OFFSET(MRB!$F$21,MATCH(YEAR($A115),MRB!$B$21:$B$38,0)-1,MATCH(H$29,MRB!$F$2:$T$2,1))</f>
        <v>#N/A</v>
      </c>
      <c r="I115" s="198">
        <f ca="1">I95*OFFSET(MRB!$C$21,MATCH(YEAR($A115),MRB!$B$21:$B$38,0)-1,MATCH(I$7,MRB!$C$2:$E$2,0)-1)*OFFSET(MRB!$F$21,MATCH(YEAR($A115),MRB!$B$21:$B$38,0)-1,MATCH(I$29,MRB!$F$2:$T$2,1))</f>
        <v>575.57041151999999</v>
      </c>
      <c r="J115" s="198">
        <f ca="1">J95*OFFSET(MRB!$C$21,MATCH(YEAR($A115),MRB!$B$21:$B$38,0)-1,MATCH(J$7,MRB!$C$2:$E$2,0)-1)*OFFSET(MRB!$F$21,MATCH(YEAR($A115),MRB!$B$21:$B$38,0)-1,MATCH(J$29,MRB!$F$2:$T$2,1))</f>
        <v>837.61872896000011</v>
      </c>
      <c r="K115" s="198">
        <f ca="1">K95*OFFSET(MRB!$C$21,MATCH(YEAR($A115),MRB!$B$21:$B$38,0)-1,MATCH(K$7,MRB!$C$2:$E$2,0)-1)*OFFSET(MRB!$F$21,MATCH(YEAR($A115),MRB!$B$21:$B$38,0)-1,MATCH(K$29,MRB!$F$2:$T$2,1))</f>
        <v>575.57041151999999</v>
      </c>
      <c r="L115" s="198">
        <f ca="1">L95*OFFSET(MRB!$C$21,MATCH(YEAR($A115),MRB!$B$21:$B$38,0)-1,MATCH(L$7,MRB!$C$2:$E$2,0)-1)*OFFSET(MRB!$F$21,MATCH(YEAR($A115),MRB!$B$21:$B$38,0)-1,MATCH(L$29,MRB!$F$2:$T$2,1))</f>
        <v>706.59457024000005</v>
      </c>
      <c r="M115" s="198">
        <f ca="1">M95*OFFSET(MRB!$C$21,MATCH(YEAR($A115),MRB!$B$21:$B$38,0)-1,MATCH(M$7,MRB!$C$2:$E$2,0)-1)*OFFSET(MRB!$F$21,MATCH(YEAR($A115),MRB!$B$21:$B$38,0)-1,MATCH(M$29,MRB!$F$2:$T$2,1))</f>
        <v>1235.37063936</v>
      </c>
      <c r="N115" s="198">
        <f ca="1">N95*OFFSET(MRB!$C$21,MATCH(YEAR($A115),MRB!$B$21:$B$38,0)-1,MATCH(N$7,MRB!$C$2:$E$2,0)-1)*OFFSET(MRB!$F$21,MATCH(YEAR($A115),MRB!$B$21:$B$38,0)-1,MATCH(N$29,MRB!$F$2:$T$2,1))</f>
        <v>726.48216576000004</v>
      </c>
      <c r="O115" s="198">
        <f ca="1">O95*OFFSET(MRB!$C$21,MATCH(YEAR($A115),MRB!$B$21:$B$38,0)-1,MATCH(O$7,MRB!$C$2:$E$2,0)-1)*OFFSET(MRB!$F$21,MATCH(YEAR($A115),MRB!$B$21:$B$38,0)-1,MATCH(O$29,MRB!$F$2:$T$2,1))</f>
        <v>726.48216576000004</v>
      </c>
      <c r="P115" s="198">
        <f ca="1">P95*OFFSET(MRB!$C$21,MATCH(YEAR($A115),MRB!$B$21:$B$38,0)-1,MATCH(P$7,MRB!$C$2:$E$2,0)-1)*OFFSET(MRB!$F$21,MATCH(YEAR($A115),MRB!$B$21:$B$38,0)-1,MATCH(P$29,MRB!$F$2:$T$2,1))</f>
        <v>0</v>
      </c>
      <c r="Q115" s="198">
        <f ca="1">Q95*OFFSET(MRB!$C$21,MATCH(YEAR($A115),MRB!$B$21:$B$38,0)-1,MATCH(Q$7,MRB!$C$2:$E$2,0)-1)*OFFSET(MRB!$F$21,MATCH(YEAR($A115),MRB!$B$21:$B$38,0)-1,MATCH(Q$29,MRB!$F$2:$T$2,1))</f>
        <v>726.48216576000004</v>
      </c>
      <c r="R115" s="198">
        <f ca="1">R95*OFFSET(MRB!$C$21,MATCH(YEAR($A115),MRB!$B$21:$B$38,0)-1,MATCH(R$7,MRB!$C$2:$E$2,0)-1)*OFFSET(MRB!$F$21,MATCH(YEAR($A115),MRB!$B$21:$B$38,0)-1,MATCH(R$29,MRB!$F$2:$T$2,1))</f>
        <v>726.48216576000004</v>
      </c>
      <c r="S115" s="198">
        <f ca="1">S95*OFFSET(MRB!$C$21,MATCH(YEAR($A115),MRB!$B$21:$B$38,0)-1,MATCH(S$7,MRB!$C$2:$E$2,0)-1)*OFFSET(MRB!$F$21,MATCH(YEAR($A115),MRB!$B$21:$B$38,0)-1,MATCH(S$29,MRB!$F$2:$T$2,1))</f>
        <v>1123.0642176000003</v>
      </c>
      <c r="T115" s="198">
        <f ca="1">T95*OFFSET(MRB!$C$21,MATCH(YEAR($A115),MRB!$B$21:$B$38,0)-1,MATCH(T$7,MRB!$C$2:$E$2,0)-1)*OFFSET(MRB!$F$21,MATCH(YEAR($A115),MRB!$B$21:$B$38,0)-1,MATCH(T$29,MRB!$F$2:$T$2,1))</f>
        <v>1123.0642176000003</v>
      </c>
      <c r="U115" s="198">
        <f ca="1">U95*OFFSET(MRB!$C$21,MATCH(YEAR($A115),MRB!$B$21:$B$38,0)-1,MATCH(U$7,MRB!$C$2:$E$2,0)-1)*OFFSET(MRB!$F$21,MATCH(YEAR($A115),MRB!$B$21:$B$38,0)-1,MATCH(U$29,MRB!$F$2:$T$2,1))</f>
        <v>1221.3323366400002</v>
      </c>
      <c r="V115" s="198">
        <f ca="1">V95*OFFSET(MRB!$C$21,MATCH(YEAR($A115),MRB!$B$21:$B$38,0)-1,MATCH(V$7,MRB!$C$2:$E$2,0)-1)*OFFSET(MRB!$F$21,MATCH(YEAR($A115),MRB!$B$21:$B$38,0)-1,MATCH(V$29,MRB!$F$2:$T$2,1))</f>
        <v>1319.6004556800003</v>
      </c>
    </row>
    <row r="116" spans="1:22" x14ac:dyDescent="0.35">
      <c r="A116" s="197">
        <v>47119</v>
      </c>
      <c r="B116"/>
      <c r="C116" s="198">
        <f ca="1">C96*OFFSET(MRB!$C$21,MATCH(YEAR($A116),MRB!$B$21:$B$38,0)-1,MATCH(C$7,MRB!$C$2:$E$2,0)-1)*OFFSET(MRB!$F$21,MATCH(YEAR($A116),MRB!$B$21:$B$38,0)-1,MATCH(C$29,MRB!$F$2:$T$2,1))</f>
        <v>0</v>
      </c>
      <c r="D116" s="198">
        <f ca="1">D96*OFFSET(MRB!$C$21,MATCH(YEAR($A116),MRB!$B$21:$B$38,0)-1,MATCH(D$7,MRB!$C$2:$E$2,0)-1)*OFFSET(MRB!$F$21,MATCH(YEAR($A116),MRB!$B$21:$B$38,0)-1,MATCH(D$29,MRB!$F$2:$T$2,1))</f>
        <v>6.6447234188566435</v>
      </c>
      <c r="E116" s="198">
        <f ca="1">E96*OFFSET(MRB!$C$21,MATCH(YEAR($A116),MRB!$B$21:$B$38,0)-1,MATCH(E$7,MRB!$C$2:$E$2,0)-1)*OFFSET(MRB!$F$21,MATCH(YEAR($A116),MRB!$B$21:$B$38,0)-1,MATCH(E$29,MRB!$F$2:$T$2,1))</f>
        <v>0</v>
      </c>
      <c r="F116" s="198">
        <f ca="1">F96*OFFSET(MRB!$C$21,MATCH(YEAR($A116),MRB!$B$21:$B$38,0)-1,MATCH(F$7,MRB!$C$2:$E$2,0)-1)*OFFSET(MRB!$F$21,MATCH(YEAR($A116),MRB!$B$21:$B$38,0)-1,MATCH(F$29,MRB!$F$2:$T$2,1))</f>
        <v>6.6447234188566435</v>
      </c>
      <c r="G116" s="198">
        <f ca="1">G96*OFFSET(MRB!$C$21,MATCH(YEAR($A116),MRB!$B$21:$B$38,0)-1,MATCH(G$7,MRB!$C$2:$E$2,0)-1)*OFFSET(MRB!$F$21,MATCH(YEAR($A116),MRB!$B$21:$B$38,0)-1,MATCH(G$29,MRB!$F$2:$T$2,1))</f>
        <v>355.26264750080003</v>
      </c>
      <c r="H116" s="198" t="e">
        <f ca="1">H96*OFFSET(MRB!$C$21,MATCH(YEAR($A116),MRB!$B$21:$B$38,0)-1,MATCH(H$7,MRB!$C$2:$E$2,0)-1)*OFFSET(MRB!$F$21,MATCH(YEAR($A116),MRB!$B$21:$B$38,0)-1,MATCH(H$29,MRB!$F$2:$T$2,1))</f>
        <v>#N/A</v>
      </c>
      <c r="I116" s="198">
        <f ca="1">I96*OFFSET(MRB!$C$21,MATCH(YEAR($A116),MRB!$B$21:$B$38,0)-1,MATCH(I$7,MRB!$C$2:$E$2,0)-1)*OFFSET(MRB!$F$21,MATCH(YEAR($A116),MRB!$B$21:$B$38,0)-1,MATCH(I$29,MRB!$F$2:$T$2,1))</f>
        <v>598.59322798080007</v>
      </c>
      <c r="J116" s="198">
        <f ca="1">J96*OFFSET(MRB!$C$21,MATCH(YEAR($A116),MRB!$B$21:$B$38,0)-1,MATCH(J$7,MRB!$C$2:$E$2,0)-1)*OFFSET(MRB!$F$21,MATCH(YEAR($A116),MRB!$B$21:$B$38,0)-1,MATCH(J$29,MRB!$F$2:$T$2,1))</f>
        <v>871.12347811840016</v>
      </c>
      <c r="K116" s="198">
        <f ca="1">K96*OFFSET(MRB!$C$21,MATCH(YEAR($A116),MRB!$B$21:$B$38,0)-1,MATCH(K$7,MRB!$C$2:$E$2,0)-1)*OFFSET(MRB!$F$21,MATCH(YEAR($A116),MRB!$B$21:$B$38,0)-1,MATCH(K$29,MRB!$F$2:$T$2,1))</f>
        <v>598.59322798080007</v>
      </c>
      <c r="L116" s="198">
        <f ca="1">L96*OFFSET(MRB!$C$21,MATCH(YEAR($A116),MRB!$B$21:$B$38,0)-1,MATCH(L$7,MRB!$C$2:$E$2,0)-1)*OFFSET(MRB!$F$21,MATCH(YEAR($A116),MRB!$B$21:$B$38,0)-1,MATCH(L$29,MRB!$F$2:$T$2,1))</f>
        <v>734.85835304960005</v>
      </c>
      <c r="M116" s="198">
        <f ca="1">M96*OFFSET(MRB!$C$21,MATCH(YEAR($A116),MRB!$B$21:$B$38,0)-1,MATCH(M$7,MRB!$C$2:$E$2,0)-1)*OFFSET(MRB!$F$21,MATCH(YEAR($A116),MRB!$B$21:$B$38,0)-1,MATCH(M$29,MRB!$F$2:$T$2,1))</f>
        <v>738.61346634867812</v>
      </c>
      <c r="N116" s="198">
        <f ca="1">N96*OFFSET(MRB!$C$21,MATCH(YEAR($A116),MRB!$B$21:$B$38,0)-1,MATCH(N$7,MRB!$C$2:$E$2,0)-1)*OFFSET(MRB!$F$21,MATCH(YEAR($A116),MRB!$B$21:$B$38,0)-1,MATCH(N$29,MRB!$F$2:$T$2,1))</f>
        <v>301.98019724012073</v>
      </c>
      <c r="O116" s="198">
        <f ca="1">O96*OFFSET(MRB!$C$21,MATCH(YEAR($A116),MRB!$B$21:$B$38,0)-1,MATCH(O$7,MRB!$C$2:$E$2,0)-1)*OFFSET(MRB!$F$21,MATCH(YEAR($A116),MRB!$B$21:$B$38,0)-1,MATCH(O$29,MRB!$F$2:$T$2,1))</f>
        <v>755.54145239040008</v>
      </c>
      <c r="P116" s="198">
        <f ca="1">P96*OFFSET(MRB!$C$21,MATCH(YEAR($A116),MRB!$B$21:$B$38,0)-1,MATCH(P$7,MRB!$C$2:$E$2,0)-1)*OFFSET(MRB!$F$21,MATCH(YEAR($A116),MRB!$B$21:$B$38,0)-1,MATCH(P$29,MRB!$F$2:$T$2,1))</f>
        <v>0</v>
      </c>
      <c r="Q116" s="198">
        <f ca="1">Q96*OFFSET(MRB!$C$21,MATCH(YEAR($A116),MRB!$B$21:$B$38,0)-1,MATCH(Q$7,MRB!$C$2:$E$2,0)-1)*OFFSET(MRB!$F$21,MATCH(YEAR($A116),MRB!$B$21:$B$38,0)-1,MATCH(Q$29,MRB!$F$2:$T$2,1))</f>
        <v>755.54145239040008</v>
      </c>
      <c r="R116" s="198">
        <f ca="1">R96*OFFSET(MRB!$C$21,MATCH(YEAR($A116),MRB!$B$21:$B$38,0)-1,MATCH(R$7,MRB!$C$2:$E$2,0)-1)*OFFSET(MRB!$F$21,MATCH(YEAR($A116),MRB!$B$21:$B$38,0)-1,MATCH(R$29,MRB!$F$2:$T$2,1))</f>
        <v>755.54145239040008</v>
      </c>
      <c r="S116" s="198">
        <f ca="1">S96*OFFSET(MRB!$C$21,MATCH(YEAR($A116),MRB!$B$21:$B$38,0)-1,MATCH(S$7,MRB!$C$2:$E$2,0)-1)*OFFSET(MRB!$F$21,MATCH(YEAR($A116),MRB!$B$21:$B$38,0)-1,MATCH(S$29,MRB!$F$2:$T$2,1))</f>
        <v>1167.9867863040004</v>
      </c>
      <c r="T116" s="198">
        <f ca="1">T96*OFFSET(MRB!$C$21,MATCH(YEAR($A116),MRB!$B$21:$B$38,0)-1,MATCH(T$7,MRB!$C$2:$E$2,0)-1)*OFFSET(MRB!$F$21,MATCH(YEAR($A116),MRB!$B$21:$B$38,0)-1,MATCH(T$29,MRB!$F$2:$T$2,1))</f>
        <v>1167.9867863040004</v>
      </c>
      <c r="U116" s="198">
        <f ca="1">U96*OFFSET(MRB!$C$21,MATCH(YEAR($A116),MRB!$B$21:$B$38,0)-1,MATCH(U$7,MRB!$C$2:$E$2,0)-1)*OFFSET(MRB!$F$21,MATCH(YEAR($A116),MRB!$B$21:$B$38,0)-1,MATCH(U$29,MRB!$F$2:$T$2,1))</f>
        <v>1270.1856301056002</v>
      </c>
      <c r="V116" s="198">
        <f ca="1">V96*OFFSET(MRB!$C$21,MATCH(YEAR($A116),MRB!$B$21:$B$38,0)-1,MATCH(V$7,MRB!$C$2:$E$2,0)-1)*OFFSET(MRB!$F$21,MATCH(YEAR($A116),MRB!$B$21:$B$38,0)-1,MATCH(V$29,MRB!$F$2:$T$2,1))</f>
        <v>1372.3844739072001</v>
      </c>
    </row>
    <row r="117" spans="1:22" x14ac:dyDescent="0.35">
      <c r="A117" s="197">
        <v>47484</v>
      </c>
      <c r="B117"/>
      <c r="C117" s="198">
        <f ca="1">C97*OFFSET(MRB!$C$21,MATCH(YEAR($A117),MRB!$B$21:$B$38,0)-1,MATCH(C$7,MRB!$C$2:$E$2,0)-1)*OFFSET(MRB!$F$21,MATCH(YEAR($A117),MRB!$B$21:$B$38,0)-1,MATCH(C$29,MRB!$F$2:$T$2,1))</f>
        <v>0</v>
      </c>
      <c r="D117" s="198">
        <f ca="1">D97*OFFSET(MRB!$C$21,MATCH(YEAR($A117),MRB!$B$21:$B$38,0)-1,MATCH(D$7,MRB!$C$2:$E$2,0)-1)*OFFSET(MRB!$F$21,MATCH(YEAR($A117),MRB!$B$21:$B$38,0)-1,MATCH(D$29,MRB!$F$2:$T$2,1))</f>
        <v>0</v>
      </c>
      <c r="E117" s="198">
        <f ca="1">E97*OFFSET(MRB!$C$21,MATCH(YEAR($A117),MRB!$B$21:$B$38,0)-1,MATCH(E$7,MRB!$C$2:$E$2,0)-1)*OFFSET(MRB!$F$21,MATCH(YEAR($A117),MRB!$B$21:$B$38,0)-1,MATCH(E$29,MRB!$F$2:$T$2,1))</f>
        <v>0</v>
      </c>
      <c r="F117" s="198">
        <f ca="1">F97*OFFSET(MRB!$C$21,MATCH(YEAR($A117),MRB!$B$21:$B$38,0)-1,MATCH(F$7,MRB!$C$2:$E$2,0)-1)*OFFSET(MRB!$F$21,MATCH(YEAR($A117),MRB!$B$21:$B$38,0)-1,MATCH(F$29,MRB!$F$2:$T$2,1))</f>
        <v>0</v>
      </c>
      <c r="G117" s="198">
        <f ca="1">G97*OFFSET(MRB!$C$21,MATCH(YEAR($A117),MRB!$B$21:$B$38,0)-1,MATCH(G$7,MRB!$C$2:$E$2,0)-1)*OFFSET(MRB!$F$21,MATCH(YEAR($A117),MRB!$B$21:$B$38,0)-1,MATCH(G$29,MRB!$F$2:$T$2,1))</f>
        <v>369.47315340083202</v>
      </c>
      <c r="H117" s="198" t="e">
        <f ca="1">H97*OFFSET(MRB!$C$21,MATCH(YEAR($A117),MRB!$B$21:$B$38,0)-1,MATCH(H$7,MRB!$C$2:$E$2,0)-1)*OFFSET(MRB!$F$21,MATCH(YEAR($A117),MRB!$B$21:$B$38,0)-1,MATCH(H$29,MRB!$F$2:$T$2,1))</f>
        <v>#N/A</v>
      </c>
      <c r="I117" s="198">
        <f ca="1">I97*OFFSET(MRB!$C$21,MATCH(YEAR($A117),MRB!$B$21:$B$38,0)-1,MATCH(I$7,MRB!$C$2:$E$2,0)-1)*OFFSET(MRB!$F$21,MATCH(YEAR($A117),MRB!$B$21:$B$38,0)-1,MATCH(I$29,MRB!$F$2:$T$2,1))</f>
        <v>622.53695710003205</v>
      </c>
      <c r="J117" s="198">
        <f ca="1">J97*OFFSET(MRB!$C$21,MATCH(YEAR($A117),MRB!$B$21:$B$38,0)-1,MATCH(J$7,MRB!$C$2:$E$2,0)-1)*OFFSET(MRB!$F$21,MATCH(YEAR($A117),MRB!$B$21:$B$38,0)-1,MATCH(J$29,MRB!$F$2:$T$2,1))</f>
        <v>905.96841724313617</v>
      </c>
      <c r="K117" s="198">
        <f ca="1">K97*OFFSET(MRB!$C$21,MATCH(YEAR($A117),MRB!$B$21:$B$38,0)-1,MATCH(K$7,MRB!$C$2:$E$2,0)-1)*OFFSET(MRB!$F$21,MATCH(YEAR($A117),MRB!$B$21:$B$38,0)-1,MATCH(K$29,MRB!$F$2:$T$2,1))</f>
        <v>622.53695710003205</v>
      </c>
      <c r="L117" s="198">
        <f ca="1">L97*OFFSET(MRB!$C$21,MATCH(YEAR($A117),MRB!$B$21:$B$38,0)-1,MATCH(L$7,MRB!$C$2:$E$2,0)-1)*OFFSET(MRB!$F$21,MATCH(YEAR($A117),MRB!$B$21:$B$38,0)-1,MATCH(L$29,MRB!$F$2:$T$2,1))</f>
        <v>764.25268717158406</v>
      </c>
      <c r="M117" s="198">
        <f ca="1">M97*OFFSET(MRB!$C$21,MATCH(YEAR($A117),MRB!$B$21:$B$38,0)-1,MATCH(M$7,MRB!$C$2:$E$2,0)-1)*OFFSET(MRB!$F$21,MATCH(YEAR($A117),MRB!$B$21:$B$38,0)-1,MATCH(M$29,MRB!$F$2:$T$2,1))</f>
        <v>0</v>
      </c>
      <c r="N117" s="198">
        <f ca="1">N97*OFFSET(MRB!$C$21,MATCH(YEAR($A117),MRB!$B$21:$B$38,0)-1,MATCH(N$7,MRB!$C$2:$E$2,0)-1)*OFFSET(MRB!$F$21,MATCH(YEAR($A117),MRB!$B$21:$B$38,0)-1,MATCH(N$29,MRB!$F$2:$T$2,1))</f>
        <v>0</v>
      </c>
      <c r="O117" s="198">
        <f ca="1">O97*OFFSET(MRB!$C$21,MATCH(YEAR($A117),MRB!$B$21:$B$38,0)-1,MATCH(O$7,MRB!$C$2:$E$2,0)-1)*OFFSET(MRB!$F$21,MATCH(YEAR($A117),MRB!$B$21:$B$38,0)-1,MATCH(O$29,MRB!$F$2:$T$2,1))</f>
        <v>304.02097665525969</v>
      </c>
      <c r="P117" s="198">
        <f ca="1">P97*OFFSET(MRB!$C$21,MATCH(YEAR($A117),MRB!$B$21:$B$38,0)-1,MATCH(P$7,MRB!$C$2:$E$2,0)-1)*OFFSET(MRB!$F$21,MATCH(YEAR($A117),MRB!$B$21:$B$38,0)-1,MATCH(P$29,MRB!$F$2:$T$2,1))</f>
        <v>0</v>
      </c>
      <c r="Q117" s="198">
        <f ca="1">Q97*OFFSET(MRB!$C$21,MATCH(YEAR($A117),MRB!$B$21:$B$38,0)-1,MATCH(Q$7,MRB!$C$2:$E$2,0)-1)*OFFSET(MRB!$F$21,MATCH(YEAR($A117),MRB!$B$21:$B$38,0)-1,MATCH(Q$29,MRB!$F$2:$T$2,1))</f>
        <v>1047.6841473146883</v>
      </c>
      <c r="R117" s="198">
        <f ca="1">R97*OFFSET(MRB!$C$21,MATCH(YEAR($A117),MRB!$B$21:$B$38,0)-1,MATCH(R$7,MRB!$C$2:$E$2,0)-1)*OFFSET(MRB!$F$21,MATCH(YEAR($A117),MRB!$B$21:$B$38,0)-1,MATCH(R$29,MRB!$F$2:$T$2,1))</f>
        <v>1047.6841473146883</v>
      </c>
      <c r="S117" s="198">
        <f ca="1">S97*OFFSET(MRB!$C$21,MATCH(YEAR($A117),MRB!$B$21:$B$38,0)-1,MATCH(S$7,MRB!$C$2:$E$2,0)-1)*OFFSET(MRB!$F$21,MATCH(YEAR($A117),MRB!$B$21:$B$38,0)-1,MATCH(S$29,MRB!$F$2:$T$2,1))</f>
        <v>1619.6083436748806</v>
      </c>
      <c r="T117" s="198">
        <f ca="1">T97*OFFSET(MRB!$C$21,MATCH(YEAR($A117),MRB!$B$21:$B$38,0)-1,MATCH(T$7,MRB!$C$2:$E$2,0)-1)*OFFSET(MRB!$F$21,MATCH(YEAR($A117),MRB!$B$21:$B$38,0)-1,MATCH(T$29,MRB!$F$2:$T$2,1))</f>
        <v>1619.6083436748806</v>
      </c>
      <c r="U117" s="198">
        <f ca="1">U97*OFFSET(MRB!$C$21,MATCH(YEAR($A117),MRB!$B$21:$B$38,0)-1,MATCH(U$7,MRB!$C$2:$E$2,0)-1)*OFFSET(MRB!$F$21,MATCH(YEAR($A117),MRB!$B$21:$B$38,0)-1,MATCH(U$29,MRB!$F$2:$T$2,1))</f>
        <v>1761.3240737464323</v>
      </c>
      <c r="V117" s="198">
        <f ca="1">V97*OFFSET(MRB!$C$21,MATCH(YEAR($A117),MRB!$B$21:$B$38,0)-1,MATCH(V$7,MRB!$C$2:$E$2,0)-1)*OFFSET(MRB!$F$21,MATCH(YEAR($A117),MRB!$B$21:$B$38,0)-1,MATCH(V$29,MRB!$F$2:$T$2,1))</f>
        <v>1903.0398038179844</v>
      </c>
    </row>
    <row r="118" spans="1:22" x14ac:dyDescent="0.35">
      <c r="A118" s="197">
        <v>47849</v>
      </c>
      <c r="B118"/>
      <c r="C118" s="198">
        <f ca="1">C98*OFFSET(MRB!$C$21,MATCH(YEAR($A118),MRB!$B$21:$B$38,0)-1,MATCH(C$7,MRB!$C$2:$E$2,0)-1)*OFFSET(MRB!$F$21,MATCH(YEAR($A118),MRB!$B$21:$B$38,0)-1,MATCH(C$29,MRB!$F$2:$T$2,1))</f>
        <v>0</v>
      </c>
      <c r="D118" s="198">
        <f ca="1">D98*OFFSET(MRB!$C$21,MATCH(YEAR($A118),MRB!$B$21:$B$38,0)-1,MATCH(D$7,MRB!$C$2:$E$2,0)-1)*OFFSET(MRB!$F$21,MATCH(YEAR($A118),MRB!$B$21:$B$38,0)-1,MATCH(D$29,MRB!$F$2:$T$2,1))</f>
        <v>0</v>
      </c>
      <c r="E118" s="198">
        <f ca="1">E98*OFFSET(MRB!$C$21,MATCH(YEAR($A118),MRB!$B$21:$B$38,0)-1,MATCH(E$7,MRB!$C$2:$E$2,0)-1)*OFFSET(MRB!$F$21,MATCH(YEAR($A118),MRB!$B$21:$B$38,0)-1,MATCH(E$29,MRB!$F$2:$T$2,1))</f>
        <v>0</v>
      </c>
      <c r="F118" s="198">
        <f ca="1">F98*OFFSET(MRB!$C$21,MATCH(YEAR($A118),MRB!$B$21:$B$38,0)-1,MATCH(F$7,MRB!$C$2:$E$2,0)-1)*OFFSET(MRB!$F$21,MATCH(YEAR($A118),MRB!$B$21:$B$38,0)-1,MATCH(F$29,MRB!$F$2:$T$2,1))</f>
        <v>0</v>
      </c>
      <c r="G118" s="198">
        <f ca="1">G98*OFFSET(MRB!$C$21,MATCH(YEAR($A118),MRB!$B$21:$B$38,0)-1,MATCH(G$7,MRB!$C$2:$E$2,0)-1)*OFFSET(MRB!$F$21,MATCH(YEAR($A118),MRB!$B$21:$B$38,0)-1,MATCH(G$29,MRB!$F$2:$T$2,1))</f>
        <v>384.25207953686532</v>
      </c>
      <c r="H118" s="198" t="e">
        <f ca="1">H98*OFFSET(MRB!$C$21,MATCH(YEAR($A118),MRB!$B$21:$B$38,0)-1,MATCH(H$7,MRB!$C$2:$E$2,0)-1)*OFFSET(MRB!$F$21,MATCH(YEAR($A118),MRB!$B$21:$B$38,0)-1,MATCH(H$29,MRB!$F$2:$T$2,1))</f>
        <v>#N/A</v>
      </c>
      <c r="I118" s="198">
        <f ca="1">I98*OFFSET(MRB!$C$21,MATCH(YEAR($A118),MRB!$B$21:$B$38,0)-1,MATCH(I$7,MRB!$C$2:$E$2,0)-1)*OFFSET(MRB!$F$21,MATCH(YEAR($A118),MRB!$B$21:$B$38,0)-1,MATCH(I$29,MRB!$F$2:$T$2,1))</f>
        <v>26.591447571024805</v>
      </c>
      <c r="J118" s="198">
        <f ca="1">J98*OFFSET(MRB!$C$21,MATCH(YEAR($A118),MRB!$B$21:$B$38,0)-1,MATCH(J$7,MRB!$C$2:$E$2,0)-1)*OFFSET(MRB!$F$21,MATCH(YEAR($A118),MRB!$B$21:$B$38,0)-1,MATCH(J$29,MRB!$F$2:$T$2,1))</f>
        <v>942.20715393286162</v>
      </c>
      <c r="K118" s="198">
        <f ca="1">K98*OFFSET(MRB!$C$21,MATCH(YEAR($A118),MRB!$B$21:$B$38,0)-1,MATCH(K$7,MRB!$C$2:$E$2,0)-1)*OFFSET(MRB!$F$21,MATCH(YEAR($A118),MRB!$B$21:$B$38,0)-1,MATCH(K$29,MRB!$F$2:$T$2,1))</f>
        <v>46.091842456442762</v>
      </c>
      <c r="L118" s="198">
        <f ca="1">L98*OFFSET(MRB!$C$21,MATCH(YEAR($A118),MRB!$B$21:$B$38,0)-1,MATCH(L$7,MRB!$C$2:$E$2,0)-1)*OFFSET(MRB!$F$21,MATCH(YEAR($A118),MRB!$B$21:$B$38,0)-1,MATCH(L$29,MRB!$F$2:$T$2,1))</f>
        <v>794.82279465844749</v>
      </c>
      <c r="M118" s="198">
        <f ca="1">M98*OFFSET(MRB!$C$21,MATCH(YEAR($A118),MRB!$B$21:$B$38,0)-1,MATCH(M$7,MRB!$C$2:$E$2,0)-1)*OFFSET(MRB!$F$21,MATCH(YEAR($A118),MRB!$B$21:$B$38,0)-1,MATCH(M$29,MRB!$F$2:$T$2,1))</f>
        <v>0</v>
      </c>
      <c r="N118" s="198">
        <f ca="1">N98*OFFSET(MRB!$C$21,MATCH(YEAR($A118),MRB!$B$21:$B$38,0)-1,MATCH(N$7,MRB!$C$2:$E$2,0)-1)*OFFSET(MRB!$F$21,MATCH(YEAR($A118),MRB!$B$21:$B$38,0)-1,MATCH(N$29,MRB!$F$2:$T$2,1))</f>
        <v>0</v>
      </c>
      <c r="O118" s="198">
        <f ca="1">O98*OFFSET(MRB!$C$21,MATCH(YEAR($A118),MRB!$B$21:$B$38,0)-1,MATCH(O$7,MRB!$C$2:$E$2,0)-1)*OFFSET(MRB!$F$21,MATCH(YEAR($A118),MRB!$B$21:$B$38,0)-1,MATCH(O$29,MRB!$F$2:$T$2,1))</f>
        <v>0</v>
      </c>
      <c r="P118" s="198">
        <f ca="1">P98*OFFSET(MRB!$C$21,MATCH(YEAR($A118),MRB!$B$21:$B$38,0)-1,MATCH(P$7,MRB!$C$2:$E$2,0)-1)*OFFSET(MRB!$F$21,MATCH(YEAR($A118),MRB!$B$21:$B$38,0)-1,MATCH(P$29,MRB!$F$2:$T$2,1))</f>
        <v>0</v>
      </c>
      <c r="Q118" s="198">
        <f ca="1">Q98*OFFSET(MRB!$C$21,MATCH(YEAR($A118),MRB!$B$21:$B$38,0)-1,MATCH(Q$7,MRB!$C$2:$E$2,0)-1)*OFFSET(MRB!$F$21,MATCH(YEAR($A118),MRB!$B$21:$B$38,0)-1,MATCH(Q$29,MRB!$F$2:$T$2,1))</f>
        <v>769.72512139735716</v>
      </c>
      <c r="R118" s="198">
        <f ca="1">R98*OFFSET(MRB!$C$21,MATCH(YEAR($A118),MRB!$B$21:$B$38,0)-1,MATCH(R$7,MRB!$C$2:$E$2,0)-1)*OFFSET(MRB!$F$21,MATCH(YEAR($A118),MRB!$B$21:$B$38,0)-1,MATCH(R$29,MRB!$F$2:$T$2,1))</f>
        <v>1089.591513207276</v>
      </c>
      <c r="S118" s="198">
        <f ca="1">S98*OFFSET(MRB!$C$21,MATCH(YEAR($A118),MRB!$B$21:$B$38,0)-1,MATCH(S$7,MRB!$C$2:$E$2,0)-1)*OFFSET(MRB!$F$21,MATCH(YEAR($A118),MRB!$B$21:$B$38,0)-1,MATCH(S$29,MRB!$F$2:$T$2,1))</f>
        <v>1471.2493051762378</v>
      </c>
      <c r="T118" s="198">
        <f ca="1">T98*OFFSET(MRB!$C$21,MATCH(YEAR($A118),MRB!$B$21:$B$38,0)-1,MATCH(T$7,MRB!$C$2:$E$2,0)-1)*OFFSET(MRB!$F$21,MATCH(YEAR($A118),MRB!$B$21:$B$38,0)-1,MATCH(T$29,MRB!$F$2:$T$2,1))</f>
        <v>1684.392677421876</v>
      </c>
      <c r="U118" s="198">
        <f ca="1">U98*OFFSET(MRB!$C$21,MATCH(YEAR($A118),MRB!$B$21:$B$38,0)-1,MATCH(U$7,MRB!$C$2:$E$2,0)-1)*OFFSET(MRB!$F$21,MATCH(YEAR($A118),MRB!$B$21:$B$38,0)-1,MATCH(U$29,MRB!$F$2:$T$2,1))</f>
        <v>1831.7770366962898</v>
      </c>
      <c r="V118" s="198">
        <f ca="1">V98*OFFSET(MRB!$C$21,MATCH(YEAR($A118),MRB!$B$21:$B$38,0)-1,MATCH(V$7,MRB!$C$2:$E$2,0)-1)*OFFSET(MRB!$F$21,MATCH(YEAR($A118),MRB!$B$21:$B$38,0)-1,MATCH(V$29,MRB!$F$2:$T$2,1))</f>
        <v>1979.1613959707038</v>
      </c>
    </row>
    <row r="119" spans="1:22" x14ac:dyDescent="0.35">
      <c r="A119" s="197">
        <v>48214</v>
      </c>
      <c r="B119"/>
      <c r="C119" s="198">
        <f ca="1">C99*OFFSET(MRB!$C$21,MATCH(YEAR($A119),MRB!$B$21:$B$38,0)-1,MATCH(C$7,MRB!$C$2:$E$2,0)-1)*OFFSET(MRB!$F$21,MATCH(YEAR($A119),MRB!$B$21:$B$38,0)-1,MATCH(C$29,MRB!$F$2:$T$2,1))</f>
        <v>0</v>
      </c>
      <c r="D119" s="198">
        <f ca="1">D99*OFFSET(MRB!$C$21,MATCH(YEAR($A119),MRB!$B$21:$B$38,0)-1,MATCH(D$7,MRB!$C$2:$E$2,0)-1)*OFFSET(MRB!$F$21,MATCH(YEAR($A119),MRB!$B$21:$B$38,0)-1,MATCH(D$29,MRB!$F$2:$T$2,1))</f>
        <v>0</v>
      </c>
      <c r="E119" s="198">
        <f ca="1">E99*OFFSET(MRB!$C$21,MATCH(YEAR($A119),MRB!$B$21:$B$38,0)-1,MATCH(E$7,MRB!$C$2:$E$2,0)-1)*OFFSET(MRB!$F$21,MATCH(YEAR($A119),MRB!$B$21:$B$38,0)-1,MATCH(E$29,MRB!$F$2:$T$2,1))</f>
        <v>0</v>
      </c>
      <c r="F119" s="198">
        <f ca="1">F99*OFFSET(MRB!$C$21,MATCH(YEAR($A119),MRB!$B$21:$B$38,0)-1,MATCH(F$7,MRB!$C$2:$E$2,0)-1)*OFFSET(MRB!$F$21,MATCH(YEAR($A119),MRB!$B$21:$B$38,0)-1,MATCH(F$29,MRB!$F$2:$T$2,1))</f>
        <v>0</v>
      </c>
      <c r="G119" s="198">
        <f ca="1">G99*OFFSET(MRB!$C$21,MATCH(YEAR($A119),MRB!$B$21:$B$38,0)-1,MATCH(G$7,MRB!$C$2:$E$2,0)-1)*OFFSET(MRB!$F$21,MATCH(YEAR($A119),MRB!$B$21:$B$38,0)-1,MATCH(G$29,MRB!$F$2:$T$2,1))</f>
        <v>380.78607016697714</v>
      </c>
      <c r="H119" s="198" t="e">
        <f ca="1">H99*OFFSET(MRB!$C$21,MATCH(YEAR($A119),MRB!$B$21:$B$38,0)-1,MATCH(H$7,MRB!$C$2:$E$2,0)-1)*OFFSET(MRB!$F$21,MATCH(YEAR($A119),MRB!$B$21:$B$38,0)-1,MATCH(H$29,MRB!$F$2:$T$2,1))</f>
        <v>#N/A</v>
      </c>
      <c r="I119" s="198">
        <f ca="1">I99*OFFSET(MRB!$C$21,MATCH(YEAR($A119),MRB!$B$21:$B$38,0)-1,MATCH(I$7,MRB!$C$2:$E$2,0)-1)*OFFSET(MRB!$F$21,MATCH(YEAR($A119),MRB!$B$21:$B$38,0)-1,MATCH(I$29,MRB!$F$2:$T$2,1))</f>
        <v>0</v>
      </c>
      <c r="J119" s="198">
        <f ca="1">J99*OFFSET(MRB!$C$21,MATCH(YEAR($A119),MRB!$B$21:$B$38,0)-1,MATCH(J$7,MRB!$C$2:$E$2,0)-1)*OFFSET(MRB!$F$21,MATCH(YEAR($A119),MRB!$B$21:$B$38,0)-1,MATCH(J$29,MRB!$F$2:$T$2,1))</f>
        <v>238.79321696701737</v>
      </c>
      <c r="K119" s="198">
        <f ca="1">K99*OFFSET(MRB!$C$21,MATCH(YEAR($A119),MRB!$B$21:$B$38,0)-1,MATCH(K$7,MRB!$C$2:$E$2,0)-1)*OFFSET(MRB!$F$21,MATCH(YEAR($A119),MRB!$B$21:$B$38,0)-1,MATCH(K$29,MRB!$F$2:$T$2,1))</f>
        <v>0</v>
      </c>
      <c r="L119" s="198">
        <f ca="1">L99*OFFSET(MRB!$C$21,MATCH(YEAR($A119),MRB!$B$21:$B$38,0)-1,MATCH(L$7,MRB!$C$2:$E$2,0)-1)*OFFSET(MRB!$F$21,MATCH(YEAR($A119),MRB!$B$21:$B$38,0)-1,MATCH(L$29,MRB!$F$2:$T$2,1))</f>
        <v>826.61570644478547</v>
      </c>
      <c r="M119" s="198">
        <f ca="1">M99*OFFSET(MRB!$C$21,MATCH(YEAR($A119),MRB!$B$21:$B$38,0)-1,MATCH(M$7,MRB!$C$2:$E$2,0)-1)*OFFSET(MRB!$F$21,MATCH(YEAR($A119),MRB!$B$21:$B$38,0)-1,MATCH(M$29,MRB!$F$2:$T$2,1))</f>
        <v>0</v>
      </c>
      <c r="N119" s="198">
        <f ca="1">N99*OFFSET(MRB!$C$21,MATCH(YEAR($A119),MRB!$B$21:$B$38,0)-1,MATCH(N$7,MRB!$C$2:$E$2,0)-1)*OFFSET(MRB!$F$21,MATCH(YEAR($A119),MRB!$B$21:$B$38,0)-1,MATCH(N$29,MRB!$F$2:$T$2,1))</f>
        <v>0</v>
      </c>
      <c r="O119" s="198">
        <f ca="1">O99*OFFSET(MRB!$C$21,MATCH(YEAR($A119),MRB!$B$21:$B$38,0)-1,MATCH(O$7,MRB!$C$2:$E$2,0)-1)*OFFSET(MRB!$F$21,MATCH(YEAR($A119),MRB!$B$21:$B$38,0)-1,MATCH(O$29,MRB!$F$2:$T$2,1))</f>
        <v>0</v>
      </c>
      <c r="P119" s="198">
        <f ca="1">P99*OFFSET(MRB!$C$21,MATCH(YEAR($A119),MRB!$B$21:$B$38,0)-1,MATCH(P$7,MRB!$C$2:$E$2,0)-1)*OFFSET(MRB!$F$21,MATCH(YEAR($A119),MRB!$B$21:$B$38,0)-1,MATCH(P$29,MRB!$F$2:$T$2,1))</f>
        <v>0</v>
      </c>
      <c r="Q119" s="198">
        <f ca="1">Q99*OFFSET(MRB!$C$21,MATCH(YEAR($A119),MRB!$B$21:$B$38,0)-1,MATCH(Q$7,MRB!$C$2:$E$2,0)-1)*OFFSET(MRB!$F$21,MATCH(YEAR($A119),MRB!$B$21:$B$38,0)-1,MATCH(Q$29,MRB!$F$2:$T$2,1))</f>
        <v>0</v>
      </c>
      <c r="R119" s="198">
        <f ca="1">R99*OFFSET(MRB!$C$21,MATCH(YEAR($A119),MRB!$B$21:$B$38,0)-1,MATCH(R$7,MRB!$C$2:$E$2,0)-1)*OFFSET(MRB!$F$21,MATCH(YEAR($A119),MRB!$B$21:$B$38,0)-1,MATCH(R$29,MRB!$F$2:$T$2,1))</f>
        <v>1133.1751737355671</v>
      </c>
      <c r="S119" s="198">
        <f ca="1">S99*OFFSET(MRB!$C$21,MATCH(YEAR($A119),MRB!$B$21:$B$38,0)-1,MATCH(S$7,MRB!$C$2:$E$2,0)-1)*OFFSET(MRB!$F$21,MATCH(YEAR($A119),MRB!$B$21:$B$38,0)-1,MATCH(S$29,MRB!$F$2:$T$2,1))</f>
        <v>0</v>
      </c>
      <c r="T119" s="198">
        <f ca="1">T99*OFFSET(MRB!$C$21,MATCH(YEAR($A119),MRB!$B$21:$B$38,0)-1,MATCH(T$7,MRB!$C$2:$E$2,0)-1)*OFFSET(MRB!$F$21,MATCH(YEAR($A119),MRB!$B$21:$B$38,0)-1,MATCH(T$29,MRB!$F$2:$T$2,1))</f>
        <v>1751.7683845187512</v>
      </c>
      <c r="U119" s="198">
        <f ca="1">U99*OFFSET(MRB!$C$21,MATCH(YEAR($A119),MRB!$B$21:$B$38,0)-1,MATCH(U$7,MRB!$C$2:$E$2,0)-1)*OFFSET(MRB!$F$21,MATCH(YEAR($A119),MRB!$B$21:$B$38,0)-1,MATCH(U$29,MRB!$F$2:$T$2,1))</f>
        <v>1905.0481181641414</v>
      </c>
      <c r="V119" s="198">
        <f ca="1">V99*OFFSET(MRB!$C$21,MATCH(YEAR($A119),MRB!$B$21:$B$38,0)-1,MATCH(V$7,MRB!$C$2:$E$2,0)-1)*OFFSET(MRB!$F$21,MATCH(YEAR($A119),MRB!$B$21:$B$38,0)-1,MATCH(V$29,MRB!$F$2:$T$2,1))</f>
        <v>2058.3278518095321</v>
      </c>
    </row>
    <row r="120" spans="1:22" x14ac:dyDescent="0.35">
      <c r="A120" s="197">
        <v>48580</v>
      </c>
      <c r="B120"/>
      <c r="C120" s="198">
        <f ca="1">C100*OFFSET(MRB!$C$21,MATCH(YEAR($A120),MRB!$B$21:$B$38,0)-1,MATCH(C$7,MRB!$C$2:$E$2,0)-1)*OFFSET(MRB!$F$21,MATCH(YEAR($A120),MRB!$B$21:$B$38,0)-1,MATCH(C$29,MRB!$F$2:$T$2,1))</f>
        <v>0</v>
      </c>
      <c r="D120" s="198">
        <f ca="1">D100*OFFSET(MRB!$C$21,MATCH(YEAR($A120),MRB!$B$21:$B$38,0)-1,MATCH(D$7,MRB!$C$2:$E$2,0)-1)*OFFSET(MRB!$F$21,MATCH(YEAR($A120),MRB!$B$21:$B$38,0)-1,MATCH(D$29,MRB!$F$2:$T$2,1))</f>
        <v>0</v>
      </c>
      <c r="E120" s="198">
        <f ca="1">E100*OFFSET(MRB!$C$21,MATCH(YEAR($A120),MRB!$B$21:$B$38,0)-1,MATCH(E$7,MRB!$C$2:$E$2,0)-1)*OFFSET(MRB!$F$21,MATCH(YEAR($A120),MRB!$B$21:$B$38,0)-1,MATCH(E$29,MRB!$F$2:$T$2,1))</f>
        <v>0</v>
      </c>
      <c r="F120" s="198">
        <f ca="1">F100*OFFSET(MRB!$C$21,MATCH(YEAR($A120),MRB!$B$21:$B$38,0)-1,MATCH(F$7,MRB!$C$2:$E$2,0)-1)*OFFSET(MRB!$F$21,MATCH(YEAR($A120),MRB!$B$21:$B$38,0)-1,MATCH(F$29,MRB!$F$2:$T$2,1))</f>
        <v>0</v>
      </c>
      <c r="G120" s="198">
        <f ca="1">G100*OFFSET(MRB!$C$21,MATCH(YEAR($A120),MRB!$B$21:$B$38,0)-1,MATCH(G$7,MRB!$C$2:$E$2,0)-1)*OFFSET(MRB!$F$21,MATCH(YEAR($A120),MRB!$B$21:$B$38,0)-1,MATCH(G$29,MRB!$F$2:$T$2,1))</f>
        <v>0</v>
      </c>
      <c r="H120" s="198" t="e">
        <f ca="1">H100*OFFSET(MRB!$C$21,MATCH(YEAR($A120),MRB!$B$21:$B$38,0)-1,MATCH(H$7,MRB!$C$2:$E$2,0)-1)*OFFSET(MRB!$F$21,MATCH(YEAR($A120),MRB!$B$21:$B$38,0)-1,MATCH(H$29,MRB!$F$2:$T$2,1))</f>
        <v>#N/A</v>
      </c>
      <c r="I120" s="198">
        <f ca="1">I100*OFFSET(MRB!$C$21,MATCH(YEAR($A120),MRB!$B$21:$B$38,0)-1,MATCH(I$7,MRB!$C$2:$E$2,0)-1)*OFFSET(MRB!$F$21,MATCH(YEAR($A120),MRB!$B$21:$B$38,0)-1,MATCH(I$29,MRB!$F$2:$T$2,1))</f>
        <v>0</v>
      </c>
      <c r="J120" s="198">
        <f ca="1">J100*OFFSET(MRB!$C$21,MATCH(YEAR($A120),MRB!$B$21:$B$38,0)-1,MATCH(J$7,MRB!$C$2:$E$2,0)-1)*OFFSET(MRB!$F$21,MATCH(YEAR($A120),MRB!$B$21:$B$38,0)-1,MATCH(J$29,MRB!$F$2:$T$2,1))</f>
        <v>0</v>
      </c>
      <c r="K120" s="198">
        <f ca="1">K100*OFFSET(MRB!$C$21,MATCH(YEAR($A120),MRB!$B$21:$B$38,0)-1,MATCH(K$7,MRB!$C$2:$E$2,0)-1)*OFFSET(MRB!$F$21,MATCH(YEAR($A120),MRB!$B$21:$B$38,0)-1,MATCH(K$29,MRB!$F$2:$T$2,1))</f>
        <v>0</v>
      </c>
      <c r="L120" s="198">
        <f ca="1">L100*OFFSET(MRB!$C$21,MATCH(YEAR($A120),MRB!$B$21:$B$38,0)-1,MATCH(L$7,MRB!$C$2:$E$2,0)-1)*OFFSET(MRB!$F$21,MATCH(YEAR($A120),MRB!$B$21:$B$38,0)-1,MATCH(L$29,MRB!$F$2:$T$2,1))</f>
        <v>859.68033470257694</v>
      </c>
      <c r="M120" s="198">
        <f ca="1">M100*OFFSET(MRB!$C$21,MATCH(YEAR($A120),MRB!$B$21:$B$38,0)-1,MATCH(M$7,MRB!$C$2:$E$2,0)-1)*OFFSET(MRB!$F$21,MATCH(YEAR($A120),MRB!$B$21:$B$38,0)-1,MATCH(M$29,MRB!$F$2:$T$2,1))</f>
        <v>0</v>
      </c>
      <c r="N120" s="198">
        <f ca="1">N100*OFFSET(MRB!$C$21,MATCH(YEAR($A120),MRB!$B$21:$B$38,0)-1,MATCH(N$7,MRB!$C$2:$E$2,0)-1)*OFFSET(MRB!$F$21,MATCH(YEAR($A120),MRB!$B$21:$B$38,0)-1,MATCH(N$29,MRB!$F$2:$T$2,1))</f>
        <v>0</v>
      </c>
      <c r="O120" s="198">
        <f ca="1">O100*OFFSET(MRB!$C$21,MATCH(YEAR($A120),MRB!$B$21:$B$38,0)-1,MATCH(O$7,MRB!$C$2:$E$2,0)-1)*OFFSET(MRB!$F$21,MATCH(YEAR($A120),MRB!$B$21:$B$38,0)-1,MATCH(O$29,MRB!$F$2:$T$2,1))</f>
        <v>0</v>
      </c>
      <c r="P120" s="198">
        <f ca="1">P100*OFFSET(MRB!$C$21,MATCH(YEAR($A120),MRB!$B$21:$B$38,0)-1,MATCH(P$7,MRB!$C$2:$E$2,0)-1)*OFFSET(MRB!$F$21,MATCH(YEAR($A120),MRB!$B$21:$B$38,0)-1,MATCH(P$29,MRB!$F$2:$T$2,1))</f>
        <v>0</v>
      </c>
      <c r="Q120" s="198">
        <f ca="1">Q100*OFFSET(MRB!$C$21,MATCH(YEAR($A120),MRB!$B$21:$B$38,0)-1,MATCH(Q$7,MRB!$C$2:$E$2,0)-1)*OFFSET(MRB!$F$21,MATCH(YEAR($A120),MRB!$B$21:$B$38,0)-1,MATCH(Q$29,MRB!$F$2:$T$2,1))</f>
        <v>0</v>
      </c>
      <c r="R120" s="198">
        <f ca="1">R100*OFFSET(MRB!$C$21,MATCH(YEAR($A120),MRB!$B$21:$B$38,0)-1,MATCH(R$7,MRB!$C$2:$E$2,0)-1)*OFFSET(MRB!$F$21,MATCH(YEAR($A120),MRB!$B$21:$B$38,0)-1,MATCH(R$29,MRB!$F$2:$T$2,1))</f>
        <v>148.4073923271678</v>
      </c>
      <c r="S120" s="198">
        <f ca="1">S100*OFFSET(MRB!$C$21,MATCH(YEAR($A120),MRB!$B$21:$B$38,0)-1,MATCH(S$7,MRB!$C$2:$E$2,0)-1)*OFFSET(MRB!$F$21,MATCH(YEAR($A120),MRB!$B$21:$B$38,0)-1,MATCH(S$29,MRB!$F$2:$T$2,1))</f>
        <v>0</v>
      </c>
      <c r="T120" s="198">
        <f ca="1">T100*OFFSET(MRB!$C$21,MATCH(YEAR($A120),MRB!$B$21:$B$38,0)-1,MATCH(T$7,MRB!$C$2:$E$2,0)-1)*OFFSET(MRB!$F$21,MATCH(YEAR($A120),MRB!$B$21:$B$38,0)-1,MATCH(T$29,MRB!$F$2:$T$2,1))</f>
        <v>1821.8391198995014</v>
      </c>
      <c r="U120" s="198">
        <f ca="1">U100*OFFSET(MRB!$C$21,MATCH(YEAR($A120),MRB!$B$21:$B$38,0)-1,MATCH(U$7,MRB!$C$2:$E$2,0)-1)*OFFSET(MRB!$F$21,MATCH(YEAR($A120),MRB!$B$21:$B$38,0)-1,MATCH(U$29,MRB!$F$2:$T$2,1))</f>
        <v>1981.2500428907072</v>
      </c>
      <c r="V120" s="198">
        <f ca="1">V100*OFFSET(MRB!$C$21,MATCH(YEAR($A120),MRB!$B$21:$B$38,0)-1,MATCH(V$7,MRB!$C$2:$E$2,0)-1)*OFFSET(MRB!$F$21,MATCH(YEAR($A120),MRB!$B$21:$B$38,0)-1,MATCH(V$29,MRB!$F$2:$T$2,1))</f>
        <v>1066.5631875375673</v>
      </c>
    </row>
    <row r="121" spans="1:22" x14ac:dyDescent="0.35">
      <c r="A121" s="197">
        <v>48945</v>
      </c>
      <c r="B121"/>
      <c r="C121" s="198">
        <f ca="1">C101*OFFSET(MRB!$C$21,MATCH(YEAR($A121),MRB!$B$21:$B$38,0)-1,MATCH(C$7,MRB!$C$2:$E$2,0)-1)*OFFSET(MRB!$F$21,MATCH(YEAR($A121),MRB!$B$21:$B$38,0)-1,MATCH(C$29,MRB!$F$2:$T$2,1))</f>
        <v>0</v>
      </c>
      <c r="D121" s="198">
        <f ca="1">D101*OFFSET(MRB!$C$21,MATCH(YEAR($A121),MRB!$B$21:$B$38,0)-1,MATCH(D$7,MRB!$C$2:$E$2,0)-1)*OFFSET(MRB!$F$21,MATCH(YEAR($A121),MRB!$B$21:$B$38,0)-1,MATCH(D$29,MRB!$F$2:$T$2,1))</f>
        <v>0</v>
      </c>
      <c r="E121" s="198">
        <f ca="1">E101*OFFSET(MRB!$C$21,MATCH(YEAR($A121),MRB!$B$21:$B$38,0)-1,MATCH(E$7,MRB!$C$2:$E$2,0)-1)*OFFSET(MRB!$F$21,MATCH(YEAR($A121),MRB!$B$21:$B$38,0)-1,MATCH(E$29,MRB!$F$2:$T$2,1))</f>
        <v>0</v>
      </c>
      <c r="F121" s="198">
        <f ca="1">F101*OFFSET(MRB!$C$21,MATCH(YEAR($A121),MRB!$B$21:$B$38,0)-1,MATCH(F$7,MRB!$C$2:$E$2,0)-1)*OFFSET(MRB!$F$21,MATCH(YEAR($A121),MRB!$B$21:$B$38,0)-1,MATCH(F$29,MRB!$F$2:$T$2,1))</f>
        <v>0</v>
      </c>
      <c r="G121" s="198">
        <f ca="1">G101*OFFSET(MRB!$C$21,MATCH(YEAR($A121),MRB!$B$21:$B$38,0)-1,MATCH(G$7,MRB!$C$2:$E$2,0)-1)*OFFSET(MRB!$F$21,MATCH(YEAR($A121),MRB!$B$21:$B$38,0)-1,MATCH(G$29,MRB!$F$2:$T$2,1))</f>
        <v>0</v>
      </c>
      <c r="H121" s="198" t="e">
        <f ca="1">H101*OFFSET(MRB!$C$21,MATCH(YEAR($A121),MRB!$B$21:$B$38,0)-1,MATCH(H$7,MRB!$C$2:$E$2,0)-1)*OFFSET(MRB!$F$21,MATCH(YEAR($A121),MRB!$B$21:$B$38,0)-1,MATCH(H$29,MRB!$F$2:$T$2,1))</f>
        <v>#N/A</v>
      </c>
      <c r="I121" s="198">
        <f ca="1">I101*OFFSET(MRB!$C$21,MATCH(YEAR($A121),MRB!$B$21:$B$38,0)-1,MATCH(I$7,MRB!$C$2:$E$2,0)-1)*OFFSET(MRB!$F$21,MATCH(YEAR($A121),MRB!$B$21:$B$38,0)-1,MATCH(I$29,MRB!$F$2:$T$2,1))</f>
        <v>0</v>
      </c>
      <c r="J121" s="198">
        <f ca="1">J101*OFFSET(MRB!$C$21,MATCH(YEAR($A121),MRB!$B$21:$B$38,0)-1,MATCH(J$7,MRB!$C$2:$E$2,0)-1)*OFFSET(MRB!$F$21,MATCH(YEAR($A121),MRB!$B$21:$B$38,0)-1,MATCH(J$29,MRB!$F$2:$T$2,1))</f>
        <v>0</v>
      </c>
      <c r="K121" s="198">
        <f ca="1">K101*OFFSET(MRB!$C$21,MATCH(YEAR($A121),MRB!$B$21:$B$38,0)-1,MATCH(K$7,MRB!$C$2:$E$2,0)-1)*OFFSET(MRB!$F$21,MATCH(YEAR($A121),MRB!$B$21:$B$38,0)-1,MATCH(K$29,MRB!$F$2:$T$2,1))</f>
        <v>0</v>
      </c>
      <c r="L121" s="198">
        <f ca="1">L101*OFFSET(MRB!$C$21,MATCH(YEAR($A121),MRB!$B$21:$B$38,0)-1,MATCH(L$7,MRB!$C$2:$E$2,0)-1)*OFFSET(MRB!$F$21,MATCH(YEAR($A121),MRB!$B$21:$B$38,0)-1,MATCH(L$29,MRB!$F$2:$T$2,1))</f>
        <v>894.06754809068002</v>
      </c>
      <c r="M121" s="198">
        <f ca="1">M101*OFFSET(MRB!$C$21,MATCH(YEAR($A121),MRB!$B$21:$B$38,0)-1,MATCH(M$7,MRB!$C$2:$E$2,0)-1)*OFFSET(MRB!$F$21,MATCH(YEAR($A121),MRB!$B$21:$B$38,0)-1,MATCH(M$29,MRB!$F$2:$T$2,1))</f>
        <v>0</v>
      </c>
      <c r="N121" s="198">
        <f ca="1">N101*OFFSET(MRB!$C$21,MATCH(YEAR($A121),MRB!$B$21:$B$38,0)-1,MATCH(N$7,MRB!$C$2:$E$2,0)-1)*OFFSET(MRB!$F$21,MATCH(YEAR($A121),MRB!$B$21:$B$38,0)-1,MATCH(N$29,MRB!$F$2:$T$2,1))</f>
        <v>0</v>
      </c>
      <c r="O121" s="198">
        <f ca="1">O101*OFFSET(MRB!$C$21,MATCH(YEAR($A121),MRB!$B$21:$B$38,0)-1,MATCH(O$7,MRB!$C$2:$E$2,0)-1)*OFFSET(MRB!$F$21,MATCH(YEAR($A121),MRB!$B$21:$B$38,0)-1,MATCH(O$29,MRB!$F$2:$T$2,1))</f>
        <v>0</v>
      </c>
      <c r="P121" s="198">
        <f ca="1">P101*OFFSET(MRB!$C$21,MATCH(YEAR($A121),MRB!$B$21:$B$38,0)-1,MATCH(P$7,MRB!$C$2:$E$2,0)-1)*OFFSET(MRB!$F$21,MATCH(YEAR($A121),MRB!$B$21:$B$38,0)-1,MATCH(P$29,MRB!$F$2:$T$2,1))</f>
        <v>0</v>
      </c>
      <c r="Q121" s="198">
        <f ca="1">Q101*OFFSET(MRB!$C$21,MATCH(YEAR($A121),MRB!$B$21:$B$38,0)-1,MATCH(Q$7,MRB!$C$2:$E$2,0)-1)*OFFSET(MRB!$F$21,MATCH(YEAR($A121),MRB!$B$21:$B$38,0)-1,MATCH(Q$29,MRB!$F$2:$T$2,1))</f>
        <v>0</v>
      </c>
      <c r="R121" s="198">
        <f ca="1">R101*OFFSET(MRB!$C$21,MATCH(YEAR($A121),MRB!$B$21:$B$38,0)-1,MATCH(R$7,MRB!$C$2:$E$2,0)-1)*OFFSET(MRB!$F$21,MATCH(YEAR($A121),MRB!$B$21:$B$38,0)-1,MATCH(R$29,MRB!$F$2:$T$2,1))</f>
        <v>0</v>
      </c>
      <c r="S121" s="198">
        <f ca="1">S101*OFFSET(MRB!$C$21,MATCH(YEAR($A121),MRB!$B$21:$B$38,0)-1,MATCH(S$7,MRB!$C$2:$E$2,0)-1)*OFFSET(MRB!$F$21,MATCH(YEAR($A121),MRB!$B$21:$B$38,0)-1,MATCH(S$29,MRB!$F$2:$T$2,1))</f>
        <v>0</v>
      </c>
      <c r="T121" s="198">
        <f ca="1">T101*OFFSET(MRB!$C$21,MATCH(YEAR($A121),MRB!$B$21:$B$38,0)-1,MATCH(T$7,MRB!$C$2:$E$2,0)-1)*OFFSET(MRB!$F$21,MATCH(YEAR($A121),MRB!$B$21:$B$38,0)-1,MATCH(T$29,MRB!$F$2:$T$2,1))</f>
        <v>1894.7126846954816</v>
      </c>
      <c r="U121" s="198">
        <f ca="1">U101*OFFSET(MRB!$C$21,MATCH(YEAR($A121),MRB!$B$21:$B$38,0)-1,MATCH(U$7,MRB!$C$2:$E$2,0)-1)*OFFSET(MRB!$F$21,MATCH(YEAR($A121),MRB!$B$21:$B$38,0)-1,MATCH(U$29,MRB!$F$2:$T$2,1))</f>
        <v>2060.5000446063355</v>
      </c>
      <c r="V121" s="198">
        <f ca="1">V101*OFFSET(MRB!$C$21,MATCH(YEAR($A121),MRB!$B$21:$B$38,0)-1,MATCH(V$7,MRB!$C$2:$E$2,0)-1)*OFFSET(MRB!$F$21,MATCH(YEAR($A121),MRB!$B$21:$B$38,0)-1,MATCH(V$29,MRB!$F$2:$T$2,1))</f>
        <v>0</v>
      </c>
    </row>
    <row r="122" spans="1:22" x14ac:dyDescent="0.35">
      <c r="A122" s="197">
        <v>49310</v>
      </c>
      <c r="B122"/>
      <c r="C122" s="198">
        <f ca="1">C102*OFFSET(MRB!$C$21,MATCH(YEAR($A122),MRB!$B$21:$B$38,0)-1,MATCH(C$7,MRB!$C$2:$E$2,0)-1)*OFFSET(MRB!$F$21,MATCH(YEAR($A122),MRB!$B$21:$B$38,0)-1,MATCH(C$29,MRB!$F$2:$T$2,1))</f>
        <v>0</v>
      </c>
      <c r="D122" s="198">
        <f ca="1">D102*OFFSET(MRB!$C$21,MATCH(YEAR($A122),MRB!$B$21:$B$38,0)-1,MATCH(D$7,MRB!$C$2:$E$2,0)-1)*OFFSET(MRB!$F$21,MATCH(YEAR($A122),MRB!$B$21:$B$38,0)-1,MATCH(D$29,MRB!$F$2:$T$2,1))</f>
        <v>0</v>
      </c>
      <c r="E122" s="198">
        <f ca="1">E102*OFFSET(MRB!$C$21,MATCH(YEAR($A122),MRB!$B$21:$B$38,0)-1,MATCH(E$7,MRB!$C$2:$E$2,0)-1)*OFFSET(MRB!$F$21,MATCH(YEAR($A122),MRB!$B$21:$B$38,0)-1,MATCH(E$29,MRB!$F$2:$T$2,1))</f>
        <v>0</v>
      </c>
      <c r="F122" s="198">
        <f ca="1">F102*OFFSET(MRB!$C$21,MATCH(YEAR($A122),MRB!$B$21:$B$38,0)-1,MATCH(F$7,MRB!$C$2:$E$2,0)-1)*OFFSET(MRB!$F$21,MATCH(YEAR($A122),MRB!$B$21:$B$38,0)-1,MATCH(F$29,MRB!$F$2:$T$2,1))</f>
        <v>0</v>
      </c>
      <c r="G122" s="198">
        <f ca="1">G102*OFFSET(MRB!$C$21,MATCH(YEAR($A122),MRB!$B$21:$B$38,0)-1,MATCH(G$7,MRB!$C$2:$E$2,0)-1)*OFFSET(MRB!$F$21,MATCH(YEAR($A122),MRB!$B$21:$B$38,0)-1,MATCH(G$29,MRB!$F$2:$T$2,1))</f>
        <v>0</v>
      </c>
      <c r="H122" s="198" t="e">
        <f ca="1">H102*OFFSET(MRB!$C$21,MATCH(YEAR($A122),MRB!$B$21:$B$38,0)-1,MATCH(H$7,MRB!$C$2:$E$2,0)-1)*OFFSET(MRB!$F$21,MATCH(YEAR($A122),MRB!$B$21:$B$38,0)-1,MATCH(H$29,MRB!$F$2:$T$2,1))</f>
        <v>#N/A</v>
      </c>
      <c r="I122" s="198">
        <f ca="1">I102*OFFSET(MRB!$C$21,MATCH(YEAR($A122),MRB!$B$21:$B$38,0)-1,MATCH(I$7,MRB!$C$2:$E$2,0)-1)*OFFSET(MRB!$F$21,MATCH(YEAR($A122),MRB!$B$21:$B$38,0)-1,MATCH(I$29,MRB!$F$2:$T$2,1))</f>
        <v>0</v>
      </c>
      <c r="J122" s="198">
        <f ca="1">J102*OFFSET(MRB!$C$21,MATCH(YEAR($A122),MRB!$B$21:$B$38,0)-1,MATCH(J$7,MRB!$C$2:$E$2,0)-1)*OFFSET(MRB!$F$21,MATCH(YEAR($A122),MRB!$B$21:$B$38,0)-1,MATCH(J$29,MRB!$F$2:$T$2,1))</f>
        <v>0</v>
      </c>
      <c r="K122" s="198">
        <f ca="1">K102*OFFSET(MRB!$C$21,MATCH(YEAR($A122),MRB!$B$21:$B$38,0)-1,MATCH(K$7,MRB!$C$2:$E$2,0)-1)*OFFSET(MRB!$F$21,MATCH(YEAR($A122),MRB!$B$21:$B$38,0)-1,MATCH(K$29,MRB!$F$2:$T$2,1))</f>
        <v>0</v>
      </c>
      <c r="L122" s="198">
        <f ca="1">L102*OFFSET(MRB!$C$21,MATCH(YEAR($A122),MRB!$B$21:$B$38,0)-1,MATCH(L$7,MRB!$C$2:$E$2,0)-1)*OFFSET(MRB!$F$21,MATCH(YEAR($A122),MRB!$B$21:$B$38,0)-1,MATCH(L$29,MRB!$F$2:$T$2,1))</f>
        <v>929.83025001430724</v>
      </c>
      <c r="M122" s="198">
        <f ca="1">M102*OFFSET(MRB!$C$21,MATCH(YEAR($A122),MRB!$B$21:$B$38,0)-1,MATCH(M$7,MRB!$C$2:$E$2,0)-1)*OFFSET(MRB!$F$21,MATCH(YEAR($A122),MRB!$B$21:$B$38,0)-1,MATCH(M$29,MRB!$F$2:$T$2,1))</f>
        <v>0</v>
      </c>
      <c r="N122" s="198">
        <f ca="1">N102*OFFSET(MRB!$C$21,MATCH(YEAR($A122),MRB!$B$21:$B$38,0)-1,MATCH(N$7,MRB!$C$2:$E$2,0)-1)*OFFSET(MRB!$F$21,MATCH(YEAR($A122),MRB!$B$21:$B$38,0)-1,MATCH(N$29,MRB!$F$2:$T$2,1))</f>
        <v>0</v>
      </c>
      <c r="O122" s="198">
        <f ca="1">O102*OFFSET(MRB!$C$21,MATCH(YEAR($A122),MRB!$B$21:$B$38,0)-1,MATCH(O$7,MRB!$C$2:$E$2,0)-1)*OFFSET(MRB!$F$21,MATCH(YEAR($A122),MRB!$B$21:$B$38,0)-1,MATCH(O$29,MRB!$F$2:$T$2,1))</f>
        <v>0</v>
      </c>
      <c r="P122" s="198">
        <f ca="1">P102*OFFSET(MRB!$C$21,MATCH(YEAR($A122),MRB!$B$21:$B$38,0)-1,MATCH(P$7,MRB!$C$2:$E$2,0)-1)*OFFSET(MRB!$F$21,MATCH(YEAR($A122),MRB!$B$21:$B$38,0)-1,MATCH(P$29,MRB!$F$2:$T$2,1))</f>
        <v>0</v>
      </c>
      <c r="Q122" s="198">
        <f ca="1">Q102*OFFSET(MRB!$C$21,MATCH(YEAR($A122),MRB!$B$21:$B$38,0)-1,MATCH(Q$7,MRB!$C$2:$E$2,0)-1)*OFFSET(MRB!$F$21,MATCH(YEAR($A122),MRB!$B$21:$B$38,0)-1,MATCH(Q$29,MRB!$F$2:$T$2,1))</f>
        <v>0</v>
      </c>
      <c r="R122" s="198">
        <f ca="1">R102*OFFSET(MRB!$C$21,MATCH(YEAR($A122),MRB!$B$21:$B$38,0)-1,MATCH(R$7,MRB!$C$2:$E$2,0)-1)*OFFSET(MRB!$F$21,MATCH(YEAR($A122),MRB!$B$21:$B$38,0)-1,MATCH(R$29,MRB!$F$2:$T$2,1))</f>
        <v>0</v>
      </c>
      <c r="S122" s="198">
        <f ca="1">S102*OFFSET(MRB!$C$21,MATCH(YEAR($A122),MRB!$B$21:$B$38,0)-1,MATCH(S$7,MRB!$C$2:$E$2,0)-1)*OFFSET(MRB!$F$21,MATCH(YEAR($A122),MRB!$B$21:$B$38,0)-1,MATCH(S$29,MRB!$F$2:$T$2,1))</f>
        <v>0</v>
      </c>
      <c r="T122" s="198">
        <f ca="1">T102*OFFSET(MRB!$C$21,MATCH(YEAR($A122),MRB!$B$21:$B$38,0)-1,MATCH(T$7,MRB!$C$2:$E$2,0)-1)*OFFSET(MRB!$F$21,MATCH(YEAR($A122),MRB!$B$21:$B$38,0)-1,MATCH(T$29,MRB!$F$2:$T$2,1))</f>
        <v>1970.501192083301</v>
      </c>
      <c r="U122" s="198">
        <f ca="1">U102*OFFSET(MRB!$C$21,MATCH(YEAR($A122),MRB!$B$21:$B$38,0)-1,MATCH(U$7,MRB!$C$2:$E$2,0)-1)*OFFSET(MRB!$F$21,MATCH(YEAR($A122),MRB!$B$21:$B$38,0)-1,MATCH(U$29,MRB!$F$2:$T$2,1))</f>
        <v>2142.9200463905891</v>
      </c>
      <c r="V122" s="198">
        <f ca="1">V102*OFFSET(MRB!$C$21,MATCH(YEAR($A122),MRB!$B$21:$B$38,0)-1,MATCH(V$7,MRB!$C$2:$E$2,0)-1)*OFFSET(MRB!$F$21,MATCH(YEAR($A122),MRB!$B$21:$B$38,0)-1,MATCH(V$29,MRB!$F$2:$T$2,1))</f>
        <v>0</v>
      </c>
    </row>
    <row r="123" spans="1:22" x14ac:dyDescent="0.35">
      <c r="A123" s="197">
        <v>49675</v>
      </c>
      <c r="B123"/>
      <c r="C123" s="198">
        <f ca="1">C103*OFFSET(MRB!$C$21,MATCH(YEAR($A123),MRB!$B$21:$B$38,0)-1,MATCH(C$7,MRB!$C$2:$E$2,0)-1)*OFFSET(MRB!$F$21,MATCH(YEAR($A123),MRB!$B$21:$B$38,0)-1,MATCH(C$29,MRB!$F$2:$T$2,1))</f>
        <v>0</v>
      </c>
      <c r="D123" s="198">
        <f ca="1">D103*OFFSET(MRB!$C$21,MATCH(YEAR($A123),MRB!$B$21:$B$38,0)-1,MATCH(D$7,MRB!$C$2:$E$2,0)-1)*OFFSET(MRB!$F$21,MATCH(YEAR($A123),MRB!$B$21:$B$38,0)-1,MATCH(D$29,MRB!$F$2:$T$2,1))</f>
        <v>0</v>
      </c>
      <c r="E123" s="198">
        <f ca="1">E103*OFFSET(MRB!$C$21,MATCH(YEAR($A123),MRB!$B$21:$B$38,0)-1,MATCH(E$7,MRB!$C$2:$E$2,0)-1)*OFFSET(MRB!$F$21,MATCH(YEAR($A123),MRB!$B$21:$B$38,0)-1,MATCH(E$29,MRB!$F$2:$T$2,1))</f>
        <v>0</v>
      </c>
      <c r="F123" s="198">
        <f ca="1">F103*OFFSET(MRB!$C$21,MATCH(YEAR($A123),MRB!$B$21:$B$38,0)-1,MATCH(F$7,MRB!$C$2:$E$2,0)-1)*OFFSET(MRB!$F$21,MATCH(YEAR($A123),MRB!$B$21:$B$38,0)-1,MATCH(F$29,MRB!$F$2:$T$2,1))</f>
        <v>0</v>
      </c>
      <c r="G123" s="198">
        <f ca="1">G103*OFFSET(MRB!$C$21,MATCH(YEAR($A123),MRB!$B$21:$B$38,0)-1,MATCH(G$7,MRB!$C$2:$E$2,0)-1)*OFFSET(MRB!$F$21,MATCH(YEAR($A123),MRB!$B$21:$B$38,0)-1,MATCH(G$29,MRB!$F$2:$T$2,1))</f>
        <v>0</v>
      </c>
      <c r="H123" s="198" t="e">
        <f ca="1">H103*OFFSET(MRB!$C$21,MATCH(YEAR($A123),MRB!$B$21:$B$38,0)-1,MATCH(H$7,MRB!$C$2:$E$2,0)-1)*OFFSET(MRB!$F$21,MATCH(YEAR($A123),MRB!$B$21:$B$38,0)-1,MATCH(H$29,MRB!$F$2:$T$2,1))</f>
        <v>#N/A</v>
      </c>
      <c r="I123" s="198">
        <f ca="1">I103*OFFSET(MRB!$C$21,MATCH(YEAR($A123),MRB!$B$21:$B$38,0)-1,MATCH(I$7,MRB!$C$2:$E$2,0)-1)*OFFSET(MRB!$F$21,MATCH(YEAR($A123),MRB!$B$21:$B$38,0)-1,MATCH(I$29,MRB!$F$2:$T$2,1))</f>
        <v>0</v>
      </c>
      <c r="J123" s="198">
        <f ca="1">J103*OFFSET(MRB!$C$21,MATCH(YEAR($A123),MRB!$B$21:$B$38,0)-1,MATCH(J$7,MRB!$C$2:$E$2,0)-1)*OFFSET(MRB!$F$21,MATCH(YEAR($A123),MRB!$B$21:$B$38,0)-1,MATCH(J$29,MRB!$F$2:$T$2,1))</f>
        <v>0</v>
      </c>
      <c r="K123" s="198">
        <f ca="1">K103*OFFSET(MRB!$C$21,MATCH(YEAR($A123),MRB!$B$21:$B$38,0)-1,MATCH(K$7,MRB!$C$2:$E$2,0)-1)*OFFSET(MRB!$F$21,MATCH(YEAR($A123),MRB!$B$21:$B$38,0)-1,MATCH(K$29,MRB!$F$2:$T$2,1))</f>
        <v>0</v>
      </c>
      <c r="L123" s="198">
        <f ca="1">L103*OFFSET(MRB!$C$21,MATCH(YEAR($A123),MRB!$B$21:$B$38,0)-1,MATCH(L$7,MRB!$C$2:$E$2,0)-1)*OFFSET(MRB!$F$21,MATCH(YEAR($A123),MRB!$B$21:$B$38,0)-1,MATCH(L$29,MRB!$F$2:$T$2,1))</f>
        <v>967.02346001487956</v>
      </c>
      <c r="M123" s="198">
        <f ca="1">M103*OFFSET(MRB!$C$21,MATCH(YEAR($A123),MRB!$B$21:$B$38,0)-1,MATCH(M$7,MRB!$C$2:$E$2,0)-1)*OFFSET(MRB!$F$21,MATCH(YEAR($A123),MRB!$B$21:$B$38,0)-1,MATCH(M$29,MRB!$F$2:$T$2,1))</f>
        <v>0</v>
      </c>
      <c r="N123" s="198">
        <f ca="1">N103*OFFSET(MRB!$C$21,MATCH(YEAR($A123),MRB!$B$21:$B$38,0)-1,MATCH(N$7,MRB!$C$2:$E$2,0)-1)*OFFSET(MRB!$F$21,MATCH(YEAR($A123),MRB!$B$21:$B$38,0)-1,MATCH(N$29,MRB!$F$2:$T$2,1))</f>
        <v>0</v>
      </c>
      <c r="O123" s="198">
        <f ca="1">O103*OFFSET(MRB!$C$21,MATCH(YEAR($A123),MRB!$B$21:$B$38,0)-1,MATCH(O$7,MRB!$C$2:$E$2,0)-1)*OFFSET(MRB!$F$21,MATCH(YEAR($A123),MRB!$B$21:$B$38,0)-1,MATCH(O$29,MRB!$F$2:$T$2,1))</f>
        <v>0</v>
      </c>
      <c r="P123" s="198">
        <f ca="1">P103*OFFSET(MRB!$C$21,MATCH(YEAR($A123),MRB!$B$21:$B$38,0)-1,MATCH(P$7,MRB!$C$2:$E$2,0)-1)*OFFSET(MRB!$F$21,MATCH(YEAR($A123),MRB!$B$21:$B$38,0)-1,MATCH(P$29,MRB!$F$2:$T$2,1))</f>
        <v>0</v>
      </c>
      <c r="Q123" s="198">
        <f ca="1">Q103*OFFSET(MRB!$C$21,MATCH(YEAR($A123),MRB!$B$21:$B$38,0)-1,MATCH(Q$7,MRB!$C$2:$E$2,0)-1)*OFFSET(MRB!$F$21,MATCH(YEAR($A123),MRB!$B$21:$B$38,0)-1,MATCH(Q$29,MRB!$F$2:$T$2,1))</f>
        <v>0</v>
      </c>
      <c r="R123" s="198">
        <f ca="1">R103*OFFSET(MRB!$C$21,MATCH(YEAR($A123),MRB!$B$21:$B$38,0)-1,MATCH(R$7,MRB!$C$2:$E$2,0)-1)*OFFSET(MRB!$F$21,MATCH(YEAR($A123),MRB!$B$21:$B$38,0)-1,MATCH(R$29,MRB!$F$2:$T$2,1))</f>
        <v>0</v>
      </c>
      <c r="S123" s="198">
        <f ca="1">S103*OFFSET(MRB!$C$21,MATCH(YEAR($A123),MRB!$B$21:$B$38,0)-1,MATCH(S$7,MRB!$C$2:$E$2,0)-1)*OFFSET(MRB!$F$21,MATCH(YEAR($A123),MRB!$B$21:$B$38,0)-1,MATCH(S$29,MRB!$F$2:$T$2,1))</f>
        <v>0</v>
      </c>
      <c r="T123" s="198">
        <f ca="1">T103*OFFSET(MRB!$C$21,MATCH(YEAR($A123),MRB!$B$21:$B$38,0)-1,MATCH(T$7,MRB!$C$2:$E$2,0)-1)*OFFSET(MRB!$F$21,MATCH(YEAR($A123),MRB!$B$21:$B$38,0)-1,MATCH(T$29,MRB!$F$2:$T$2,1))</f>
        <v>2049.321239766633</v>
      </c>
      <c r="U123" s="198">
        <f ca="1">U103*OFFSET(MRB!$C$21,MATCH(YEAR($A123),MRB!$B$21:$B$38,0)-1,MATCH(U$7,MRB!$C$2:$E$2,0)-1)*OFFSET(MRB!$F$21,MATCH(YEAR($A123),MRB!$B$21:$B$38,0)-1,MATCH(U$29,MRB!$F$2:$T$2,1))</f>
        <v>2228.6368482462126</v>
      </c>
      <c r="V123" s="198">
        <f ca="1">V103*OFFSET(MRB!$C$21,MATCH(YEAR($A123),MRB!$B$21:$B$38,0)-1,MATCH(V$7,MRB!$C$2:$E$2,0)-1)*OFFSET(MRB!$F$21,MATCH(YEAR($A123),MRB!$B$21:$B$38,0)-1,MATCH(V$29,MRB!$F$2:$T$2,1))</f>
        <v>0</v>
      </c>
    </row>
    <row r="124" spans="1:22" x14ac:dyDescent="0.35">
      <c r="A124" s="197">
        <v>50041</v>
      </c>
      <c r="B124"/>
      <c r="C124" s="198">
        <f ca="1">C104*OFFSET(MRB!$C$21,MATCH(YEAR($A124),MRB!$B$21:$B$38,0)-1,MATCH(C$7,MRB!$C$2:$E$2,0)-1)*OFFSET(MRB!$F$21,MATCH(YEAR($A124),MRB!$B$21:$B$38,0)-1,MATCH(C$29,MRB!$F$2:$T$2,1))</f>
        <v>0</v>
      </c>
      <c r="D124" s="198">
        <f ca="1">D104*OFFSET(MRB!$C$21,MATCH(YEAR($A124),MRB!$B$21:$B$38,0)-1,MATCH(D$7,MRB!$C$2:$E$2,0)-1)*OFFSET(MRB!$F$21,MATCH(YEAR($A124),MRB!$B$21:$B$38,0)-1,MATCH(D$29,MRB!$F$2:$T$2,1))</f>
        <v>0</v>
      </c>
      <c r="E124" s="198">
        <f ca="1">E104*OFFSET(MRB!$C$21,MATCH(YEAR($A124),MRB!$B$21:$B$38,0)-1,MATCH(E$7,MRB!$C$2:$E$2,0)-1)*OFFSET(MRB!$F$21,MATCH(YEAR($A124),MRB!$B$21:$B$38,0)-1,MATCH(E$29,MRB!$F$2:$T$2,1))</f>
        <v>0</v>
      </c>
      <c r="F124" s="198">
        <f ca="1">F104*OFFSET(MRB!$C$21,MATCH(YEAR($A124),MRB!$B$21:$B$38,0)-1,MATCH(F$7,MRB!$C$2:$E$2,0)-1)*OFFSET(MRB!$F$21,MATCH(YEAR($A124),MRB!$B$21:$B$38,0)-1,MATCH(F$29,MRB!$F$2:$T$2,1))</f>
        <v>0</v>
      </c>
      <c r="G124" s="198">
        <f ca="1">G104*OFFSET(MRB!$C$21,MATCH(YEAR($A124),MRB!$B$21:$B$38,0)-1,MATCH(G$7,MRB!$C$2:$E$2,0)-1)*OFFSET(MRB!$F$21,MATCH(YEAR($A124),MRB!$B$21:$B$38,0)-1,MATCH(G$29,MRB!$F$2:$T$2,1))</f>
        <v>0</v>
      </c>
      <c r="H124" s="198" t="e">
        <f ca="1">H104*OFFSET(MRB!$C$21,MATCH(YEAR($A124),MRB!$B$21:$B$38,0)-1,MATCH(H$7,MRB!$C$2:$E$2,0)-1)*OFFSET(MRB!$F$21,MATCH(YEAR($A124),MRB!$B$21:$B$38,0)-1,MATCH(H$29,MRB!$F$2:$T$2,1))</f>
        <v>#N/A</v>
      </c>
      <c r="I124" s="198">
        <f ca="1">I104*OFFSET(MRB!$C$21,MATCH(YEAR($A124),MRB!$B$21:$B$38,0)-1,MATCH(I$7,MRB!$C$2:$E$2,0)-1)*OFFSET(MRB!$F$21,MATCH(YEAR($A124),MRB!$B$21:$B$38,0)-1,MATCH(I$29,MRB!$F$2:$T$2,1))</f>
        <v>0</v>
      </c>
      <c r="J124" s="198">
        <f ca="1">J104*OFFSET(MRB!$C$21,MATCH(YEAR($A124),MRB!$B$21:$B$38,0)-1,MATCH(J$7,MRB!$C$2:$E$2,0)-1)*OFFSET(MRB!$F$21,MATCH(YEAR($A124),MRB!$B$21:$B$38,0)-1,MATCH(J$29,MRB!$F$2:$T$2,1))</f>
        <v>0</v>
      </c>
      <c r="K124" s="198">
        <f ca="1">K104*OFFSET(MRB!$C$21,MATCH(YEAR($A124),MRB!$B$21:$B$38,0)-1,MATCH(K$7,MRB!$C$2:$E$2,0)-1)*OFFSET(MRB!$F$21,MATCH(YEAR($A124),MRB!$B$21:$B$38,0)-1,MATCH(K$29,MRB!$F$2:$T$2,1))</f>
        <v>0</v>
      </c>
      <c r="L124" s="198">
        <f ca="1">L104*OFFSET(MRB!$C$21,MATCH(YEAR($A124),MRB!$B$21:$B$38,0)-1,MATCH(L$7,MRB!$C$2:$E$2,0)-1)*OFFSET(MRB!$F$21,MATCH(YEAR($A124),MRB!$B$21:$B$38,0)-1,MATCH(L$29,MRB!$F$2:$T$2,1))</f>
        <v>1005.7043984154748</v>
      </c>
      <c r="M124" s="198">
        <f ca="1">M104*OFFSET(MRB!$C$21,MATCH(YEAR($A124),MRB!$B$21:$B$38,0)-1,MATCH(M$7,MRB!$C$2:$E$2,0)-1)*OFFSET(MRB!$F$21,MATCH(YEAR($A124),MRB!$B$21:$B$38,0)-1,MATCH(M$29,MRB!$F$2:$T$2,1))</f>
        <v>0</v>
      </c>
      <c r="N124" s="198">
        <f ca="1">N104*OFFSET(MRB!$C$21,MATCH(YEAR($A124),MRB!$B$21:$B$38,0)-1,MATCH(N$7,MRB!$C$2:$E$2,0)-1)*OFFSET(MRB!$F$21,MATCH(YEAR($A124),MRB!$B$21:$B$38,0)-1,MATCH(N$29,MRB!$F$2:$T$2,1))</f>
        <v>0</v>
      </c>
      <c r="O124" s="198">
        <f ca="1">O104*OFFSET(MRB!$C$21,MATCH(YEAR($A124),MRB!$B$21:$B$38,0)-1,MATCH(O$7,MRB!$C$2:$E$2,0)-1)*OFFSET(MRB!$F$21,MATCH(YEAR($A124),MRB!$B$21:$B$38,0)-1,MATCH(O$29,MRB!$F$2:$T$2,1))</f>
        <v>0</v>
      </c>
      <c r="P124" s="198">
        <f ca="1">P104*OFFSET(MRB!$C$21,MATCH(YEAR($A124),MRB!$B$21:$B$38,0)-1,MATCH(P$7,MRB!$C$2:$E$2,0)-1)*OFFSET(MRB!$F$21,MATCH(YEAR($A124),MRB!$B$21:$B$38,0)-1,MATCH(P$29,MRB!$F$2:$T$2,1))</f>
        <v>0</v>
      </c>
      <c r="Q124" s="198">
        <f ca="1">Q104*OFFSET(MRB!$C$21,MATCH(YEAR($A124),MRB!$B$21:$B$38,0)-1,MATCH(Q$7,MRB!$C$2:$E$2,0)-1)*OFFSET(MRB!$F$21,MATCH(YEAR($A124),MRB!$B$21:$B$38,0)-1,MATCH(Q$29,MRB!$F$2:$T$2,1))</f>
        <v>0</v>
      </c>
      <c r="R124" s="198">
        <f ca="1">R104*OFFSET(MRB!$C$21,MATCH(YEAR($A124),MRB!$B$21:$B$38,0)-1,MATCH(R$7,MRB!$C$2:$E$2,0)-1)*OFFSET(MRB!$F$21,MATCH(YEAR($A124),MRB!$B$21:$B$38,0)-1,MATCH(R$29,MRB!$F$2:$T$2,1))</f>
        <v>0</v>
      </c>
      <c r="S124" s="198">
        <f ca="1">S104*OFFSET(MRB!$C$21,MATCH(YEAR($A124),MRB!$B$21:$B$38,0)-1,MATCH(S$7,MRB!$C$2:$E$2,0)-1)*OFFSET(MRB!$F$21,MATCH(YEAR($A124),MRB!$B$21:$B$38,0)-1,MATCH(S$29,MRB!$F$2:$T$2,1))</f>
        <v>0</v>
      </c>
      <c r="T124" s="198">
        <f ca="1">T104*OFFSET(MRB!$C$21,MATCH(YEAR($A124),MRB!$B$21:$B$38,0)-1,MATCH(T$7,MRB!$C$2:$E$2,0)-1)*OFFSET(MRB!$F$21,MATCH(YEAR($A124),MRB!$B$21:$B$38,0)-1,MATCH(T$29,MRB!$F$2:$T$2,1))</f>
        <v>2131.2940893572982</v>
      </c>
      <c r="U124" s="198">
        <f ca="1">U104*OFFSET(MRB!$C$21,MATCH(YEAR($A124),MRB!$B$21:$B$38,0)-1,MATCH(U$7,MRB!$C$2:$E$2,0)-1)*OFFSET(MRB!$F$21,MATCH(YEAR($A124),MRB!$B$21:$B$38,0)-1,MATCH(U$29,MRB!$F$2:$T$2,1))</f>
        <v>2317.7823221760614</v>
      </c>
      <c r="V124" s="198">
        <f ca="1">V104*OFFSET(MRB!$C$21,MATCH(YEAR($A124),MRB!$B$21:$B$38,0)-1,MATCH(V$7,MRB!$C$2:$E$2,0)-1)*OFFSET(MRB!$F$21,MATCH(YEAR($A124),MRB!$B$21:$B$38,0)-1,MATCH(V$29,MRB!$F$2:$T$2,1))</f>
        <v>0</v>
      </c>
    </row>
    <row r="125" spans="1:22" x14ac:dyDescent="0.35">
      <c r="A125" s="197">
        <v>50406</v>
      </c>
      <c r="B125"/>
      <c r="C125" s="198">
        <f ca="1">C105*OFFSET(MRB!$C$21,MATCH(YEAR($A125),MRB!$B$21:$B$38,0)-1,MATCH(C$7,MRB!$C$2:$E$2,0)-1)*OFFSET(MRB!$F$21,MATCH(YEAR($A125),MRB!$B$21:$B$38,0)-1,MATCH(C$29,MRB!$F$2:$T$2,1))</f>
        <v>0</v>
      </c>
      <c r="D125" s="198">
        <f ca="1">D105*OFFSET(MRB!$C$21,MATCH(YEAR($A125),MRB!$B$21:$B$38,0)-1,MATCH(D$7,MRB!$C$2:$E$2,0)-1)*OFFSET(MRB!$F$21,MATCH(YEAR($A125),MRB!$B$21:$B$38,0)-1,MATCH(D$29,MRB!$F$2:$T$2,1))</f>
        <v>0</v>
      </c>
      <c r="E125" s="198">
        <f ca="1">E105*OFFSET(MRB!$C$21,MATCH(YEAR($A125),MRB!$B$21:$B$38,0)-1,MATCH(E$7,MRB!$C$2:$E$2,0)-1)*OFFSET(MRB!$F$21,MATCH(YEAR($A125),MRB!$B$21:$B$38,0)-1,MATCH(E$29,MRB!$F$2:$T$2,1))</f>
        <v>0</v>
      </c>
      <c r="F125" s="198">
        <f ca="1">F105*OFFSET(MRB!$C$21,MATCH(YEAR($A125),MRB!$B$21:$B$38,0)-1,MATCH(F$7,MRB!$C$2:$E$2,0)-1)*OFFSET(MRB!$F$21,MATCH(YEAR($A125),MRB!$B$21:$B$38,0)-1,MATCH(F$29,MRB!$F$2:$T$2,1))</f>
        <v>0</v>
      </c>
      <c r="G125" s="198">
        <f ca="1">G105*OFFSET(MRB!$C$21,MATCH(YEAR($A125),MRB!$B$21:$B$38,0)-1,MATCH(G$7,MRB!$C$2:$E$2,0)-1)*OFFSET(MRB!$F$21,MATCH(YEAR($A125),MRB!$B$21:$B$38,0)-1,MATCH(G$29,MRB!$F$2:$T$2,1))</f>
        <v>0</v>
      </c>
      <c r="H125" s="198" t="e">
        <f ca="1">H105*OFFSET(MRB!$C$21,MATCH(YEAR($A125),MRB!$B$21:$B$38,0)-1,MATCH(H$7,MRB!$C$2:$E$2,0)-1)*OFFSET(MRB!$F$21,MATCH(YEAR($A125),MRB!$B$21:$B$38,0)-1,MATCH(H$29,MRB!$F$2:$T$2,1))</f>
        <v>#N/A</v>
      </c>
      <c r="I125" s="198">
        <f ca="1">I105*OFFSET(MRB!$C$21,MATCH(YEAR($A125),MRB!$B$21:$B$38,0)-1,MATCH(I$7,MRB!$C$2:$E$2,0)-1)*OFFSET(MRB!$F$21,MATCH(YEAR($A125),MRB!$B$21:$B$38,0)-1,MATCH(I$29,MRB!$F$2:$T$2,1))</f>
        <v>0</v>
      </c>
      <c r="J125" s="198">
        <f ca="1">J105*OFFSET(MRB!$C$21,MATCH(YEAR($A125),MRB!$B$21:$B$38,0)-1,MATCH(J$7,MRB!$C$2:$E$2,0)-1)*OFFSET(MRB!$F$21,MATCH(YEAR($A125),MRB!$B$21:$B$38,0)-1,MATCH(J$29,MRB!$F$2:$T$2,1))</f>
        <v>0</v>
      </c>
      <c r="K125" s="198">
        <f ca="1">K105*OFFSET(MRB!$C$21,MATCH(YEAR($A125),MRB!$B$21:$B$38,0)-1,MATCH(K$7,MRB!$C$2:$E$2,0)-1)*OFFSET(MRB!$F$21,MATCH(YEAR($A125),MRB!$B$21:$B$38,0)-1,MATCH(K$29,MRB!$F$2:$T$2,1))</f>
        <v>0</v>
      </c>
      <c r="L125" s="198">
        <f ca="1">L105*OFFSET(MRB!$C$21,MATCH(YEAR($A125),MRB!$B$21:$B$38,0)-1,MATCH(L$7,MRB!$C$2:$E$2,0)-1)*OFFSET(MRB!$F$21,MATCH(YEAR($A125),MRB!$B$21:$B$38,0)-1,MATCH(L$29,MRB!$F$2:$T$2,1))</f>
        <v>1045.9325743520938</v>
      </c>
      <c r="M125" s="198">
        <f ca="1">M105*OFFSET(MRB!$C$21,MATCH(YEAR($A125),MRB!$B$21:$B$38,0)-1,MATCH(M$7,MRB!$C$2:$E$2,0)-1)*OFFSET(MRB!$F$21,MATCH(YEAR($A125),MRB!$B$21:$B$38,0)-1,MATCH(M$29,MRB!$F$2:$T$2,1))</f>
        <v>0</v>
      </c>
      <c r="N125" s="198">
        <f ca="1">N105*OFFSET(MRB!$C$21,MATCH(YEAR($A125),MRB!$B$21:$B$38,0)-1,MATCH(N$7,MRB!$C$2:$E$2,0)-1)*OFFSET(MRB!$F$21,MATCH(YEAR($A125),MRB!$B$21:$B$38,0)-1,MATCH(N$29,MRB!$F$2:$T$2,1))</f>
        <v>0</v>
      </c>
      <c r="O125" s="198">
        <f ca="1">O105*OFFSET(MRB!$C$21,MATCH(YEAR($A125),MRB!$B$21:$B$38,0)-1,MATCH(O$7,MRB!$C$2:$E$2,0)-1)*OFFSET(MRB!$F$21,MATCH(YEAR($A125),MRB!$B$21:$B$38,0)-1,MATCH(O$29,MRB!$F$2:$T$2,1))</f>
        <v>0</v>
      </c>
      <c r="P125" s="198">
        <f ca="1">P105*OFFSET(MRB!$C$21,MATCH(YEAR($A125),MRB!$B$21:$B$38,0)-1,MATCH(P$7,MRB!$C$2:$E$2,0)-1)*OFFSET(MRB!$F$21,MATCH(YEAR($A125),MRB!$B$21:$B$38,0)-1,MATCH(P$29,MRB!$F$2:$T$2,1))</f>
        <v>0</v>
      </c>
      <c r="Q125" s="198">
        <f ca="1">Q105*OFFSET(MRB!$C$21,MATCH(YEAR($A125),MRB!$B$21:$B$38,0)-1,MATCH(Q$7,MRB!$C$2:$E$2,0)-1)*OFFSET(MRB!$F$21,MATCH(YEAR($A125),MRB!$B$21:$B$38,0)-1,MATCH(Q$29,MRB!$F$2:$T$2,1))</f>
        <v>0</v>
      </c>
      <c r="R125" s="198">
        <f ca="1">R105*OFFSET(MRB!$C$21,MATCH(YEAR($A125),MRB!$B$21:$B$38,0)-1,MATCH(R$7,MRB!$C$2:$E$2,0)-1)*OFFSET(MRB!$F$21,MATCH(YEAR($A125),MRB!$B$21:$B$38,0)-1,MATCH(R$29,MRB!$F$2:$T$2,1))</f>
        <v>0</v>
      </c>
      <c r="S125" s="198">
        <f ca="1">S105*OFFSET(MRB!$C$21,MATCH(YEAR($A125),MRB!$B$21:$B$38,0)-1,MATCH(S$7,MRB!$C$2:$E$2,0)-1)*OFFSET(MRB!$F$21,MATCH(YEAR($A125),MRB!$B$21:$B$38,0)-1,MATCH(S$29,MRB!$F$2:$T$2,1))</f>
        <v>0</v>
      </c>
      <c r="T125" s="198">
        <f ca="1">T105*OFFSET(MRB!$C$21,MATCH(YEAR($A125),MRB!$B$21:$B$38,0)-1,MATCH(T$7,MRB!$C$2:$E$2,0)-1)*OFFSET(MRB!$F$21,MATCH(YEAR($A125),MRB!$B$21:$B$38,0)-1,MATCH(T$29,MRB!$F$2:$T$2,1))</f>
        <v>2216.5458529315902</v>
      </c>
      <c r="U125" s="198">
        <f ca="1">U105*OFFSET(MRB!$C$21,MATCH(YEAR($A125),MRB!$B$21:$B$38,0)-1,MATCH(U$7,MRB!$C$2:$E$2,0)-1)*OFFSET(MRB!$F$21,MATCH(YEAR($A125),MRB!$B$21:$B$38,0)-1,MATCH(U$29,MRB!$F$2:$T$2,1))</f>
        <v>2410.4936150631038</v>
      </c>
      <c r="V125" s="198">
        <f ca="1">V105*OFFSET(MRB!$C$21,MATCH(YEAR($A125),MRB!$B$21:$B$38,0)-1,MATCH(V$7,MRB!$C$2:$E$2,0)-1)*OFFSET(MRB!$F$21,MATCH(YEAR($A125),MRB!$B$21:$B$38,0)-1,MATCH(V$29,MRB!$F$2:$T$2,1))</f>
        <v>0</v>
      </c>
    </row>
    <row r="126" spans="1:22" x14ac:dyDescent="0.35">
      <c r="A126" s="197">
        <v>50771</v>
      </c>
      <c r="B126"/>
      <c r="C126" s="198">
        <f ca="1">C106*OFFSET(MRB!$C$21,MATCH(YEAR($A126),MRB!$B$21:$B$38,0)-1,MATCH(C$7,MRB!$C$2:$E$2,0)-1)*OFFSET(MRB!$F$21,MATCH(YEAR($A126),MRB!$B$21:$B$38,0)-1,MATCH(C$29,MRB!$F$2:$T$2,1))</f>
        <v>0</v>
      </c>
      <c r="D126" s="198">
        <f ca="1">D106*OFFSET(MRB!$C$21,MATCH(YEAR($A126),MRB!$B$21:$B$38,0)-1,MATCH(D$7,MRB!$C$2:$E$2,0)-1)*OFFSET(MRB!$F$21,MATCH(YEAR($A126),MRB!$B$21:$B$38,0)-1,MATCH(D$29,MRB!$F$2:$T$2,1))</f>
        <v>0</v>
      </c>
      <c r="E126" s="198">
        <f ca="1">E106*OFFSET(MRB!$C$21,MATCH(YEAR($A126),MRB!$B$21:$B$38,0)-1,MATCH(E$7,MRB!$C$2:$E$2,0)-1)*OFFSET(MRB!$F$21,MATCH(YEAR($A126),MRB!$B$21:$B$38,0)-1,MATCH(E$29,MRB!$F$2:$T$2,1))</f>
        <v>0</v>
      </c>
      <c r="F126" s="198">
        <f ca="1">F106*OFFSET(MRB!$C$21,MATCH(YEAR($A126),MRB!$B$21:$B$38,0)-1,MATCH(F$7,MRB!$C$2:$E$2,0)-1)*OFFSET(MRB!$F$21,MATCH(YEAR($A126),MRB!$B$21:$B$38,0)-1,MATCH(F$29,MRB!$F$2:$T$2,1))</f>
        <v>0</v>
      </c>
      <c r="G126" s="198">
        <f ca="1">G106*OFFSET(MRB!$C$21,MATCH(YEAR($A126),MRB!$B$21:$B$38,0)-1,MATCH(G$7,MRB!$C$2:$E$2,0)-1)*OFFSET(MRB!$F$21,MATCH(YEAR($A126),MRB!$B$21:$B$38,0)-1,MATCH(G$29,MRB!$F$2:$T$2,1))</f>
        <v>0</v>
      </c>
      <c r="H126" s="198" t="e">
        <f ca="1">H106*OFFSET(MRB!$C$21,MATCH(YEAR($A126),MRB!$B$21:$B$38,0)-1,MATCH(H$7,MRB!$C$2:$E$2,0)-1)*OFFSET(MRB!$F$21,MATCH(YEAR($A126),MRB!$B$21:$B$38,0)-1,MATCH(H$29,MRB!$F$2:$T$2,1))</f>
        <v>#N/A</v>
      </c>
      <c r="I126" s="198">
        <f ca="1">I106*OFFSET(MRB!$C$21,MATCH(YEAR($A126),MRB!$B$21:$B$38,0)-1,MATCH(I$7,MRB!$C$2:$E$2,0)-1)*OFFSET(MRB!$F$21,MATCH(YEAR($A126),MRB!$B$21:$B$38,0)-1,MATCH(I$29,MRB!$F$2:$T$2,1))</f>
        <v>0</v>
      </c>
      <c r="J126" s="198">
        <f ca="1">J106*OFFSET(MRB!$C$21,MATCH(YEAR($A126),MRB!$B$21:$B$38,0)-1,MATCH(J$7,MRB!$C$2:$E$2,0)-1)*OFFSET(MRB!$F$21,MATCH(YEAR($A126),MRB!$B$21:$B$38,0)-1,MATCH(J$29,MRB!$F$2:$T$2,1))</f>
        <v>0</v>
      </c>
      <c r="K126" s="198">
        <f ca="1">K106*OFFSET(MRB!$C$21,MATCH(YEAR($A126),MRB!$B$21:$B$38,0)-1,MATCH(K$7,MRB!$C$2:$E$2,0)-1)*OFFSET(MRB!$F$21,MATCH(YEAR($A126),MRB!$B$21:$B$38,0)-1,MATCH(K$29,MRB!$F$2:$T$2,1))</f>
        <v>0</v>
      </c>
      <c r="L126" s="198">
        <f ca="1">L106*OFFSET(MRB!$C$21,MATCH(YEAR($A126),MRB!$B$21:$B$38,0)-1,MATCH(L$7,MRB!$C$2:$E$2,0)-1)*OFFSET(MRB!$F$21,MATCH(YEAR($A126),MRB!$B$21:$B$38,0)-1,MATCH(L$29,MRB!$F$2:$T$2,1))</f>
        <v>0</v>
      </c>
      <c r="M126" s="198">
        <f ca="1">M106*OFFSET(MRB!$C$21,MATCH(YEAR($A126),MRB!$B$21:$B$38,0)-1,MATCH(M$7,MRB!$C$2:$E$2,0)-1)*OFFSET(MRB!$F$21,MATCH(YEAR($A126),MRB!$B$21:$B$38,0)-1,MATCH(M$29,MRB!$F$2:$T$2,1))</f>
        <v>0</v>
      </c>
      <c r="N126" s="198">
        <f ca="1">N106*OFFSET(MRB!$C$21,MATCH(YEAR($A126),MRB!$B$21:$B$38,0)-1,MATCH(N$7,MRB!$C$2:$E$2,0)-1)*OFFSET(MRB!$F$21,MATCH(YEAR($A126),MRB!$B$21:$B$38,0)-1,MATCH(N$29,MRB!$F$2:$T$2,1))</f>
        <v>0</v>
      </c>
      <c r="O126" s="198">
        <f ca="1">O106*OFFSET(MRB!$C$21,MATCH(YEAR($A126),MRB!$B$21:$B$38,0)-1,MATCH(O$7,MRB!$C$2:$E$2,0)-1)*OFFSET(MRB!$F$21,MATCH(YEAR($A126),MRB!$B$21:$B$38,0)-1,MATCH(O$29,MRB!$F$2:$T$2,1))</f>
        <v>0</v>
      </c>
      <c r="P126" s="198">
        <f ca="1">P106*OFFSET(MRB!$C$21,MATCH(YEAR($A126),MRB!$B$21:$B$38,0)-1,MATCH(P$7,MRB!$C$2:$E$2,0)-1)*OFFSET(MRB!$F$21,MATCH(YEAR($A126),MRB!$B$21:$B$38,0)-1,MATCH(P$29,MRB!$F$2:$T$2,1))</f>
        <v>0</v>
      </c>
      <c r="Q126" s="198">
        <f ca="1">Q106*OFFSET(MRB!$C$21,MATCH(YEAR($A126),MRB!$B$21:$B$38,0)-1,MATCH(Q$7,MRB!$C$2:$E$2,0)-1)*OFFSET(MRB!$F$21,MATCH(YEAR($A126),MRB!$B$21:$B$38,0)-1,MATCH(Q$29,MRB!$F$2:$T$2,1))</f>
        <v>0</v>
      </c>
      <c r="R126" s="198">
        <f ca="1">R106*OFFSET(MRB!$C$21,MATCH(YEAR($A126),MRB!$B$21:$B$38,0)-1,MATCH(R$7,MRB!$C$2:$E$2,0)-1)*OFFSET(MRB!$F$21,MATCH(YEAR($A126),MRB!$B$21:$B$38,0)-1,MATCH(R$29,MRB!$F$2:$T$2,1))</f>
        <v>0</v>
      </c>
      <c r="S126" s="198">
        <f ca="1">S106*OFFSET(MRB!$C$21,MATCH(YEAR($A126),MRB!$B$21:$B$38,0)-1,MATCH(S$7,MRB!$C$2:$E$2,0)-1)*OFFSET(MRB!$F$21,MATCH(YEAR($A126),MRB!$B$21:$B$38,0)-1,MATCH(S$29,MRB!$F$2:$T$2,1))</f>
        <v>0</v>
      </c>
      <c r="T126" s="198">
        <f ca="1">T106*OFFSET(MRB!$C$21,MATCH(YEAR($A126),MRB!$B$21:$B$38,0)-1,MATCH(T$7,MRB!$C$2:$E$2,0)-1)*OFFSET(MRB!$F$21,MATCH(YEAR($A126),MRB!$B$21:$B$38,0)-1,MATCH(T$29,MRB!$F$2:$T$2,1))</f>
        <v>0</v>
      </c>
      <c r="U126" s="198">
        <f ca="1">U106*OFFSET(MRB!$C$21,MATCH(YEAR($A126),MRB!$B$21:$B$38,0)-1,MATCH(U$7,MRB!$C$2:$E$2,0)-1)*OFFSET(MRB!$F$21,MATCH(YEAR($A126),MRB!$B$21:$B$38,0)-1,MATCH(U$29,MRB!$F$2:$T$2,1))</f>
        <v>0</v>
      </c>
      <c r="V126" s="198">
        <f ca="1">V106*OFFSET(MRB!$C$21,MATCH(YEAR($A126),MRB!$B$21:$B$38,0)-1,MATCH(V$7,MRB!$C$2:$E$2,0)-1)*OFFSET(MRB!$F$21,MATCH(YEAR($A126),MRB!$B$21:$B$38,0)-1,MATCH(V$29,MRB!$F$2:$T$2,1))</f>
        <v>0</v>
      </c>
    </row>
    <row r="127" spans="1:22" x14ac:dyDescent="0.35">
      <c r="A127" s="197">
        <v>51136</v>
      </c>
      <c r="B127"/>
      <c r="C127" s="198">
        <f ca="1">C107*OFFSET(MRB!$C$21,MATCH(YEAR($A127),MRB!$B$21:$B$38,0)-1,MATCH(C$7,MRB!$C$2:$E$2,0)-1)*OFFSET(MRB!$F$21,MATCH(YEAR($A127),MRB!$B$21:$B$38,0)-1,MATCH(C$29,MRB!$F$2:$T$2,1))</f>
        <v>0</v>
      </c>
      <c r="D127" s="198">
        <f ca="1">D107*OFFSET(MRB!$C$21,MATCH(YEAR($A127),MRB!$B$21:$B$38,0)-1,MATCH(D$7,MRB!$C$2:$E$2,0)-1)*OFFSET(MRB!$F$21,MATCH(YEAR($A127),MRB!$B$21:$B$38,0)-1,MATCH(D$29,MRB!$F$2:$T$2,1))</f>
        <v>0</v>
      </c>
      <c r="E127" s="198">
        <f ca="1">E107*OFFSET(MRB!$C$21,MATCH(YEAR($A127),MRB!$B$21:$B$38,0)-1,MATCH(E$7,MRB!$C$2:$E$2,0)-1)*OFFSET(MRB!$F$21,MATCH(YEAR($A127),MRB!$B$21:$B$38,0)-1,MATCH(E$29,MRB!$F$2:$T$2,1))</f>
        <v>0</v>
      </c>
      <c r="F127" s="198">
        <f ca="1">F107*OFFSET(MRB!$C$21,MATCH(YEAR($A127),MRB!$B$21:$B$38,0)-1,MATCH(F$7,MRB!$C$2:$E$2,0)-1)*OFFSET(MRB!$F$21,MATCH(YEAR($A127),MRB!$B$21:$B$38,0)-1,MATCH(F$29,MRB!$F$2:$T$2,1))</f>
        <v>0</v>
      </c>
      <c r="G127" s="198">
        <f ca="1">G107*OFFSET(MRB!$C$21,MATCH(YEAR($A127),MRB!$B$21:$B$38,0)-1,MATCH(G$7,MRB!$C$2:$E$2,0)-1)*OFFSET(MRB!$F$21,MATCH(YEAR($A127),MRB!$B$21:$B$38,0)-1,MATCH(G$29,MRB!$F$2:$T$2,1))</f>
        <v>0</v>
      </c>
      <c r="H127" s="198" t="e">
        <f ca="1">H107*OFFSET(MRB!$C$21,MATCH(YEAR($A127),MRB!$B$21:$B$38,0)-1,MATCH(H$7,MRB!$C$2:$E$2,0)-1)*OFFSET(MRB!$F$21,MATCH(YEAR($A127),MRB!$B$21:$B$38,0)-1,MATCH(H$29,MRB!$F$2:$T$2,1))</f>
        <v>#N/A</v>
      </c>
      <c r="I127" s="198">
        <f ca="1">I107*OFFSET(MRB!$C$21,MATCH(YEAR($A127),MRB!$B$21:$B$38,0)-1,MATCH(I$7,MRB!$C$2:$E$2,0)-1)*OFFSET(MRB!$F$21,MATCH(YEAR($A127),MRB!$B$21:$B$38,0)-1,MATCH(I$29,MRB!$F$2:$T$2,1))</f>
        <v>0</v>
      </c>
      <c r="J127" s="198">
        <f ca="1">J107*OFFSET(MRB!$C$21,MATCH(YEAR($A127),MRB!$B$21:$B$38,0)-1,MATCH(J$7,MRB!$C$2:$E$2,0)-1)*OFFSET(MRB!$F$21,MATCH(YEAR($A127),MRB!$B$21:$B$38,0)-1,MATCH(J$29,MRB!$F$2:$T$2,1))</f>
        <v>0</v>
      </c>
      <c r="K127" s="198">
        <f ca="1">K107*OFFSET(MRB!$C$21,MATCH(YEAR($A127),MRB!$B$21:$B$38,0)-1,MATCH(K$7,MRB!$C$2:$E$2,0)-1)*OFFSET(MRB!$F$21,MATCH(YEAR($A127),MRB!$B$21:$B$38,0)-1,MATCH(K$29,MRB!$F$2:$T$2,1))</f>
        <v>0</v>
      </c>
      <c r="L127" s="198">
        <f ca="1">L107*OFFSET(MRB!$C$21,MATCH(YEAR($A127),MRB!$B$21:$B$38,0)-1,MATCH(L$7,MRB!$C$2:$E$2,0)-1)*OFFSET(MRB!$F$21,MATCH(YEAR($A127),MRB!$B$21:$B$38,0)-1,MATCH(L$29,MRB!$F$2:$T$2,1))</f>
        <v>0</v>
      </c>
      <c r="M127" s="198">
        <f ca="1">M107*OFFSET(MRB!$C$21,MATCH(YEAR($A127),MRB!$B$21:$B$38,0)-1,MATCH(M$7,MRB!$C$2:$E$2,0)-1)*OFFSET(MRB!$F$21,MATCH(YEAR($A127),MRB!$B$21:$B$38,0)-1,MATCH(M$29,MRB!$F$2:$T$2,1))</f>
        <v>0</v>
      </c>
      <c r="N127" s="198">
        <f ca="1">N107*OFFSET(MRB!$C$21,MATCH(YEAR($A127),MRB!$B$21:$B$38,0)-1,MATCH(N$7,MRB!$C$2:$E$2,0)-1)*OFFSET(MRB!$F$21,MATCH(YEAR($A127),MRB!$B$21:$B$38,0)-1,MATCH(N$29,MRB!$F$2:$T$2,1))</f>
        <v>0</v>
      </c>
      <c r="O127" s="198">
        <f ca="1">O107*OFFSET(MRB!$C$21,MATCH(YEAR($A127),MRB!$B$21:$B$38,0)-1,MATCH(O$7,MRB!$C$2:$E$2,0)-1)*OFFSET(MRB!$F$21,MATCH(YEAR($A127),MRB!$B$21:$B$38,0)-1,MATCH(O$29,MRB!$F$2:$T$2,1))</f>
        <v>0</v>
      </c>
      <c r="P127" s="198">
        <f ca="1">P107*OFFSET(MRB!$C$21,MATCH(YEAR($A127),MRB!$B$21:$B$38,0)-1,MATCH(P$7,MRB!$C$2:$E$2,0)-1)*OFFSET(MRB!$F$21,MATCH(YEAR($A127),MRB!$B$21:$B$38,0)-1,MATCH(P$29,MRB!$F$2:$T$2,1))</f>
        <v>0</v>
      </c>
      <c r="Q127" s="198">
        <f ca="1">Q107*OFFSET(MRB!$C$21,MATCH(YEAR($A127),MRB!$B$21:$B$38,0)-1,MATCH(Q$7,MRB!$C$2:$E$2,0)-1)*OFFSET(MRB!$F$21,MATCH(YEAR($A127),MRB!$B$21:$B$38,0)-1,MATCH(Q$29,MRB!$F$2:$T$2,1))</f>
        <v>0</v>
      </c>
      <c r="R127" s="198">
        <f ca="1">R107*OFFSET(MRB!$C$21,MATCH(YEAR($A127),MRB!$B$21:$B$38,0)-1,MATCH(R$7,MRB!$C$2:$E$2,0)-1)*OFFSET(MRB!$F$21,MATCH(YEAR($A127),MRB!$B$21:$B$38,0)-1,MATCH(R$29,MRB!$F$2:$T$2,1))</f>
        <v>0</v>
      </c>
      <c r="S127" s="198">
        <f ca="1">S107*OFFSET(MRB!$C$21,MATCH(YEAR($A127),MRB!$B$21:$B$38,0)-1,MATCH(S$7,MRB!$C$2:$E$2,0)-1)*OFFSET(MRB!$F$21,MATCH(YEAR($A127),MRB!$B$21:$B$38,0)-1,MATCH(S$29,MRB!$F$2:$T$2,1))</f>
        <v>0</v>
      </c>
      <c r="T127" s="198">
        <f ca="1">T107*OFFSET(MRB!$C$21,MATCH(YEAR($A127),MRB!$B$21:$B$38,0)-1,MATCH(T$7,MRB!$C$2:$E$2,0)-1)*OFFSET(MRB!$F$21,MATCH(YEAR($A127),MRB!$B$21:$B$38,0)-1,MATCH(T$29,MRB!$F$2:$T$2,1))</f>
        <v>0</v>
      </c>
      <c r="U127" s="198">
        <f ca="1">U107*OFFSET(MRB!$C$21,MATCH(YEAR($A127),MRB!$B$21:$B$38,0)-1,MATCH(U$7,MRB!$C$2:$E$2,0)-1)*OFFSET(MRB!$F$21,MATCH(YEAR($A127),MRB!$B$21:$B$38,0)-1,MATCH(U$29,MRB!$F$2:$T$2,1))</f>
        <v>0</v>
      </c>
      <c r="V127" s="198">
        <f ca="1">V107*OFFSET(MRB!$C$21,MATCH(YEAR($A127),MRB!$B$21:$B$38,0)-1,MATCH(V$7,MRB!$C$2:$E$2,0)-1)*OFFSET(MRB!$F$21,MATCH(YEAR($A127),MRB!$B$21:$B$38,0)-1,MATCH(V$29,MRB!$F$2:$T$2,1))</f>
        <v>0</v>
      </c>
    </row>
    <row r="128" spans="1:2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</sheetData>
  <sheetProtection insertColumns="0" insertHyperlinks="0" selectLockedCells="1"/>
  <mergeCells count="12">
    <mergeCell ref="A1:A2"/>
    <mergeCell ref="A3:A4"/>
    <mergeCell ref="A59:A61"/>
    <mergeCell ref="A5:A6"/>
    <mergeCell ref="A7:A13"/>
    <mergeCell ref="A14:A16"/>
    <mergeCell ref="A17:A18"/>
    <mergeCell ref="A19:A20"/>
    <mergeCell ref="A21:A27"/>
    <mergeCell ref="A28:A30"/>
    <mergeCell ref="A31:A32"/>
    <mergeCell ref="A36:A57"/>
  </mergeCells>
  <conditionalFormatting sqref="C47:V52">
    <cfRule type="dataBar" priority="12">
      <dataBar>
        <cfvo type="num" val="0"/>
        <cfvo type="max"/>
        <color rgb="FFFFB628"/>
      </dataBar>
      <extLst>
        <ext xmlns:x14="http://schemas.microsoft.com/office/spreadsheetml/2009/9/main" uri="{B025F937-C7B1-47D3-B67F-A62EFF666E3E}">
          <x14:id>{155B0312-F73B-44DF-B90A-AE9ACFBA77B2}</x14:id>
        </ext>
      </extLst>
    </cfRule>
  </conditionalFormatting>
  <conditionalFormatting sqref="C57:V57">
    <cfRule type="dataBar" priority="14">
      <dataBar>
        <cfvo type="num" val="0"/>
        <cfvo type="max"/>
        <color rgb="FFFF555A"/>
      </dataBar>
      <extLst>
        <ext xmlns:x14="http://schemas.microsoft.com/office/spreadsheetml/2009/9/main" uri="{B025F937-C7B1-47D3-B67F-A62EFF666E3E}">
          <x14:id>{BD22F63C-3571-42F8-BA8F-5C9FF1639D22}</x14:id>
        </ext>
      </extLst>
    </cfRule>
  </conditionalFormatting>
  <dataValidations count="3">
    <dataValidation type="list" allowBlank="1" showInputMessage="1" showErrorMessage="1" sqref="C7:V7" xr:uid="{7B392EFD-4167-4C76-8E82-78C91D72D759}">
      <formula1>"Electric,PHEV,Petrol"</formula1>
    </dataValidation>
    <dataValidation type="list" allowBlank="1" showInputMessage="1" showErrorMessage="1" sqref="C6:V6" xr:uid="{39EC7052-AA71-461C-8856-108319D8C001}">
      <formula1>"5-speed,6-speed,Reduction gear,Automatic"</formula1>
    </dataValidation>
    <dataValidation type="list" allowBlank="1" showInputMessage="1" showErrorMessage="1" sqref="C36:V36" xr:uid="{8E51E6D0-A3EB-49AE-B312-E50D25114A35}">
      <formula1>"Buy,Lease"</formula1>
    </dataValidation>
  </dataValidations>
  <hyperlinks>
    <hyperlink ref="L3" r:id="rId1" location="/voorraad/volkswagen/polo/hatchback/296666880/10-tsi-polo" xr:uid="{79D74A66-4999-47DB-B606-F1B3DEB9A707}"/>
    <hyperlink ref="I3" r:id="rId2" xr:uid="{4865E192-47B8-40CC-9900-A387BFDB225D}"/>
    <hyperlink ref="C3" r:id="rId3" display="https://www.autoscout24.nl/aanbod/smart-fortwo-eigen-accu-electric-drive-elektrisch-grijs-3bd998d5-079b-47ae-b13f-2211e3e574c9?sort=price&amp;desc=0&amp;lastSeenGuidPresent=true&amp;cldtidx=56&amp;position=56&amp;search_id=ndkds14l6u&amp;source_otp=t10&amp;source=listpage_search-results" xr:uid="{3D115DA8-8F89-45A1-9E31-06C081D18963}"/>
    <hyperlink ref="S3" r:id="rId4" display="https://www.autoscout24.nl/aanbod/opel-ampera-e-launch-executive-60-kwh-stoel-stuur-verw-camera-elektrisch-grijs-148fed86-3dfd-42f7-9a60-47f00ecfe030?sort=standard&amp;desc=0&amp;lastSeenGuidPresent=true&amp;cldtidx=9&amp;position=9&amp;search_id=ud92zyhwea&amp;source_otp=t30&amp;source=listpage_search-results" xr:uid="{E6AFC7B3-C54E-40B7-A2B4-319885AA8DB2}"/>
    <hyperlink ref="J3" r:id="rId5" xr:uid="{3B1D7C4B-55ED-4856-A485-A566ED5E8B54}"/>
    <hyperlink ref="H3" r:id="rId6" xr:uid="{EB11FB53-D4DD-4F02-BE36-4760D752739F}"/>
    <hyperlink ref="D3" r:id="rId7" xr:uid="{6B6B7765-0075-40C0-BBB5-0539880B7E28}"/>
    <hyperlink ref="G3" r:id="rId8" xr:uid="{A2D190EF-0353-400C-BDC1-41D65A7DD24C}"/>
    <hyperlink ref="K3" r:id="rId9" xr:uid="{F890AD8A-362A-458D-BC63-2C83D59B2DC1}"/>
    <hyperlink ref="N3" r:id="rId10" location="1427122578-2078578-bmw-i3-range-extender-ecc-airco-navigatie-55dkm-hist-aanw" xr:uid="{604CA813-A01E-4D09-A2A1-063881BE31E2}"/>
    <hyperlink ref="O3" r:id="rId11" xr:uid="{4757856E-39CE-4D2A-BBC9-B7DF6E4DFC54}"/>
    <hyperlink ref="E3" r:id="rId12" xr:uid="{25E063BA-CDD7-4D83-BCD9-9112A8B324F0}"/>
    <hyperlink ref="F3" r:id="rId13" xr:uid="{5FFA6E32-43A8-49E5-B636-3DB5782C305D}"/>
    <hyperlink ref="Q3" r:id="rId14" display="https://www.autoscout24.nl/aanbod/bmw-i3-range-extender-94ah-24-292km-elektro-benzine-wit-3dc04599-4b00-46d1-a003-c13ef5db2cf4?sort=price&amp;desc=0&amp;lastSeenGuidPresent=false&amp;cldtidx=2&amp;position=2&amp;search_id=y6jkhwj8v0&amp;source_otp=t10&amp;source=listpage_search-results&amp;order_bucket=unknown" xr:uid="{ECA9EA3D-999D-4083-9622-A4C1EF090615}"/>
    <hyperlink ref="P3" r:id="rId15" display="https://www.autoscout24.nl/aanbod/bmw-i3-range-extender-leder-navi-schuif-kanteldak-elektro-benzine-oranje-bedd4c4d-c582-4596-83d4-09ab7a437b8a?sort=price&amp;desc=0&amp;lastSeenGuidPresent=true&amp;cldtidx=1&amp;position=1&amp;search_id=jyvlmqt27e&amp;source_otp=t10&amp;source=listpage_search-results&amp;order_bucket=unknown" xr:uid="{0D073BCD-C02A-4635-AB3A-07ECD6254F26}"/>
    <hyperlink ref="R3" r:id="rId16" xr:uid="{DD8F4EE4-CA68-40C9-9A52-AA0C1BD24B0C}"/>
    <hyperlink ref="R33" r:id="rId17" xr:uid="{3F6BAB83-30DF-48B3-BCA7-3257AE037C4A}"/>
    <hyperlink ref="N33" r:id="rId18" xr:uid="{2BA55023-512D-4E00-8B1D-18F26FFF67E9}"/>
    <hyperlink ref="O33" r:id="rId19" xr:uid="{14475C26-4405-4C33-8083-B3B51E9B856E}"/>
    <hyperlink ref="P33" r:id="rId20" xr:uid="{482FC686-61D1-46EF-A83B-3B8D15598B9F}"/>
    <hyperlink ref="Q33" r:id="rId21" xr:uid="{ABD58584-6FD2-4042-8969-3608D8707DB7}"/>
    <hyperlink ref="S33" r:id="rId22" xr:uid="{2D92A373-BC17-4300-888B-BA8E753305C4}"/>
    <hyperlink ref="V33" r:id="rId23" xr:uid="{BFCB7097-4715-484C-9386-B9F9963C6B25}"/>
    <hyperlink ref="U33" r:id="rId24" xr:uid="{140992E2-4A29-454D-B828-916DA0D3DA68}"/>
    <hyperlink ref="T33" r:id="rId25" xr:uid="{E27FE8EA-6A71-416D-A545-073EB6DDDA0C}"/>
  </hyperlinks>
  <pageMargins left="0.7" right="0.7" top="0.75" bottom="0.75" header="0.3" footer="0.3"/>
  <pageSetup paperSize="9" orientation="portrait" r:id="rId26"/>
  <ignoredErrors>
    <ignoredError sqref="G12:H12 I12:L12" unlockedFormula="1"/>
  </ignoredErrors>
  <legacyDrawing r:id="rId2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B0312-F73B-44DF-B90A-AE9ACFBA77B2}">
            <x14:dataBar minLength="0" maxLength="100" border="1" negativeBarBorderColorSameAsPositive="0">
              <x14:cfvo type="num">
                <xm:f>0</xm:f>
              </x14:cfvo>
              <x14:cfvo type="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C47:V52</xm:sqref>
        </x14:conditionalFormatting>
        <x14:conditionalFormatting xmlns:xm="http://schemas.microsoft.com/office/excel/2006/main">
          <x14:cfRule type="dataBar" id="{BD22F63C-3571-42F8-BA8F-5C9FF1639D22}">
            <x14:dataBar minLength="0" maxLength="100" border="1" negativeBarBorderColorSameAsPositive="0">
              <x14:cfvo type="num">
                <xm:f>0</xm:f>
              </x14:cfvo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C57:V57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1960-D886-466B-AC5D-4DB5023223E2}">
  <sheetPr codeName="Sheet4"/>
  <dimension ref="A1:D17"/>
  <sheetViews>
    <sheetView showGridLines="0" workbookViewId="0">
      <selection activeCell="B3" sqref="B3"/>
    </sheetView>
  </sheetViews>
  <sheetFormatPr defaultRowHeight="14.5" x14ac:dyDescent="0.35"/>
  <cols>
    <col min="2" max="2" width="9.26953125" customWidth="1"/>
    <col min="4" max="4" width="9.26953125" customWidth="1"/>
  </cols>
  <sheetData>
    <row r="1" spans="1:4" x14ac:dyDescent="0.35">
      <c r="A1" s="222" t="s">
        <v>147</v>
      </c>
      <c r="B1" s="155" t="s">
        <v>31</v>
      </c>
      <c r="C1" s="156" t="s">
        <v>112</v>
      </c>
      <c r="D1" s="157" t="s">
        <v>9</v>
      </c>
    </row>
    <row r="2" spans="1:4" ht="15" thickBot="1" x14ac:dyDescent="0.4">
      <c r="A2" s="223"/>
      <c r="B2" s="158">
        <v>1</v>
      </c>
      <c r="C2" s="159">
        <v>0.9</v>
      </c>
      <c r="D2" s="160">
        <v>0.5</v>
      </c>
    </row>
    <row r="3" spans="1:4" x14ac:dyDescent="0.35">
      <c r="A3" s="151">
        <v>0</v>
      </c>
      <c r="B3" s="152">
        <v>0</v>
      </c>
      <c r="C3" s="153">
        <f>$B3*C$2</f>
        <v>0</v>
      </c>
      <c r="D3" s="154">
        <f>$B3*D$2</f>
        <v>0</v>
      </c>
    </row>
    <row r="4" spans="1:4" x14ac:dyDescent="0.35">
      <c r="A4" s="135">
        <v>1</v>
      </c>
      <c r="B4" s="138">
        <v>80</v>
      </c>
      <c r="C4" s="139">
        <f t="shared" ref="C4:D17" si="0">$B4*C$2</f>
        <v>72</v>
      </c>
      <c r="D4" s="140">
        <f t="shared" si="0"/>
        <v>40</v>
      </c>
    </row>
    <row r="5" spans="1:4" x14ac:dyDescent="0.35">
      <c r="A5" s="136">
        <v>2</v>
      </c>
      <c r="B5" s="141">
        <v>120</v>
      </c>
      <c r="C5" s="142">
        <f t="shared" si="0"/>
        <v>108</v>
      </c>
      <c r="D5" s="143">
        <f t="shared" si="0"/>
        <v>60</v>
      </c>
    </row>
    <row r="6" spans="1:4" x14ac:dyDescent="0.35">
      <c r="A6" s="136">
        <v>3</v>
      </c>
      <c r="B6" s="141">
        <v>160</v>
      </c>
      <c r="C6" s="142">
        <f t="shared" si="0"/>
        <v>144</v>
      </c>
      <c r="D6" s="143">
        <f t="shared" si="0"/>
        <v>80</v>
      </c>
    </row>
    <row r="7" spans="1:4" x14ac:dyDescent="0.35">
      <c r="A7" s="136">
        <v>4</v>
      </c>
      <c r="B7" s="141">
        <v>200</v>
      </c>
      <c r="C7" s="142">
        <f t="shared" si="0"/>
        <v>180</v>
      </c>
      <c r="D7" s="143">
        <f t="shared" si="0"/>
        <v>100</v>
      </c>
    </row>
    <row r="8" spans="1:4" x14ac:dyDescent="0.35">
      <c r="A8" s="136">
        <v>5</v>
      </c>
      <c r="B8" s="141">
        <v>240</v>
      </c>
      <c r="C8" s="142">
        <f t="shared" si="0"/>
        <v>216</v>
      </c>
      <c r="D8" s="143">
        <f t="shared" si="0"/>
        <v>120</v>
      </c>
    </row>
    <row r="9" spans="1:4" x14ac:dyDescent="0.35">
      <c r="A9" s="136">
        <v>6</v>
      </c>
      <c r="B9" s="141">
        <v>280</v>
      </c>
      <c r="C9" s="142">
        <f t="shared" si="0"/>
        <v>252</v>
      </c>
      <c r="D9" s="143">
        <f t="shared" si="0"/>
        <v>140</v>
      </c>
    </row>
    <row r="10" spans="1:4" x14ac:dyDescent="0.35">
      <c r="A10" s="136">
        <v>7</v>
      </c>
      <c r="B10" s="141">
        <v>320</v>
      </c>
      <c r="C10" s="142">
        <f t="shared" si="0"/>
        <v>288</v>
      </c>
      <c r="D10" s="143">
        <f t="shared" si="0"/>
        <v>160</v>
      </c>
    </row>
    <row r="11" spans="1:4" x14ac:dyDescent="0.35">
      <c r="A11" s="136">
        <v>8</v>
      </c>
      <c r="B11" s="141">
        <v>360</v>
      </c>
      <c r="C11" s="142">
        <f t="shared" si="0"/>
        <v>324</v>
      </c>
      <c r="D11" s="143">
        <f t="shared" si="0"/>
        <v>180</v>
      </c>
    </row>
    <row r="12" spans="1:4" x14ac:dyDescent="0.35">
      <c r="A12" s="136">
        <v>9</v>
      </c>
      <c r="B12" s="141">
        <v>400</v>
      </c>
      <c r="C12" s="142">
        <f t="shared" si="0"/>
        <v>360</v>
      </c>
      <c r="D12" s="143">
        <f t="shared" si="0"/>
        <v>200</v>
      </c>
    </row>
    <row r="13" spans="1:4" x14ac:dyDescent="0.35">
      <c r="A13" s="136">
        <v>10</v>
      </c>
      <c r="B13" s="141">
        <v>440</v>
      </c>
      <c r="C13" s="142">
        <f t="shared" si="0"/>
        <v>396</v>
      </c>
      <c r="D13" s="143">
        <f t="shared" si="0"/>
        <v>220</v>
      </c>
    </row>
    <row r="14" spans="1:4" x14ac:dyDescent="0.35">
      <c r="A14" s="136">
        <v>11</v>
      </c>
      <c r="B14" s="141">
        <v>480</v>
      </c>
      <c r="C14" s="142">
        <f t="shared" si="0"/>
        <v>432</v>
      </c>
      <c r="D14" s="143">
        <f t="shared" si="0"/>
        <v>240</v>
      </c>
    </row>
    <row r="15" spans="1:4" x14ac:dyDescent="0.35">
      <c r="A15" s="136">
        <v>12</v>
      </c>
      <c r="B15" s="141">
        <v>520</v>
      </c>
      <c r="C15" s="142">
        <f t="shared" si="0"/>
        <v>468</v>
      </c>
      <c r="D15" s="143">
        <f t="shared" si="0"/>
        <v>260</v>
      </c>
    </row>
    <row r="16" spans="1:4" x14ac:dyDescent="0.35">
      <c r="A16" s="136">
        <v>13</v>
      </c>
      <c r="B16" s="141">
        <v>560</v>
      </c>
      <c r="C16" s="142">
        <f t="shared" si="0"/>
        <v>504</v>
      </c>
      <c r="D16" s="143">
        <f t="shared" si="0"/>
        <v>280</v>
      </c>
    </row>
    <row r="17" spans="1:4" ht="15" thickBot="1" x14ac:dyDescent="0.4">
      <c r="A17" s="137">
        <v>14</v>
      </c>
      <c r="B17" s="144">
        <v>600</v>
      </c>
      <c r="C17" s="145">
        <f t="shared" si="0"/>
        <v>540</v>
      </c>
      <c r="D17" s="146">
        <f t="shared" si="0"/>
        <v>300</v>
      </c>
    </row>
  </sheetData>
  <sheetProtection sheet="1" objects="1" scenarios="1" selectLockedCells="1"/>
  <mergeCells count="1">
    <mergeCell ref="A1:A2"/>
  </mergeCells>
  <pageMargins left="0.7" right="0.7" top="0.75" bottom="0.75" header="0.3" footer="0.3"/>
  <pageSetup paperSize="9" orientation="portrait" r:id="rId1"/>
  <ignoredErrors>
    <ignoredError sqref="C3:D1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06B2-F5A2-4FD1-9BFF-11E0B2E160FE}">
  <dimension ref="A1:T38"/>
  <sheetViews>
    <sheetView showGridLines="0" workbookViewId="0">
      <selection activeCell="F3" sqref="F3"/>
    </sheetView>
  </sheetViews>
  <sheetFormatPr defaultRowHeight="14.5" x14ac:dyDescent="0.35"/>
  <cols>
    <col min="2" max="2" width="7.1796875" customWidth="1"/>
    <col min="3" max="5" width="8.7265625" customWidth="1"/>
    <col min="6" max="20" width="7.26953125" customWidth="1"/>
    <col min="21" max="75" width="6.7265625" customWidth="1"/>
  </cols>
  <sheetData>
    <row r="1" spans="1:20" x14ac:dyDescent="0.35">
      <c r="C1" s="224" t="s">
        <v>262</v>
      </c>
      <c r="D1" s="224"/>
      <c r="E1" s="224"/>
      <c r="F1" s="224" t="s">
        <v>70</v>
      </c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</row>
    <row r="2" spans="1:20" x14ac:dyDescent="0.35">
      <c r="B2" s="76" t="s">
        <v>147</v>
      </c>
      <c r="C2" s="74" t="s">
        <v>31</v>
      </c>
      <c r="D2" s="72" t="s">
        <v>112</v>
      </c>
      <c r="E2" s="73" t="s">
        <v>9</v>
      </c>
      <c r="F2" s="190">
        <v>650</v>
      </c>
      <c r="G2" s="190">
        <v>750</v>
      </c>
      <c r="H2" s="190">
        <v>850</v>
      </c>
      <c r="I2" s="190">
        <v>950</v>
      </c>
      <c r="J2" s="190">
        <v>1050</v>
      </c>
      <c r="K2" s="190">
        <v>1150</v>
      </c>
      <c r="L2" s="190">
        <v>1250</v>
      </c>
      <c r="M2" s="190">
        <v>1350</v>
      </c>
      <c r="N2" s="190">
        <v>1450</v>
      </c>
      <c r="O2" s="190">
        <v>1550</v>
      </c>
      <c r="P2" s="190">
        <v>1650</v>
      </c>
      <c r="Q2" s="190">
        <v>1750</v>
      </c>
      <c r="R2" s="190">
        <v>1850</v>
      </c>
      <c r="S2" s="190">
        <v>1950</v>
      </c>
      <c r="T2" s="190">
        <v>2050</v>
      </c>
    </row>
    <row r="3" spans="1:20" x14ac:dyDescent="0.35">
      <c r="A3" s="225" t="s">
        <v>110</v>
      </c>
      <c r="B3" s="189">
        <v>2023</v>
      </c>
      <c r="C3" s="191"/>
      <c r="D3" s="193"/>
      <c r="E3" s="194"/>
      <c r="F3" s="188">
        <v>42</v>
      </c>
      <c r="G3" s="188">
        <v>51</v>
      </c>
      <c r="H3" s="188">
        <v>68</v>
      </c>
      <c r="I3" s="188">
        <v>88</v>
      </c>
      <c r="J3" s="188">
        <v>115</v>
      </c>
      <c r="K3" s="188">
        <v>141</v>
      </c>
      <c r="L3" s="188">
        <v>167</v>
      </c>
      <c r="M3" s="188">
        <v>193</v>
      </c>
      <c r="N3" s="188">
        <v>220</v>
      </c>
      <c r="O3" s="188">
        <v>246</v>
      </c>
      <c r="P3" s="188">
        <v>272</v>
      </c>
      <c r="Q3" s="188">
        <v>298</v>
      </c>
      <c r="R3" s="188">
        <v>325</v>
      </c>
      <c r="S3" s="188">
        <v>351</v>
      </c>
      <c r="T3" s="188">
        <v>377</v>
      </c>
    </row>
    <row r="4" spans="1:20" x14ac:dyDescent="0.35">
      <c r="A4" s="225"/>
      <c r="B4" s="189">
        <v>2024</v>
      </c>
      <c r="C4" s="191"/>
      <c r="D4" s="193"/>
      <c r="E4" s="194"/>
      <c r="F4" s="188">
        <v>45</v>
      </c>
      <c r="G4" s="188">
        <v>55</v>
      </c>
      <c r="H4" s="188">
        <v>73</v>
      </c>
      <c r="I4" s="188">
        <v>95</v>
      </c>
      <c r="J4" s="188">
        <v>123</v>
      </c>
      <c r="K4" s="188">
        <v>151</v>
      </c>
      <c r="L4" s="188">
        <v>179</v>
      </c>
      <c r="M4" s="188">
        <v>207</v>
      </c>
      <c r="N4" s="188">
        <v>235</v>
      </c>
      <c r="O4" s="188">
        <v>264</v>
      </c>
      <c r="P4" s="188">
        <v>292</v>
      </c>
      <c r="Q4" s="188">
        <v>320</v>
      </c>
      <c r="R4" s="188">
        <v>348</v>
      </c>
      <c r="S4" s="188">
        <v>376</v>
      </c>
      <c r="T4" s="188">
        <v>404</v>
      </c>
    </row>
    <row r="5" spans="1:20" x14ac:dyDescent="0.35">
      <c r="A5" s="225"/>
      <c r="B5" s="189">
        <v>2025</v>
      </c>
      <c r="C5" s="191"/>
      <c r="D5" s="193"/>
      <c r="E5" s="194"/>
      <c r="F5" s="188">
        <f>F4*1.04</f>
        <v>46.800000000000004</v>
      </c>
      <c r="G5" s="188">
        <f t="shared" ref="G5:T5" si="0">G4*1.04</f>
        <v>57.2</v>
      </c>
      <c r="H5" s="188">
        <f t="shared" si="0"/>
        <v>75.92</v>
      </c>
      <c r="I5" s="188">
        <f t="shared" si="0"/>
        <v>98.8</v>
      </c>
      <c r="J5" s="188">
        <f t="shared" si="0"/>
        <v>127.92</v>
      </c>
      <c r="K5" s="188">
        <f t="shared" si="0"/>
        <v>157.04</v>
      </c>
      <c r="L5" s="188">
        <f t="shared" si="0"/>
        <v>186.16</v>
      </c>
      <c r="M5" s="188">
        <f t="shared" si="0"/>
        <v>215.28</v>
      </c>
      <c r="N5" s="188">
        <f t="shared" si="0"/>
        <v>244.4</v>
      </c>
      <c r="O5" s="188">
        <f t="shared" si="0"/>
        <v>274.56</v>
      </c>
      <c r="P5" s="188">
        <f t="shared" si="0"/>
        <v>303.68</v>
      </c>
      <c r="Q5" s="188">
        <f t="shared" si="0"/>
        <v>332.8</v>
      </c>
      <c r="R5" s="188">
        <f t="shared" si="0"/>
        <v>361.92</v>
      </c>
      <c r="S5" s="188">
        <f t="shared" si="0"/>
        <v>391.04</v>
      </c>
      <c r="T5" s="188">
        <f t="shared" si="0"/>
        <v>420.16</v>
      </c>
    </row>
    <row r="6" spans="1:20" x14ac:dyDescent="0.35">
      <c r="A6" s="225"/>
      <c r="B6" s="189">
        <v>2026</v>
      </c>
      <c r="C6" s="191"/>
      <c r="D6" s="193"/>
      <c r="E6" s="194"/>
      <c r="F6" s="188">
        <f t="shared" ref="F6:F20" si="1">F5*1.04</f>
        <v>48.672000000000004</v>
      </c>
      <c r="G6" s="188">
        <f t="shared" ref="G6:G20" si="2">G5*1.04</f>
        <v>59.488000000000007</v>
      </c>
      <c r="H6" s="188">
        <f t="shared" ref="H6:H20" si="3">H5*1.04</f>
        <v>78.956800000000001</v>
      </c>
      <c r="I6" s="188">
        <f t="shared" ref="I6:I20" si="4">I5*1.04</f>
        <v>102.752</v>
      </c>
      <c r="J6" s="188">
        <f t="shared" ref="J6:J20" si="5">J5*1.04</f>
        <v>133.0368</v>
      </c>
      <c r="K6" s="188">
        <f t="shared" ref="K6:K20" si="6">K5*1.04</f>
        <v>163.32159999999999</v>
      </c>
      <c r="L6" s="188">
        <f t="shared" ref="L6:L20" si="7">L5*1.04</f>
        <v>193.60640000000001</v>
      </c>
      <c r="M6" s="188">
        <f t="shared" ref="M6:M20" si="8">M5*1.04</f>
        <v>223.8912</v>
      </c>
      <c r="N6" s="188">
        <f t="shared" ref="N6:N20" si="9">N5*1.04</f>
        <v>254.17600000000002</v>
      </c>
      <c r="O6" s="188">
        <f t="shared" ref="O6:O20" si="10">O5*1.04</f>
        <v>285.54239999999999</v>
      </c>
      <c r="P6" s="188">
        <f t="shared" ref="P6:P20" si="11">P5*1.04</f>
        <v>315.8272</v>
      </c>
      <c r="Q6" s="188">
        <f t="shared" ref="Q6:Q20" si="12">Q5*1.04</f>
        <v>346.11200000000002</v>
      </c>
      <c r="R6" s="188">
        <f t="shared" ref="R6:R20" si="13">R5*1.04</f>
        <v>376.39680000000004</v>
      </c>
      <c r="S6" s="188">
        <f t="shared" ref="S6:S20" si="14">S5*1.04</f>
        <v>406.68160000000006</v>
      </c>
      <c r="T6" s="188">
        <f t="shared" ref="T6:T20" si="15">T5*1.04</f>
        <v>436.96640000000002</v>
      </c>
    </row>
    <row r="7" spans="1:20" x14ac:dyDescent="0.35">
      <c r="A7" s="225"/>
      <c r="B7" s="189">
        <v>2027</v>
      </c>
      <c r="C7" s="191"/>
      <c r="D7" s="193"/>
      <c r="E7" s="194"/>
      <c r="F7" s="188">
        <f t="shared" si="1"/>
        <v>50.618880000000004</v>
      </c>
      <c r="G7" s="188">
        <f t="shared" si="2"/>
        <v>61.867520000000006</v>
      </c>
      <c r="H7" s="188">
        <f t="shared" si="3"/>
        <v>82.115071999999998</v>
      </c>
      <c r="I7" s="188">
        <f t="shared" si="4"/>
        <v>106.86207999999999</v>
      </c>
      <c r="J7" s="188">
        <f t="shared" si="5"/>
        <v>138.358272</v>
      </c>
      <c r="K7" s="188">
        <f t="shared" si="6"/>
        <v>169.85446400000001</v>
      </c>
      <c r="L7" s="188">
        <f t="shared" si="7"/>
        <v>201.35065600000001</v>
      </c>
      <c r="M7" s="188">
        <f t="shared" si="8"/>
        <v>232.84684799999999</v>
      </c>
      <c r="N7" s="188">
        <f t="shared" si="9"/>
        <v>264.34304000000003</v>
      </c>
      <c r="O7" s="188">
        <f t="shared" si="10"/>
        <v>296.96409599999998</v>
      </c>
      <c r="P7" s="188">
        <f t="shared" si="11"/>
        <v>328.46028799999999</v>
      </c>
      <c r="Q7" s="188">
        <f t="shared" si="12"/>
        <v>359.95648000000006</v>
      </c>
      <c r="R7" s="188">
        <f t="shared" si="13"/>
        <v>391.45267200000006</v>
      </c>
      <c r="S7" s="188">
        <f t="shared" si="14"/>
        <v>422.94886400000007</v>
      </c>
      <c r="T7" s="188">
        <f t="shared" si="15"/>
        <v>454.44505600000002</v>
      </c>
    </row>
    <row r="8" spans="1:20" x14ac:dyDescent="0.35">
      <c r="A8" s="225"/>
      <c r="B8" s="189">
        <v>2028</v>
      </c>
      <c r="C8" s="191"/>
      <c r="D8" s="193"/>
      <c r="E8" s="194"/>
      <c r="F8" s="188">
        <f t="shared" si="1"/>
        <v>52.643635200000006</v>
      </c>
      <c r="G8" s="188">
        <f t="shared" si="2"/>
        <v>64.342220800000007</v>
      </c>
      <c r="H8" s="188">
        <f t="shared" si="3"/>
        <v>85.399674880000006</v>
      </c>
      <c r="I8" s="188">
        <f t="shared" si="4"/>
        <v>111.1365632</v>
      </c>
      <c r="J8" s="188">
        <f t="shared" si="5"/>
        <v>143.89260288</v>
      </c>
      <c r="K8" s="188">
        <f t="shared" si="6"/>
        <v>176.64864256000001</v>
      </c>
      <c r="L8" s="188">
        <f t="shared" si="7"/>
        <v>209.40468224000003</v>
      </c>
      <c r="M8" s="188">
        <f t="shared" si="8"/>
        <v>242.16072192000001</v>
      </c>
      <c r="N8" s="188">
        <f t="shared" si="9"/>
        <v>274.91676160000003</v>
      </c>
      <c r="O8" s="188">
        <f t="shared" si="10"/>
        <v>308.84265984000001</v>
      </c>
      <c r="P8" s="188">
        <f t="shared" si="11"/>
        <v>341.59869952000003</v>
      </c>
      <c r="Q8" s="188">
        <f t="shared" si="12"/>
        <v>374.3547392000001</v>
      </c>
      <c r="R8" s="188">
        <f t="shared" si="13"/>
        <v>407.11077888000005</v>
      </c>
      <c r="S8" s="188">
        <f t="shared" si="14"/>
        <v>439.86681856000007</v>
      </c>
      <c r="T8" s="188">
        <f t="shared" si="15"/>
        <v>472.62285824000003</v>
      </c>
    </row>
    <row r="9" spans="1:20" x14ac:dyDescent="0.35">
      <c r="A9" s="225"/>
      <c r="B9" s="189">
        <v>2029</v>
      </c>
      <c r="C9" s="191"/>
      <c r="D9" s="193"/>
      <c r="E9" s="194"/>
      <c r="F9" s="188">
        <f t="shared" si="1"/>
        <v>54.74938060800001</v>
      </c>
      <c r="G9" s="188">
        <f t="shared" si="2"/>
        <v>66.915909632000009</v>
      </c>
      <c r="H9" s="188">
        <f t="shared" si="3"/>
        <v>88.815661875200007</v>
      </c>
      <c r="I9" s="188">
        <f t="shared" si="4"/>
        <v>115.582025728</v>
      </c>
      <c r="J9" s="188">
        <f t="shared" si="5"/>
        <v>149.64830699520002</v>
      </c>
      <c r="K9" s="188">
        <f t="shared" si="6"/>
        <v>183.71458826240001</v>
      </c>
      <c r="L9" s="188">
        <f t="shared" si="7"/>
        <v>217.78086952960004</v>
      </c>
      <c r="M9" s="188">
        <f t="shared" si="8"/>
        <v>251.84715079680004</v>
      </c>
      <c r="N9" s="188">
        <f t="shared" si="9"/>
        <v>285.91343206400006</v>
      </c>
      <c r="O9" s="188">
        <f t="shared" si="10"/>
        <v>321.19636623360003</v>
      </c>
      <c r="P9" s="188">
        <f t="shared" si="11"/>
        <v>355.26264750080003</v>
      </c>
      <c r="Q9" s="188">
        <f t="shared" si="12"/>
        <v>389.32892876800014</v>
      </c>
      <c r="R9" s="188">
        <f t="shared" si="13"/>
        <v>423.39521003520008</v>
      </c>
      <c r="S9" s="188">
        <f t="shared" si="14"/>
        <v>457.46149130240008</v>
      </c>
      <c r="T9" s="188">
        <f t="shared" si="15"/>
        <v>491.52777256960002</v>
      </c>
    </row>
    <row r="10" spans="1:20" x14ac:dyDescent="0.35">
      <c r="A10" s="225"/>
      <c r="B10" s="189">
        <v>2030</v>
      </c>
      <c r="C10" s="191"/>
      <c r="D10" s="193"/>
      <c r="E10" s="194"/>
      <c r="F10" s="188">
        <f t="shared" si="1"/>
        <v>56.939355832320011</v>
      </c>
      <c r="G10" s="188">
        <f t="shared" si="2"/>
        <v>69.592546017280014</v>
      </c>
      <c r="H10" s="188">
        <f t="shared" si="3"/>
        <v>92.368288350208005</v>
      </c>
      <c r="I10" s="188">
        <f t="shared" si="4"/>
        <v>120.20530675712001</v>
      </c>
      <c r="J10" s="188">
        <f t="shared" si="5"/>
        <v>155.63423927500801</v>
      </c>
      <c r="K10" s="188">
        <f t="shared" si="6"/>
        <v>191.06317179289601</v>
      </c>
      <c r="L10" s="188">
        <f t="shared" si="7"/>
        <v>226.49210431078404</v>
      </c>
      <c r="M10" s="188">
        <f t="shared" si="8"/>
        <v>261.92103682867207</v>
      </c>
      <c r="N10" s="188">
        <f t="shared" si="9"/>
        <v>297.3499693465601</v>
      </c>
      <c r="O10" s="188">
        <f t="shared" si="10"/>
        <v>334.04422088294405</v>
      </c>
      <c r="P10" s="188">
        <f t="shared" si="11"/>
        <v>369.47315340083202</v>
      </c>
      <c r="Q10" s="188">
        <f t="shared" si="12"/>
        <v>404.90208591872016</v>
      </c>
      <c r="R10" s="188">
        <f t="shared" si="13"/>
        <v>440.33101843660808</v>
      </c>
      <c r="S10" s="188">
        <f t="shared" si="14"/>
        <v>475.75995095449611</v>
      </c>
      <c r="T10" s="188">
        <f t="shared" si="15"/>
        <v>511.18888347238402</v>
      </c>
    </row>
    <row r="11" spans="1:20" x14ac:dyDescent="0.35">
      <c r="A11" s="225"/>
      <c r="B11" s="189">
        <v>2031</v>
      </c>
      <c r="C11" s="191"/>
      <c r="D11" s="193"/>
      <c r="E11" s="194"/>
      <c r="F11" s="188">
        <f t="shared" si="1"/>
        <v>59.216930065612814</v>
      </c>
      <c r="G11" s="188">
        <f t="shared" si="2"/>
        <v>72.376247857971222</v>
      </c>
      <c r="H11" s="188">
        <f t="shared" si="3"/>
        <v>96.063019884216331</v>
      </c>
      <c r="I11" s="188">
        <f t="shared" si="4"/>
        <v>125.01351902740481</v>
      </c>
      <c r="J11" s="188">
        <f t="shared" si="5"/>
        <v>161.85960884600834</v>
      </c>
      <c r="K11" s="188">
        <f t="shared" si="6"/>
        <v>198.70569866461187</v>
      </c>
      <c r="L11" s="188">
        <f t="shared" si="7"/>
        <v>235.5517884832154</v>
      </c>
      <c r="M11" s="188">
        <f t="shared" si="8"/>
        <v>272.39787830181899</v>
      </c>
      <c r="N11" s="188">
        <f t="shared" si="9"/>
        <v>309.24396812042249</v>
      </c>
      <c r="O11" s="188">
        <f t="shared" si="10"/>
        <v>347.40598971826182</v>
      </c>
      <c r="P11" s="188">
        <f t="shared" si="11"/>
        <v>384.25207953686532</v>
      </c>
      <c r="Q11" s="188">
        <f t="shared" si="12"/>
        <v>421.098169355469</v>
      </c>
      <c r="R11" s="188">
        <f t="shared" si="13"/>
        <v>457.94425917407244</v>
      </c>
      <c r="S11" s="188">
        <f t="shared" si="14"/>
        <v>494.79034899267594</v>
      </c>
      <c r="T11" s="188">
        <f t="shared" si="15"/>
        <v>531.63643881127939</v>
      </c>
    </row>
    <row r="12" spans="1:20" x14ac:dyDescent="0.35">
      <c r="A12" s="225"/>
      <c r="B12" s="189">
        <v>2032</v>
      </c>
      <c r="C12" s="191"/>
      <c r="D12" s="193"/>
      <c r="E12" s="194"/>
      <c r="F12" s="188">
        <f t="shared" si="1"/>
        <v>61.585607268237332</v>
      </c>
      <c r="G12" s="188">
        <f t="shared" si="2"/>
        <v>75.271297772290069</v>
      </c>
      <c r="H12" s="188">
        <f t="shared" si="3"/>
        <v>99.905540679584988</v>
      </c>
      <c r="I12" s="188">
        <f t="shared" si="4"/>
        <v>130.01405978850102</v>
      </c>
      <c r="J12" s="188">
        <f t="shared" si="5"/>
        <v>168.33399319984869</v>
      </c>
      <c r="K12" s="188">
        <f t="shared" si="6"/>
        <v>206.65392661119637</v>
      </c>
      <c r="L12" s="188">
        <f t="shared" si="7"/>
        <v>244.97386002254402</v>
      </c>
      <c r="M12" s="188">
        <f t="shared" si="8"/>
        <v>283.29379343389178</v>
      </c>
      <c r="N12" s="188">
        <f t="shared" si="9"/>
        <v>321.6137268452394</v>
      </c>
      <c r="O12" s="188">
        <f t="shared" si="10"/>
        <v>361.30222930699233</v>
      </c>
      <c r="P12" s="188">
        <f t="shared" si="11"/>
        <v>399.62216271833995</v>
      </c>
      <c r="Q12" s="188">
        <f t="shared" si="12"/>
        <v>437.9420961296878</v>
      </c>
      <c r="R12" s="188">
        <f t="shared" si="13"/>
        <v>476.26202954103536</v>
      </c>
      <c r="S12" s="188">
        <f t="shared" si="14"/>
        <v>514.58196295238304</v>
      </c>
      <c r="T12" s="188">
        <f t="shared" si="15"/>
        <v>552.90189636373054</v>
      </c>
    </row>
    <row r="13" spans="1:20" x14ac:dyDescent="0.35">
      <c r="A13" s="225"/>
      <c r="B13" s="189">
        <v>2033</v>
      </c>
      <c r="C13" s="191"/>
      <c r="D13" s="193"/>
      <c r="E13" s="194"/>
      <c r="F13" s="188">
        <f t="shared" si="1"/>
        <v>64.049031558966831</v>
      </c>
      <c r="G13" s="188">
        <f t="shared" si="2"/>
        <v>78.282149683181672</v>
      </c>
      <c r="H13" s="188">
        <f t="shared" si="3"/>
        <v>103.90176230676839</v>
      </c>
      <c r="I13" s="188">
        <f t="shared" si="4"/>
        <v>135.21462218004106</v>
      </c>
      <c r="J13" s="188">
        <f t="shared" si="5"/>
        <v>175.06735292784265</v>
      </c>
      <c r="K13" s="188">
        <f t="shared" si="6"/>
        <v>214.92008367564424</v>
      </c>
      <c r="L13" s="188">
        <f t="shared" si="7"/>
        <v>254.77281442344579</v>
      </c>
      <c r="M13" s="188">
        <f t="shared" si="8"/>
        <v>294.62554517124744</v>
      </c>
      <c r="N13" s="188">
        <f t="shared" si="9"/>
        <v>334.478275919049</v>
      </c>
      <c r="O13" s="188">
        <f t="shared" si="10"/>
        <v>375.75431847927206</v>
      </c>
      <c r="P13" s="188">
        <f t="shared" si="11"/>
        <v>415.60704922707356</v>
      </c>
      <c r="Q13" s="188">
        <f t="shared" si="12"/>
        <v>455.45977997487535</v>
      </c>
      <c r="R13" s="188">
        <f t="shared" si="13"/>
        <v>495.31251072267679</v>
      </c>
      <c r="S13" s="188">
        <f t="shared" si="14"/>
        <v>535.16524147047835</v>
      </c>
      <c r="T13" s="188">
        <f t="shared" si="15"/>
        <v>575.01797221827974</v>
      </c>
    </row>
    <row r="14" spans="1:20" x14ac:dyDescent="0.35">
      <c r="A14" s="225"/>
      <c r="B14" s="189">
        <v>2034</v>
      </c>
      <c r="C14" s="191"/>
      <c r="D14" s="193"/>
      <c r="E14" s="194"/>
      <c r="F14" s="188">
        <f t="shared" si="1"/>
        <v>66.61099282132551</v>
      </c>
      <c r="G14" s="188">
        <f t="shared" si="2"/>
        <v>81.413435670508946</v>
      </c>
      <c r="H14" s="188">
        <f t="shared" si="3"/>
        <v>108.05783279903913</v>
      </c>
      <c r="I14" s="188">
        <f t="shared" si="4"/>
        <v>140.6232070672427</v>
      </c>
      <c r="J14" s="188">
        <f t="shared" si="5"/>
        <v>182.07004704495637</v>
      </c>
      <c r="K14" s="188">
        <f t="shared" si="6"/>
        <v>223.51688702267001</v>
      </c>
      <c r="L14" s="188">
        <f t="shared" si="7"/>
        <v>264.96372700038364</v>
      </c>
      <c r="M14" s="188">
        <f t="shared" si="8"/>
        <v>306.41056697809734</v>
      </c>
      <c r="N14" s="188">
        <f t="shared" si="9"/>
        <v>347.85740695581097</v>
      </c>
      <c r="O14" s="188">
        <f t="shared" si="10"/>
        <v>390.78449121844295</v>
      </c>
      <c r="P14" s="188">
        <f t="shared" si="11"/>
        <v>432.23133119615653</v>
      </c>
      <c r="Q14" s="188">
        <f t="shared" si="12"/>
        <v>473.6781711738704</v>
      </c>
      <c r="R14" s="188">
        <f t="shared" si="13"/>
        <v>515.12501115158386</v>
      </c>
      <c r="S14" s="188">
        <f t="shared" si="14"/>
        <v>556.57185112929756</v>
      </c>
      <c r="T14" s="188">
        <f t="shared" si="15"/>
        <v>598.01869110701091</v>
      </c>
    </row>
    <row r="15" spans="1:20" x14ac:dyDescent="0.35">
      <c r="A15" s="225"/>
      <c r="B15" s="189">
        <v>2035</v>
      </c>
      <c r="C15" s="191"/>
      <c r="D15" s="193"/>
      <c r="E15" s="194"/>
      <c r="F15" s="188">
        <f t="shared" si="1"/>
        <v>69.275432534178535</v>
      </c>
      <c r="G15" s="188">
        <f t="shared" si="2"/>
        <v>84.669973097329304</v>
      </c>
      <c r="H15" s="188">
        <f t="shared" si="3"/>
        <v>112.3801461110007</v>
      </c>
      <c r="I15" s="188">
        <f t="shared" si="4"/>
        <v>146.24813534993243</v>
      </c>
      <c r="J15" s="188">
        <f t="shared" si="5"/>
        <v>189.35284892675463</v>
      </c>
      <c r="K15" s="188">
        <f t="shared" si="6"/>
        <v>232.45756250357681</v>
      </c>
      <c r="L15" s="188">
        <f t="shared" si="7"/>
        <v>275.56227608039899</v>
      </c>
      <c r="M15" s="188">
        <f t="shared" si="8"/>
        <v>318.66698965722122</v>
      </c>
      <c r="N15" s="188">
        <f t="shared" si="9"/>
        <v>361.7717032340434</v>
      </c>
      <c r="O15" s="188">
        <f t="shared" si="10"/>
        <v>406.41587086718067</v>
      </c>
      <c r="P15" s="188">
        <f t="shared" si="11"/>
        <v>449.52058444400279</v>
      </c>
      <c r="Q15" s="188">
        <f t="shared" si="12"/>
        <v>492.62529802082526</v>
      </c>
      <c r="R15" s="188">
        <f t="shared" si="13"/>
        <v>535.73001159764726</v>
      </c>
      <c r="S15" s="188">
        <f t="shared" si="14"/>
        <v>578.83472517446944</v>
      </c>
      <c r="T15" s="188">
        <f t="shared" si="15"/>
        <v>621.93943875129139</v>
      </c>
    </row>
    <row r="16" spans="1:20" x14ac:dyDescent="0.35">
      <c r="A16" s="225"/>
      <c r="B16" s="189">
        <v>2036</v>
      </c>
      <c r="C16" s="191"/>
      <c r="D16" s="193"/>
      <c r="E16" s="194"/>
      <c r="F16" s="188">
        <f t="shared" si="1"/>
        <v>72.046449835545673</v>
      </c>
      <c r="G16" s="188">
        <f t="shared" si="2"/>
        <v>88.056772021222486</v>
      </c>
      <c r="H16" s="188">
        <f t="shared" si="3"/>
        <v>116.87535195544073</v>
      </c>
      <c r="I16" s="188">
        <f t="shared" si="4"/>
        <v>152.09806076392974</v>
      </c>
      <c r="J16" s="188">
        <f t="shared" si="5"/>
        <v>196.92696288382481</v>
      </c>
      <c r="K16" s="188">
        <f t="shared" si="6"/>
        <v>241.75586500371989</v>
      </c>
      <c r="L16" s="188">
        <f t="shared" si="7"/>
        <v>286.58476712361494</v>
      </c>
      <c r="M16" s="188">
        <f t="shared" si="8"/>
        <v>331.41366924351007</v>
      </c>
      <c r="N16" s="188">
        <f t="shared" si="9"/>
        <v>376.24257136340515</v>
      </c>
      <c r="O16" s="188">
        <f t="shared" si="10"/>
        <v>422.67250570186792</v>
      </c>
      <c r="P16" s="188">
        <f t="shared" si="11"/>
        <v>467.50140782176294</v>
      </c>
      <c r="Q16" s="188">
        <f t="shared" si="12"/>
        <v>512.33030994165824</v>
      </c>
      <c r="R16" s="188">
        <f t="shared" si="13"/>
        <v>557.15921206155315</v>
      </c>
      <c r="S16" s="188">
        <f t="shared" si="14"/>
        <v>601.98811418144828</v>
      </c>
      <c r="T16" s="188">
        <f t="shared" si="15"/>
        <v>646.81701630134307</v>
      </c>
    </row>
    <row r="17" spans="1:20" x14ac:dyDescent="0.35">
      <c r="A17" s="225"/>
      <c r="B17" s="189">
        <v>2037</v>
      </c>
      <c r="C17" s="191"/>
      <c r="D17" s="193"/>
      <c r="E17" s="194"/>
      <c r="F17" s="188">
        <f t="shared" si="1"/>
        <v>74.928307828967505</v>
      </c>
      <c r="G17" s="188">
        <f t="shared" si="2"/>
        <v>91.579042902071393</v>
      </c>
      <c r="H17" s="188">
        <f t="shared" si="3"/>
        <v>121.55036603365836</v>
      </c>
      <c r="I17" s="188">
        <f t="shared" si="4"/>
        <v>158.18198319448695</v>
      </c>
      <c r="J17" s="188">
        <f t="shared" si="5"/>
        <v>204.80404139917781</v>
      </c>
      <c r="K17" s="188">
        <f t="shared" si="6"/>
        <v>251.42609960386869</v>
      </c>
      <c r="L17" s="188">
        <f t="shared" si="7"/>
        <v>298.04815780855955</v>
      </c>
      <c r="M17" s="188">
        <f t="shared" si="8"/>
        <v>344.67021601325047</v>
      </c>
      <c r="N17" s="188">
        <f t="shared" si="9"/>
        <v>391.29227421794138</v>
      </c>
      <c r="O17" s="188">
        <f t="shared" si="10"/>
        <v>439.57940592994265</v>
      </c>
      <c r="P17" s="188">
        <f t="shared" si="11"/>
        <v>486.20146413463345</v>
      </c>
      <c r="Q17" s="188">
        <f t="shared" si="12"/>
        <v>532.82352233932454</v>
      </c>
      <c r="R17" s="188">
        <f t="shared" si="13"/>
        <v>579.44558054401534</v>
      </c>
      <c r="S17" s="188">
        <f t="shared" si="14"/>
        <v>626.06763874870626</v>
      </c>
      <c r="T17" s="188">
        <f t="shared" si="15"/>
        <v>672.68969695339683</v>
      </c>
    </row>
    <row r="18" spans="1:20" x14ac:dyDescent="0.35">
      <c r="A18" s="225"/>
      <c r="B18" s="189">
        <v>2038</v>
      </c>
      <c r="C18" s="191"/>
      <c r="D18" s="193"/>
      <c r="E18" s="194"/>
      <c r="F18" s="188">
        <f t="shared" si="1"/>
        <v>77.925440142126206</v>
      </c>
      <c r="G18" s="188">
        <f t="shared" si="2"/>
        <v>95.242204618154247</v>
      </c>
      <c r="H18" s="188">
        <f t="shared" si="3"/>
        <v>126.4123806750047</v>
      </c>
      <c r="I18" s="188">
        <f t="shared" si="4"/>
        <v>164.50926252226643</v>
      </c>
      <c r="J18" s="188">
        <f t="shared" si="5"/>
        <v>212.99620305514492</v>
      </c>
      <c r="K18" s="188">
        <f t="shared" si="6"/>
        <v>261.48314358802344</v>
      </c>
      <c r="L18" s="188">
        <f t="shared" si="7"/>
        <v>309.97008412090196</v>
      </c>
      <c r="M18" s="188">
        <f t="shared" si="8"/>
        <v>358.45702465378048</v>
      </c>
      <c r="N18" s="188">
        <f t="shared" si="9"/>
        <v>406.94396518665906</v>
      </c>
      <c r="O18" s="188">
        <f t="shared" si="10"/>
        <v>457.16258216714039</v>
      </c>
      <c r="P18" s="188">
        <f t="shared" si="11"/>
        <v>505.64952270001879</v>
      </c>
      <c r="Q18" s="188">
        <f t="shared" si="12"/>
        <v>554.13646323289754</v>
      </c>
      <c r="R18" s="188">
        <f t="shared" si="13"/>
        <v>602.62340376577595</v>
      </c>
      <c r="S18" s="188">
        <f t="shared" si="14"/>
        <v>651.11034429865458</v>
      </c>
      <c r="T18" s="188">
        <f t="shared" si="15"/>
        <v>699.59728483153276</v>
      </c>
    </row>
    <row r="19" spans="1:20" x14ac:dyDescent="0.35">
      <c r="A19" s="225"/>
      <c r="B19" s="189">
        <v>2039</v>
      </c>
      <c r="C19" s="191"/>
      <c r="D19" s="193"/>
      <c r="E19" s="194"/>
      <c r="F19" s="188">
        <f t="shared" si="1"/>
        <v>81.042457747811255</v>
      </c>
      <c r="G19" s="188">
        <f t="shared" si="2"/>
        <v>99.051892802880417</v>
      </c>
      <c r="H19" s="188">
        <f t="shared" si="3"/>
        <v>131.4688759020049</v>
      </c>
      <c r="I19" s="188">
        <f t="shared" si="4"/>
        <v>171.08963302315709</v>
      </c>
      <c r="J19" s="188">
        <f t="shared" si="5"/>
        <v>221.51605117735073</v>
      </c>
      <c r="K19" s="188">
        <f t="shared" si="6"/>
        <v>271.94246933154437</v>
      </c>
      <c r="L19" s="188">
        <f t="shared" si="7"/>
        <v>322.36888748573807</v>
      </c>
      <c r="M19" s="188">
        <f t="shared" si="8"/>
        <v>372.79530563993171</v>
      </c>
      <c r="N19" s="188">
        <f t="shared" si="9"/>
        <v>423.22172379412541</v>
      </c>
      <c r="O19" s="188">
        <f t="shared" si="10"/>
        <v>475.449085453826</v>
      </c>
      <c r="P19" s="188">
        <f t="shared" si="11"/>
        <v>525.87550360801959</v>
      </c>
      <c r="Q19" s="188">
        <f t="shared" si="12"/>
        <v>576.30192176221351</v>
      </c>
      <c r="R19" s="188">
        <f t="shared" si="13"/>
        <v>626.72833991640698</v>
      </c>
      <c r="S19" s="188">
        <f t="shared" si="14"/>
        <v>677.15475807060079</v>
      </c>
      <c r="T19" s="188">
        <f t="shared" si="15"/>
        <v>727.58117622479415</v>
      </c>
    </row>
    <row r="20" spans="1:20" x14ac:dyDescent="0.35">
      <c r="A20" s="225"/>
      <c r="B20" s="189">
        <v>2040</v>
      </c>
      <c r="C20" s="191"/>
      <c r="D20" s="193"/>
      <c r="E20" s="194"/>
      <c r="F20" s="188">
        <f t="shared" si="1"/>
        <v>84.284156057723706</v>
      </c>
      <c r="G20" s="188">
        <f t="shared" si="2"/>
        <v>103.01396851499564</v>
      </c>
      <c r="H20" s="188">
        <f t="shared" si="3"/>
        <v>136.7276309380851</v>
      </c>
      <c r="I20" s="188">
        <f t="shared" si="4"/>
        <v>177.93321834408337</v>
      </c>
      <c r="J20" s="188">
        <f t="shared" si="5"/>
        <v>230.37669322444478</v>
      </c>
      <c r="K20" s="188">
        <f t="shared" si="6"/>
        <v>282.82016810480616</v>
      </c>
      <c r="L20" s="188">
        <f t="shared" si="7"/>
        <v>335.26364298516762</v>
      </c>
      <c r="M20" s="188">
        <f t="shared" si="8"/>
        <v>387.70711786552897</v>
      </c>
      <c r="N20" s="188">
        <f t="shared" si="9"/>
        <v>440.15059274589044</v>
      </c>
      <c r="O20" s="188">
        <f t="shared" si="10"/>
        <v>494.46704887197905</v>
      </c>
      <c r="P20" s="188">
        <f t="shared" si="11"/>
        <v>546.9105237523404</v>
      </c>
      <c r="Q20" s="188">
        <f t="shared" si="12"/>
        <v>599.35399863270209</v>
      </c>
      <c r="R20" s="188">
        <f t="shared" si="13"/>
        <v>651.79747351306332</v>
      </c>
      <c r="S20" s="188">
        <f t="shared" si="14"/>
        <v>704.2409483934249</v>
      </c>
      <c r="T20" s="188">
        <f t="shared" si="15"/>
        <v>756.68442327378591</v>
      </c>
    </row>
    <row r="21" spans="1:20" x14ac:dyDescent="0.35">
      <c r="A21" s="225" t="s">
        <v>111</v>
      </c>
      <c r="B21" s="189">
        <v>2023</v>
      </c>
      <c r="C21" s="192">
        <v>1</v>
      </c>
      <c r="D21" s="71">
        <v>0.5</v>
      </c>
      <c r="E21" s="70">
        <v>0</v>
      </c>
      <c r="F21" s="69">
        <f t="shared" ref="F21:T21" si="16">4*F3</f>
        <v>168</v>
      </c>
      <c r="G21" s="69">
        <f t="shared" si="16"/>
        <v>204</v>
      </c>
      <c r="H21" s="69">
        <f t="shared" si="16"/>
        <v>272</v>
      </c>
      <c r="I21" s="69">
        <f t="shared" si="16"/>
        <v>352</v>
      </c>
      <c r="J21" s="69">
        <f t="shared" si="16"/>
        <v>460</v>
      </c>
      <c r="K21" s="69">
        <f t="shared" si="16"/>
        <v>564</v>
      </c>
      <c r="L21" s="69">
        <f t="shared" si="16"/>
        <v>668</v>
      </c>
      <c r="M21" s="69">
        <f t="shared" si="16"/>
        <v>772</v>
      </c>
      <c r="N21" s="69">
        <f t="shared" si="16"/>
        <v>880</v>
      </c>
      <c r="O21" s="69">
        <f t="shared" si="16"/>
        <v>984</v>
      </c>
      <c r="P21" s="69">
        <f t="shared" si="16"/>
        <v>1088</v>
      </c>
      <c r="Q21" s="69">
        <f t="shared" si="16"/>
        <v>1192</v>
      </c>
      <c r="R21" s="69">
        <f t="shared" si="16"/>
        <v>1300</v>
      </c>
      <c r="S21" s="69">
        <f t="shared" si="16"/>
        <v>1404</v>
      </c>
      <c r="T21" s="69">
        <f t="shared" si="16"/>
        <v>1508</v>
      </c>
    </row>
    <row r="22" spans="1:20" x14ac:dyDescent="0.35">
      <c r="A22" s="225"/>
      <c r="B22" s="189">
        <v>2024</v>
      </c>
      <c r="C22" s="192">
        <v>1</v>
      </c>
      <c r="D22" s="71">
        <v>0.5</v>
      </c>
      <c r="E22" s="70">
        <v>0</v>
      </c>
      <c r="F22" s="69">
        <f t="shared" ref="F22:T22" si="17">4*F4</f>
        <v>180</v>
      </c>
      <c r="G22" s="69">
        <f t="shared" si="17"/>
        <v>220</v>
      </c>
      <c r="H22" s="69">
        <f t="shared" si="17"/>
        <v>292</v>
      </c>
      <c r="I22" s="69">
        <f t="shared" si="17"/>
        <v>380</v>
      </c>
      <c r="J22" s="69">
        <f t="shared" si="17"/>
        <v>492</v>
      </c>
      <c r="K22" s="69">
        <f t="shared" si="17"/>
        <v>604</v>
      </c>
      <c r="L22" s="69">
        <f t="shared" si="17"/>
        <v>716</v>
      </c>
      <c r="M22" s="69">
        <f t="shared" si="17"/>
        <v>828</v>
      </c>
      <c r="N22" s="69">
        <f t="shared" si="17"/>
        <v>940</v>
      </c>
      <c r="O22" s="69">
        <f t="shared" si="17"/>
        <v>1056</v>
      </c>
      <c r="P22" s="69">
        <f t="shared" si="17"/>
        <v>1168</v>
      </c>
      <c r="Q22" s="69">
        <f t="shared" si="17"/>
        <v>1280</v>
      </c>
      <c r="R22" s="69">
        <f t="shared" si="17"/>
        <v>1392</v>
      </c>
      <c r="S22" s="69">
        <f t="shared" si="17"/>
        <v>1504</v>
      </c>
      <c r="T22" s="69">
        <f t="shared" si="17"/>
        <v>1616</v>
      </c>
    </row>
    <row r="23" spans="1:20" x14ac:dyDescent="0.35">
      <c r="A23" s="225"/>
      <c r="B23" s="189">
        <v>2025</v>
      </c>
      <c r="C23" s="192">
        <v>1</v>
      </c>
      <c r="D23" s="71">
        <v>0.75</v>
      </c>
      <c r="E23" s="70">
        <v>0.25</v>
      </c>
      <c r="F23" s="69">
        <f t="shared" ref="F23:T23" si="18">4*F5</f>
        <v>187.20000000000002</v>
      </c>
      <c r="G23" s="69">
        <f t="shared" si="18"/>
        <v>228.8</v>
      </c>
      <c r="H23" s="69">
        <f t="shared" si="18"/>
        <v>303.68</v>
      </c>
      <c r="I23" s="69">
        <f t="shared" si="18"/>
        <v>395.2</v>
      </c>
      <c r="J23" s="69">
        <f t="shared" si="18"/>
        <v>511.68</v>
      </c>
      <c r="K23" s="69">
        <f t="shared" si="18"/>
        <v>628.16</v>
      </c>
      <c r="L23" s="69">
        <f t="shared" si="18"/>
        <v>744.64</v>
      </c>
      <c r="M23" s="69">
        <f t="shared" si="18"/>
        <v>861.12</v>
      </c>
      <c r="N23" s="69">
        <f t="shared" si="18"/>
        <v>977.6</v>
      </c>
      <c r="O23" s="69">
        <f t="shared" si="18"/>
        <v>1098.24</v>
      </c>
      <c r="P23" s="69">
        <f t="shared" si="18"/>
        <v>1214.72</v>
      </c>
      <c r="Q23" s="69">
        <f t="shared" si="18"/>
        <v>1331.2</v>
      </c>
      <c r="R23" s="69">
        <f t="shared" si="18"/>
        <v>1447.68</v>
      </c>
      <c r="S23" s="69">
        <f t="shared" si="18"/>
        <v>1564.16</v>
      </c>
      <c r="T23" s="69">
        <f t="shared" si="18"/>
        <v>1680.64</v>
      </c>
    </row>
    <row r="24" spans="1:20" x14ac:dyDescent="0.35">
      <c r="A24" s="225"/>
      <c r="B24" s="189">
        <v>2026</v>
      </c>
      <c r="C24" s="192">
        <v>1</v>
      </c>
      <c r="D24" s="71">
        <v>1</v>
      </c>
      <c r="E24" s="70">
        <v>0.75</v>
      </c>
      <c r="F24" s="69">
        <f t="shared" ref="F24:T24" si="19">4*F6</f>
        <v>194.68800000000002</v>
      </c>
      <c r="G24" s="69">
        <f t="shared" si="19"/>
        <v>237.95200000000003</v>
      </c>
      <c r="H24" s="69">
        <f t="shared" si="19"/>
        <v>315.8272</v>
      </c>
      <c r="I24" s="69">
        <f t="shared" si="19"/>
        <v>411.00799999999998</v>
      </c>
      <c r="J24" s="69">
        <f t="shared" si="19"/>
        <v>532.1472</v>
      </c>
      <c r="K24" s="69">
        <f t="shared" si="19"/>
        <v>653.28639999999996</v>
      </c>
      <c r="L24" s="69">
        <f t="shared" si="19"/>
        <v>774.42560000000003</v>
      </c>
      <c r="M24" s="69">
        <f t="shared" si="19"/>
        <v>895.56479999999999</v>
      </c>
      <c r="N24" s="69">
        <f t="shared" si="19"/>
        <v>1016.7040000000001</v>
      </c>
      <c r="O24" s="69">
        <f t="shared" si="19"/>
        <v>1142.1695999999999</v>
      </c>
      <c r="P24" s="69">
        <f t="shared" si="19"/>
        <v>1263.3088</v>
      </c>
      <c r="Q24" s="69">
        <f t="shared" si="19"/>
        <v>1384.4480000000001</v>
      </c>
      <c r="R24" s="69">
        <f t="shared" si="19"/>
        <v>1505.5872000000002</v>
      </c>
      <c r="S24" s="69">
        <f t="shared" si="19"/>
        <v>1626.7264000000002</v>
      </c>
      <c r="T24" s="69">
        <f t="shared" si="19"/>
        <v>1747.8656000000001</v>
      </c>
    </row>
    <row r="25" spans="1:20" x14ac:dyDescent="0.35">
      <c r="A25" s="225"/>
      <c r="B25" s="189">
        <v>2027</v>
      </c>
      <c r="C25" s="192">
        <v>1</v>
      </c>
      <c r="D25" s="71">
        <v>1</v>
      </c>
      <c r="E25" s="70">
        <v>0.75</v>
      </c>
      <c r="F25" s="69">
        <f t="shared" ref="F25:T25" si="20">4*F7</f>
        <v>202.47552000000002</v>
      </c>
      <c r="G25" s="69">
        <f t="shared" si="20"/>
        <v>247.47008000000002</v>
      </c>
      <c r="H25" s="69">
        <f t="shared" si="20"/>
        <v>328.46028799999999</v>
      </c>
      <c r="I25" s="69">
        <f t="shared" si="20"/>
        <v>427.44831999999997</v>
      </c>
      <c r="J25" s="69">
        <f t="shared" si="20"/>
        <v>553.433088</v>
      </c>
      <c r="K25" s="69">
        <f t="shared" si="20"/>
        <v>679.41785600000003</v>
      </c>
      <c r="L25" s="69">
        <f t="shared" si="20"/>
        <v>805.40262400000006</v>
      </c>
      <c r="M25" s="69">
        <f t="shared" si="20"/>
        <v>931.38739199999998</v>
      </c>
      <c r="N25" s="69">
        <f t="shared" si="20"/>
        <v>1057.3721600000001</v>
      </c>
      <c r="O25" s="69">
        <f t="shared" si="20"/>
        <v>1187.8563839999999</v>
      </c>
      <c r="P25" s="69">
        <f t="shared" si="20"/>
        <v>1313.841152</v>
      </c>
      <c r="Q25" s="69">
        <f t="shared" si="20"/>
        <v>1439.8259200000002</v>
      </c>
      <c r="R25" s="69">
        <f t="shared" si="20"/>
        <v>1565.8106880000003</v>
      </c>
      <c r="S25" s="69">
        <f t="shared" si="20"/>
        <v>1691.7954560000003</v>
      </c>
      <c r="T25" s="69">
        <f t="shared" si="20"/>
        <v>1817.7802240000001</v>
      </c>
    </row>
    <row r="26" spans="1:20" x14ac:dyDescent="0.35">
      <c r="A26" s="225"/>
      <c r="B26" s="189">
        <v>2028</v>
      </c>
      <c r="C26" s="192">
        <v>1</v>
      </c>
      <c r="D26" s="71">
        <v>1</v>
      </c>
      <c r="E26" s="70">
        <v>0.75</v>
      </c>
      <c r="F26" s="69">
        <f t="shared" ref="F26:T26" si="21">4*F8</f>
        <v>210.57454080000002</v>
      </c>
      <c r="G26" s="69">
        <f t="shared" si="21"/>
        <v>257.36888320000003</v>
      </c>
      <c r="H26" s="69">
        <f t="shared" si="21"/>
        <v>341.59869952000003</v>
      </c>
      <c r="I26" s="69">
        <f t="shared" si="21"/>
        <v>444.54625279999999</v>
      </c>
      <c r="J26" s="69">
        <f t="shared" si="21"/>
        <v>575.57041151999999</v>
      </c>
      <c r="K26" s="69">
        <f t="shared" si="21"/>
        <v>706.59457024000005</v>
      </c>
      <c r="L26" s="69">
        <f t="shared" si="21"/>
        <v>837.61872896000011</v>
      </c>
      <c r="M26" s="69">
        <f t="shared" si="21"/>
        <v>968.64288768000006</v>
      </c>
      <c r="N26" s="69">
        <f t="shared" si="21"/>
        <v>1099.6670464000001</v>
      </c>
      <c r="O26" s="69">
        <f t="shared" si="21"/>
        <v>1235.37063936</v>
      </c>
      <c r="P26" s="69">
        <f t="shared" si="21"/>
        <v>1366.3947980800001</v>
      </c>
      <c r="Q26" s="69">
        <f t="shared" si="21"/>
        <v>1497.4189568000004</v>
      </c>
      <c r="R26" s="69">
        <f t="shared" si="21"/>
        <v>1628.4431155200002</v>
      </c>
      <c r="S26" s="69">
        <f t="shared" si="21"/>
        <v>1759.4672742400003</v>
      </c>
      <c r="T26" s="69">
        <f t="shared" si="21"/>
        <v>1890.4914329600001</v>
      </c>
    </row>
    <row r="27" spans="1:20" x14ac:dyDescent="0.35">
      <c r="A27" s="225"/>
      <c r="B27" s="189">
        <v>2029</v>
      </c>
      <c r="C27" s="192">
        <v>1</v>
      </c>
      <c r="D27" s="71">
        <v>1</v>
      </c>
      <c r="E27" s="70">
        <v>0.75</v>
      </c>
      <c r="F27" s="69">
        <f t="shared" ref="F27:T27" si="22">4*F9</f>
        <v>218.99752243200004</v>
      </c>
      <c r="G27" s="69">
        <f t="shared" si="22"/>
        <v>267.66363852800004</v>
      </c>
      <c r="H27" s="69">
        <f t="shared" si="22"/>
        <v>355.26264750080003</v>
      </c>
      <c r="I27" s="69">
        <f t="shared" si="22"/>
        <v>462.32810291200002</v>
      </c>
      <c r="J27" s="69">
        <f t="shared" si="22"/>
        <v>598.59322798080007</v>
      </c>
      <c r="K27" s="69">
        <f t="shared" si="22"/>
        <v>734.85835304960005</v>
      </c>
      <c r="L27" s="69">
        <f t="shared" si="22"/>
        <v>871.12347811840016</v>
      </c>
      <c r="M27" s="69">
        <f t="shared" si="22"/>
        <v>1007.3886031872001</v>
      </c>
      <c r="N27" s="69">
        <f t="shared" si="22"/>
        <v>1143.6537282560002</v>
      </c>
      <c r="O27" s="69">
        <f t="shared" si="22"/>
        <v>1284.7854649344001</v>
      </c>
      <c r="P27" s="69">
        <f t="shared" si="22"/>
        <v>1421.0505900032001</v>
      </c>
      <c r="Q27" s="69">
        <f t="shared" si="22"/>
        <v>1557.3157150720006</v>
      </c>
      <c r="R27" s="69">
        <f t="shared" si="22"/>
        <v>1693.5808401408003</v>
      </c>
      <c r="S27" s="69">
        <f t="shared" si="22"/>
        <v>1829.8459652096003</v>
      </c>
      <c r="T27" s="69">
        <f t="shared" si="22"/>
        <v>1966.1110902784001</v>
      </c>
    </row>
    <row r="28" spans="1:20" x14ac:dyDescent="0.35">
      <c r="A28" s="225"/>
      <c r="B28" s="189">
        <v>2030</v>
      </c>
      <c r="C28" s="192">
        <v>1</v>
      </c>
      <c r="D28" s="71">
        <v>1</v>
      </c>
      <c r="E28" s="70">
        <v>1</v>
      </c>
      <c r="F28" s="69">
        <f t="shared" ref="F28:T28" si="23">4*F10</f>
        <v>227.75742332928004</v>
      </c>
      <c r="G28" s="69">
        <f t="shared" si="23"/>
        <v>278.37018406912006</v>
      </c>
      <c r="H28" s="69">
        <f t="shared" si="23"/>
        <v>369.47315340083202</v>
      </c>
      <c r="I28" s="69">
        <f t="shared" si="23"/>
        <v>480.82122702848005</v>
      </c>
      <c r="J28" s="69">
        <f t="shared" si="23"/>
        <v>622.53695710003205</v>
      </c>
      <c r="K28" s="69">
        <f t="shared" si="23"/>
        <v>764.25268717158406</v>
      </c>
      <c r="L28" s="69">
        <f t="shared" si="23"/>
        <v>905.96841724313617</v>
      </c>
      <c r="M28" s="69">
        <f t="shared" si="23"/>
        <v>1047.6841473146883</v>
      </c>
      <c r="N28" s="69">
        <f t="shared" si="23"/>
        <v>1189.3998773862404</v>
      </c>
      <c r="O28" s="69">
        <f t="shared" si="23"/>
        <v>1336.1768835317762</v>
      </c>
      <c r="P28" s="69">
        <f t="shared" si="23"/>
        <v>1477.8926136033281</v>
      </c>
      <c r="Q28" s="69">
        <f t="shared" si="23"/>
        <v>1619.6083436748806</v>
      </c>
      <c r="R28" s="69">
        <f t="shared" si="23"/>
        <v>1761.3240737464323</v>
      </c>
      <c r="S28" s="69">
        <f t="shared" si="23"/>
        <v>1903.0398038179844</v>
      </c>
      <c r="T28" s="69">
        <f t="shared" si="23"/>
        <v>2044.7555338895361</v>
      </c>
    </row>
    <row r="29" spans="1:20" x14ac:dyDescent="0.35">
      <c r="A29" s="225"/>
      <c r="B29" s="189">
        <v>2031</v>
      </c>
      <c r="C29" s="192">
        <v>1</v>
      </c>
      <c r="D29" s="71">
        <v>1</v>
      </c>
      <c r="E29" s="70">
        <v>1</v>
      </c>
      <c r="F29" s="69">
        <f t="shared" ref="F29:T29" si="24">4*F11</f>
        <v>236.86772026245126</v>
      </c>
      <c r="G29" s="69">
        <f t="shared" si="24"/>
        <v>289.50499143188489</v>
      </c>
      <c r="H29" s="69">
        <f t="shared" si="24"/>
        <v>384.25207953686532</v>
      </c>
      <c r="I29" s="69">
        <f t="shared" si="24"/>
        <v>500.05407610961925</v>
      </c>
      <c r="J29" s="69">
        <f t="shared" si="24"/>
        <v>647.43843538403337</v>
      </c>
      <c r="K29" s="69">
        <f t="shared" si="24"/>
        <v>794.82279465844749</v>
      </c>
      <c r="L29" s="69">
        <f t="shared" si="24"/>
        <v>942.20715393286162</v>
      </c>
      <c r="M29" s="69">
        <f t="shared" si="24"/>
        <v>1089.591513207276</v>
      </c>
      <c r="N29" s="69">
        <f t="shared" si="24"/>
        <v>1236.97587248169</v>
      </c>
      <c r="O29" s="69">
        <f t="shared" si="24"/>
        <v>1389.6239588730473</v>
      </c>
      <c r="P29" s="69">
        <f t="shared" si="24"/>
        <v>1537.0083181474613</v>
      </c>
      <c r="Q29" s="69">
        <f t="shared" si="24"/>
        <v>1684.392677421876</v>
      </c>
      <c r="R29" s="69">
        <f t="shared" si="24"/>
        <v>1831.7770366962898</v>
      </c>
      <c r="S29" s="69">
        <f t="shared" si="24"/>
        <v>1979.1613959707038</v>
      </c>
      <c r="T29" s="69">
        <f t="shared" si="24"/>
        <v>2126.5457552451176</v>
      </c>
    </row>
    <row r="30" spans="1:20" x14ac:dyDescent="0.35">
      <c r="A30" s="225"/>
      <c r="B30" s="189">
        <v>2032</v>
      </c>
      <c r="C30" s="192">
        <v>1</v>
      </c>
      <c r="D30" s="71">
        <v>1</v>
      </c>
      <c r="E30" s="70">
        <v>1</v>
      </c>
      <c r="F30" s="69">
        <f t="shared" ref="F30:T30" si="25">4*F12</f>
        <v>246.34242907294933</v>
      </c>
      <c r="G30" s="69">
        <f t="shared" si="25"/>
        <v>301.08519108916028</v>
      </c>
      <c r="H30" s="69">
        <f t="shared" si="25"/>
        <v>399.62216271833995</v>
      </c>
      <c r="I30" s="69">
        <f t="shared" si="25"/>
        <v>520.05623915400406</v>
      </c>
      <c r="J30" s="69">
        <f t="shared" si="25"/>
        <v>673.33597279939477</v>
      </c>
      <c r="K30" s="69">
        <f t="shared" si="25"/>
        <v>826.61570644478547</v>
      </c>
      <c r="L30" s="69">
        <f t="shared" si="25"/>
        <v>979.89544009017607</v>
      </c>
      <c r="M30" s="69">
        <f t="shared" si="25"/>
        <v>1133.1751737355671</v>
      </c>
      <c r="N30" s="69">
        <f t="shared" si="25"/>
        <v>1286.4549073809576</v>
      </c>
      <c r="O30" s="69">
        <f t="shared" si="25"/>
        <v>1445.2089172279693</v>
      </c>
      <c r="P30" s="69">
        <f t="shared" si="25"/>
        <v>1598.4886508733598</v>
      </c>
      <c r="Q30" s="69">
        <f t="shared" si="25"/>
        <v>1751.7683845187512</v>
      </c>
      <c r="R30" s="69">
        <f t="shared" si="25"/>
        <v>1905.0481181641414</v>
      </c>
      <c r="S30" s="69">
        <f t="shared" si="25"/>
        <v>2058.3278518095321</v>
      </c>
      <c r="T30" s="69">
        <f t="shared" si="25"/>
        <v>2211.6075854549222</v>
      </c>
    </row>
    <row r="31" spans="1:20" x14ac:dyDescent="0.35">
      <c r="A31" s="225"/>
      <c r="B31" s="189">
        <v>2033</v>
      </c>
      <c r="C31" s="192">
        <v>1</v>
      </c>
      <c r="D31" s="71">
        <v>1</v>
      </c>
      <c r="E31" s="70">
        <v>1</v>
      </c>
      <c r="F31" s="69">
        <f t="shared" ref="F31:T31" si="26">4*F13</f>
        <v>256.19612623586733</v>
      </c>
      <c r="G31" s="69">
        <f t="shared" si="26"/>
        <v>313.12859873272669</v>
      </c>
      <c r="H31" s="69">
        <f t="shared" si="26"/>
        <v>415.60704922707356</v>
      </c>
      <c r="I31" s="69">
        <f t="shared" si="26"/>
        <v>540.85848872016425</v>
      </c>
      <c r="J31" s="69">
        <f t="shared" si="26"/>
        <v>700.26941171137059</v>
      </c>
      <c r="K31" s="69">
        <f t="shared" si="26"/>
        <v>859.68033470257694</v>
      </c>
      <c r="L31" s="69">
        <f t="shared" si="26"/>
        <v>1019.0912576937832</v>
      </c>
      <c r="M31" s="69">
        <f t="shared" si="26"/>
        <v>1178.5021806849898</v>
      </c>
      <c r="N31" s="69">
        <f t="shared" si="26"/>
        <v>1337.913103676196</v>
      </c>
      <c r="O31" s="69">
        <f t="shared" si="26"/>
        <v>1503.0172739170882</v>
      </c>
      <c r="P31" s="69">
        <f t="shared" si="26"/>
        <v>1662.4281969082942</v>
      </c>
      <c r="Q31" s="69">
        <f t="shared" si="26"/>
        <v>1821.8391198995014</v>
      </c>
      <c r="R31" s="69">
        <f t="shared" si="26"/>
        <v>1981.2500428907072</v>
      </c>
      <c r="S31" s="69">
        <f t="shared" si="26"/>
        <v>2140.6609658819134</v>
      </c>
      <c r="T31" s="69">
        <f t="shared" si="26"/>
        <v>2300.071888873119</v>
      </c>
    </row>
    <row r="32" spans="1:20" x14ac:dyDescent="0.35">
      <c r="A32" s="225"/>
      <c r="B32" s="189">
        <v>2034</v>
      </c>
      <c r="C32" s="192">
        <v>1</v>
      </c>
      <c r="D32" s="71">
        <v>1</v>
      </c>
      <c r="E32" s="70">
        <v>1</v>
      </c>
      <c r="F32" s="69">
        <f t="shared" ref="F32:T32" si="27">4*F14</f>
        <v>266.44397128530204</v>
      </c>
      <c r="G32" s="69">
        <f t="shared" si="27"/>
        <v>325.65374268203578</v>
      </c>
      <c r="H32" s="69">
        <f t="shared" si="27"/>
        <v>432.23133119615653</v>
      </c>
      <c r="I32" s="69">
        <f t="shared" si="27"/>
        <v>562.49282826897081</v>
      </c>
      <c r="J32" s="69">
        <f t="shared" si="27"/>
        <v>728.28018817982547</v>
      </c>
      <c r="K32" s="69">
        <f t="shared" si="27"/>
        <v>894.06754809068002</v>
      </c>
      <c r="L32" s="69">
        <f t="shared" si="27"/>
        <v>1059.8549080015346</v>
      </c>
      <c r="M32" s="69">
        <f t="shared" si="27"/>
        <v>1225.6422679123893</v>
      </c>
      <c r="N32" s="69">
        <f t="shared" si="27"/>
        <v>1391.4296278232439</v>
      </c>
      <c r="O32" s="69">
        <f t="shared" si="27"/>
        <v>1563.1379648737718</v>
      </c>
      <c r="P32" s="69">
        <f t="shared" si="27"/>
        <v>1728.9253247846261</v>
      </c>
      <c r="Q32" s="69">
        <f t="shared" si="27"/>
        <v>1894.7126846954816</v>
      </c>
      <c r="R32" s="69">
        <f t="shared" si="27"/>
        <v>2060.5000446063355</v>
      </c>
      <c r="S32" s="69">
        <f t="shared" si="27"/>
        <v>2226.2874045171902</v>
      </c>
      <c r="T32" s="69">
        <f t="shared" si="27"/>
        <v>2392.0747644280436</v>
      </c>
    </row>
    <row r="33" spans="1:20" x14ac:dyDescent="0.35">
      <c r="A33" s="225"/>
      <c r="B33" s="189">
        <v>2035</v>
      </c>
      <c r="C33" s="192">
        <v>1</v>
      </c>
      <c r="D33" s="71">
        <v>1</v>
      </c>
      <c r="E33" s="70">
        <v>1</v>
      </c>
      <c r="F33" s="69">
        <f t="shared" ref="F33:T33" si="28">4*F15</f>
        <v>277.10173013671414</v>
      </c>
      <c r="G33" s="69">
        <f t="shared" si="28"/>
        <v>338.67989238931722</v>
      </c>
      <c r="H33" s="69">
        <f t="shared" si="28"/>
        <v>449.52058444400279</v>
      </c>
      <c r="I33" s="69">
        <f t="shared" si="28"/>
        <v>584.9925413997297</v>
      </c>
      <c r="J33" s="69">
        <f t="shared" si="28"/>
        <v>757.41139570701853</v>
      </c>
      <c r="K33" s="69">
        <f t="shared" si="28"/>
        <v>929.83025001430724</v>
      </c>
      <c r="L33" s="69">
        <f t="shared" si="28"/>
        <v>1102.249104321596</v>
      </c>
      <c r="M33" s="69">
        <f t="shared" si="28"/>
        <v>1274.6679586288849</v>
      </c>
      <c r="N33" s="69">
        <f t="shared" si="28"/>
        <v>1447.0868129361736</v>
      </c>
      <c r="O33" s="69">
        <f t="shared" si="28"/>
        <v>1625.6634834687227</v>
      </c>
      <c r="P33" s="69">
        <f t="shared" si="28"/>
        <v>1798.0823377760112</v>
      </c>
      <c r="Q33" s="69">
        <f t="shared" si="28"/>
        <v>1970.501192083301</v>
      </c>
      <c r="R33" s="69">
        <f t="shared" si="28"/>
        <v>2142.9200463905891</v>
      </c>
      <c r="S33" s="69">
        <f t="shared" si="28"/>
        <v>2315.3389006978778</v>
      </c>
      <c r="T33" s="69">
        <f t="shared" si="28"/>
        <v>2487.7577550051656</v>
      </c>
    </row>
    <row r="34" spans="1:20" x14ac:dyDescent="0.35">
      <c r="A34" s="225"/>
      <c r="B34" s="189">
        <v>2036</v>
      </c>
      <c r="C34" s="192">
        <v>1</v>
      </c>
      <c r="D34" s="71">
        <v>1</v>
      </c>
      <c r="E34" s="70">
        <v>1</v>
      </c>
      <c r="F34" s="69">
        <f t="shared" ref="F34:T34" si="29">4*F16</f>
        <v>288.18579934218269</v>
      </c>
      <c r="G34" s="69">
        <f t="shared" si="29"/>
        <v>352.22708808488994</v>
      </c>
      <c r="H34" s="69">
        <f t="shared" si="29"/>
        <v>467.50140782176294</v>
      </c>
      <c r="I34" s="69">
        <f t="shared" si="29"/>
        <v>608.39224305571895</v>
      </c>
      <c r="J34" s="69">
        <f t="shared" si="29"/>
        <v>787.70785153529926</v>
      </c>
      <c r="K34" s="69">
        <f t="shared" si="29"/>
        <v>967.02346001487956</v>
      </c>
      <c r="L34" s="69">
        <f t="shared" si="29"/>
        <v>1146.3390684944598</v>
      </c>
      <c r="M34" s="69">
        <f t="shared" si="29"/>
        <v>1325.6546769740403</v>
      </c>
      <c r="N34" s="69">
        <f t="shared" si="29"/>
        <v>1504.9702854536206</v>
      </c>
      <c r="O34" s="69">
        <f t="shared" si="29"/>
        <v>1690.6900228074717</v>
      </c>
      <c r="P34" s="69">
        <f t="shared" si="29"/>
        <v>1870.0056312870518</v>
      </c>
      <c r="Q34" s="69">
        <f t="shared" si="29"/>
        <v>2049.321239766633</v>
      </c>
      <c r="R34" s="69">
        <f t="shared" si="29"/>
        <v>2228.6368482462126</v>
      </c>
      <c r="S34" s="69">
        <f t="shared" si="29"/>
        <v>2407.9524567257931</v>
      </c>
      <c r="T34" s="69">
        <f t="shared" si="29"/>
        <v>2587.2680652053723</v>
      </c>
    </row>
    <row r="35" spans="1:20" x14ac:dyDescent="0.35">
      <c r="A35" s="225"/>
      <c r="B35" s="189">
        <v>2037</v>
      </c>
      <c r="C35" s="192">
        <v>1</v>
      </c>
      <c r="D35" s="71">
        <v>1</v>
      </c>
      <c r="E35" s="70">
        <v>1</v>
      </c>
      <c r="F35" s="69">
        <f t="shared" ref="F35:T35" si="30">4*F17</f>
        <v>299.71323131587002</v>
      </c>
      <c r="G35" s="69">
        <f t="shared" si="30"/>
        <v>366.31617160828557</v>
      </c>
      <c r="H35" s="69">
        <f t="shared" si="30"/>
        <v>486.20146413463345</v>
      </c>
      <c r="I35" s="69">
        <f t="shared" si="30"/>
        <v>632.72793277794779</v>
      </c>
      <c r="J35" s="69">
        <f t="shared" si="30"/>
        <v>819.21616559671122</v>
      </c>
      <c r="K35" s="69">
        <f t="shared" si="30"/>
        <v>1005.7043984154748</v>
      </c>
      <c r="L35" s="69">
        <f t="shared" si="30"/>
        <v>1192.1926312342382</v>
      </c>
      <c r="M35" s="69">
        <f t="shared" si="30"/>
        <v>1378.6808640530019</v>
      </c>
      <c r="N35" s="69">
        <f t="shared" si="30"/>
        <v>1565.1690968717655</v>
      </c>
      <c r="O35" s="69">
        <f t="shared" si="30"/>
        <v>1758.3176237197706</v>
      </c>
      <c r="P35" s="69">
        <f t="shared" si="30"/>
        <v>1944.8058565385338</v>
      </c>
      <c r="Q35" s="69">
        <f t="shared" si="30"/>
        <v>2131.2940893572982</v>
      </c>
      <c r="R35" s="69">
        <f t="shared" si="30"/>
        <v>2317.7823221760614</v>
      </c>
      <c r="S35" s="69">
        <f t="shared" si="30"/>
        <v>2504.270554994825</v>
      </c>
      <c r="T35" s="69">
        <f t="shared" si="30"/>
        <v>2690.7587878135873</v>
      </c>
    </row>
    <row r="36" spans="1:20" x14ac:dyDescent="0.35">
      <c r="A36" s="225"/>
      <c r="B36" s="189">
        <v>2038</v>
      </c>
      <c r="C36" s="192">
        <v>1</v>
      </c>
      <c r="D36" s="71">
        <v>1</v>
      </c>
      <c r="E36" s="70">
        <v>1</v>
      </c>
      <c r="F36" s="69">
        <f t="shared" ref="F36:T36" si="31">4*F18</f>
        <v>311.70176056850482</v>
      </c>
      <c r="G36" s="69">
        <f t="shared" si="31"/>
        <v>380.96881847261699</v>
      </c>
      <c r="H36" s="69">
        <f t="shared" si="31"/>
        <v>505.64952270001879</v>
      </c>
      <c r="I36" s="69">
        <f t="shared" si="31"/>
        <v>658.0370500890657</v>
      </c>
      <c r="J36" s="69">
        <f t="shared" si="31"/>
        <v>851.98481222057967</v>
      </c>
      <c r="K36" s="69">
        <f t="shared" si="31"/>
        <v>1045.9325743520938</v>
      </c>
      <c r="L36" s="69">
        <f t="shared" si="31"/>
        <v>1239.8803364836078</v>
      </c>
      <c r="M36" s="69">
        <f t="shared" si="31"/>
        <v>1433.8280986151219</v>
      </c>
      <c r="N36" s="69">
        <f t="shared" si="31"/>
        <v>1627.7758607466362</v>
      </c>
      <c r="O36" s="69">
        <f t="shared" si="31"/>
        <v>1828.6503286685615</v>
      </c>
      <c r="P36" s="69">
        <f t="shared" si="31"/>
        <v>2022.5980908000752</v>
      </c>
      <c r="Q36" s="69">
        <f t="shared" si="31"/>
        <v>2216.5458529315902</v>
      </c>
      <c r="R36" s="69">
        <f t="shared" si="31"/>
        <v>2410.4936150631038</v>
      </c>
      <c r="S36" s="69">
        <f t="shared" si="31"/>
        <v>2604.4413771946183</v>
      </c>
      <c r="T36" s="69">
        <f t="shared" si="31"/>
        <v>2798.389139326131</v>
      </c>
    </row>
    <row r="37" spans="1:20" x14ac:dyDescent="0.35">
      <c r="A37" s="225"/>
      <c r="B37" s="189">
        <v>2039</v>
      </c>
      <c r="C37" s="192">
        <v>1</v>
      </c>
      <c r="D37" s="71">
        <v>1</v>
      </c>
      <c r="E37" s="70">
        <v>1</v>
      </c>
      <c r="F37" s="69">
        <f t="shared" ref="F37:T37" si="32">4*F19</f>
        <v>324.16983099124502</v>
      </c>
      <c r="G37" s="69">
        <f t="shared" si="32"/>
        <v>396.20757121152167</v>
      </c>
      <c r="H37" s="69">
        <f t="shared" si="32"/>
        <v>525.87550360801959</v>
      </c>
      <c r="I37" s="69">
        <f t="shared" si="32"/>
        <v>684.35853209262837</v>
      </c>
      <c r="J37" s="69">
        <f t="shared" si="32"/>
        <v>886.06420470940293</v>
      </c>
      <c r="K37" s="69">
        <f t="shared" si="32"/>
        <v>1087.7698773261775</v>
      </c>
      <c r="L37" s="69">
        <f t="shared" si="32"/>
        <v>1289.4755499429523</v>
      </c>
      <c r="M37" s="69">
        <f t="shared" si="32"/>
        <v>1491.1812225597268</v>
      </c>
      <c r="N37" s="69">
        <f t="shared" si="32"/>
        <v>1692.8868951765016</v>
      </c>
      <c r="O37" s="69">
        <f t="shared" si="32"/>
        <v>1901.796341815304</v>
      </c>
      <c r="P37" s="69">
        <f t="shared" si="32"/>
        <v>2103.5020144320783</v>
      </c>
      <c r="Q37" s="69">
        <f t="shared" si="32"/>
        <v>2305.207687048854</v>
      </c>
      <c r="R37" s="69">
        <f t="shared" si="32"/>
        <v>2506.9133596656279</v>
      </c>
      <c r="S37" s="69">
        <f t="shared" si="32"/>
        <v>2708.6190322824032</v>
      </c>
      <c r="T37" s="69">
        <f t="shared" si="32"/>
        <v>2910.3247048991766</v>
      </c>
    </row>
    <row r="38" spans="1:20" x14ac:dyDescent="0.35">
      <c r="A38" s="225"/>
      <c r="B38" s="189">
        <v>2040</v>
      </c>
      <c r="C38" s="192">
        <v>1</v>
      </c>
      <c r="D38" s="71">
        <v>1</v>
      </c>
      <c r="E38" s="70">
        <v>1</v>
      </c>
      <c r="F38" s="69">
        <f t="shared" ref="F38:T38" si="33">4*F20</f>
        <v>337.13662423089482</v>
      </c>
      <c r="G38" s="69">
        <f t="shared" si="33"/>
        <v>412.05587405998256</v>
      </c>
      <c r="H38" s="69">
        <f t="shared" si="33"/>
        <v>546.9105237523404</v>
      </c>
      <c r="I38" s="69">
        <f t="shared" si="33"/>
        <v>711.73287337633349</v>
      </c>
      <c r="J38" s="69">
        <f t="shared" si="33"/>
        <v>921.50677289777911</v>
      </c>
      <c r="K38" s="69">
        <f t="shared" si="33"/>
        <v>1131.2806724192246</v>
      </c>
      <c r="L38" s="69">
        <f t="shared" si="33"/>
        <v>1341.0545719406705</v>
      </c>
      <c r="M38" s="69">
        <f t="shared" si="33"/>
        <v>1550.8284714621159</v>
      </c>
      <c r="N38" s="69">
        <f t="shared" si="33"/>
        <v>1760.6023709835617</v>
      </c>
      <c r="O38" s="69">
        <f t="shared" si="33"/>
        <v>1977.8681954879162</v>
      </c>
      <c r="P38" s="69">
        <f t="shared" si="33"/>
        <v>2187.6420950093616</v>
      </c>
      <c r="Q38" s="69">
        <f t="shared" si="33"/>
        <v>2397.4159945308083</v>
      </c>
      <c r="R38" s="69">
        <f t="shared" si="33"/>
        <v>2607.1898940522533</v>
      </c>
      <c r="S38" s="69">
        <f t="shared" si="33"/>
        <v>2816.9637935736996</v>
      </c>
      <c r="T38" s="69">
        <f t="shared" si="33"/>
        <v>3026.7376930951436</v>
      </c>
    </row>
  </sheetData>
  <sheetProtection sheet="1" objects="1" scenarios="1" selectLockedCells="1"/>
  <mergeCells count="4">
    <mergeCell ref="F1:T1"/>
    <mergeCell ref="C1:E1"/>
    <mergeCell ref="A3:A20"/>
    <mergeCell ref="A21:A38"/>
  </mergeCells>
  <pageMargins left="0.7" right="0.7" top="0.75" bottom="0.75" header="0.3" footer="0.3"/>
  <pageSetup paperSize="9" orientation="portrait" r:id="rId1"/>
  <ignoredErrors>
    <ignoredError sqref="F5:T20" unlocked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6372-A020-4F20-947E-02308446C25C}">
  <sheetPr codeName="Sheet5"/>
  <dimension ref="A1:B16"/>
  <sheetViews>
    <sheetView showGridLines="0" workbookViewId="0">
      <selection activeCell="B2" sqref="B2"/>
    </sheetView>
  </sheetViews>
  <sheetFormatPr defaultRowHeight="14.5" x14ac:dyDescent="0.35"/>
  <cols>
    <col min="2" max="2" width="9.26953125" customWidth="1"/>
  </cols>
  <sheetData>
    <row r="1" spans="1:2" ht="15" thickBot="1" x14ac:dyDescent="0.4">
      <c r="A1" s="134" t="s">
        <v>147</v>
      </c>
      <c r="B1" s="147" t="s">
        <v>148</v>
      </c>
    </row>
    <row r="2" spans="1:2" x14ac:dyDescent="0.35">
      <c r="A2" s="151">
        <v>0</v>
      </c>
      <c r="B2" s="174">
        <v>0</v>
      </c>
    </row>
    <row r="3" spans="1:2" x14ac:dyDescent="0.35">
      <c r="A3" s="135">
        <v>1</v>
      </c>
      <c r="B3" s="175">
        <v>0</v>
      </c>
    </row>
    <row r="4" spans="1:2" x14ac:dyDescent="0.35">
      <c r="A4" s="136">
        <v>2</v>
      </c>
      <c r="B4" s="176">
        <v>0</v>
      </c>
    </row>
    <row r="5" spans="1:2" x14ac:dyDescent="0.35">
      <c r="A5" s="136">
        <v>3</v>
      </c>
      <c r="B5" s="176">
        <v>0</v>
      </c>
    </row>
    <row r="6" spans="1:2" x14ac:dyDescent="0.35">
      <c r="A6" s="136">
        <v>4</v>
      </c>
      <c r="B6" s="176">
        <v>50</v>
      </c>
    </row>
    <row r="7" spans="1:2" x14ac:dyDescent="0.35">
      <c r="A7" s="136">
        <v>5</v>
      </c>
      <c r="B7" s="176">
        <v>0</v>
      </c>
    </row>
    <row r="8" spans="1:2" x14ac:dyDescent="0.35">
      <c r="A8" s="136">
        <v>6</v>
      </c>
      <c r="B8" s="176">
        <v>50</v>
      </c>
    </row>
    <row r="9" spans="1:2" x14ac:dyDescent="0.35">
      <c r="A9" s="136">
        <v>7</v>
      </c>
      <c r="B9" s="176">
        <v>0</v>
      </c>
    </row>
    <row r="10" spans="1:2" x14ac:dyDescent="0.35">
      <c r="A10" s="136">
        <v>8</v>
      </c>
      <c r="B10" s="176">
        <v>50</v>
      </c>
    </row>
    <row r="11" spans="1:2" x14ac:dyDescent="0.35">
      <c r="A11" s="136">
        <v>9</v>
      </c>
      <c r="B11" s="176">
        <v>50</v>
      </c>
    </row>
    <row r="12" spans="1:2" x14ac:dyDescent="0.35">
      <c r="A12" s="136">
        <v>10</v>
      </c>
      <c r="B12" s="176">
        <v>50</v>
      </c>
    </row>
    <row r="13" spans="1:2" x14ac:dyDescent="0.35">
      <c r="A13" s="136">
        <v>11</v>
      </c>
      <c r="B13" s="176">
        <v>50</v>
      </c>
    </row>
    <row r="14" spans="1:2" x14ac:dyDescent="0.35">
      <c r="A14" s="136">
        <v>12</v>
      </c>
      <c r="B14" s="176">
        <v>50</v>
      </c>
    </row>
    <row r="15" spans="1:2" x14ac:dyDescent="0.35">
      <c r="A15" s="136">
        <v>13</v>
      </c>
      <c r="B15" s="176">
        <v>50</v>
      </c>
    </row>
    <row r="16" spans="1:2" ht="15" thickBot="1" x14ac:dyDescent="0.4">
      <c r="A16" s="137">
        <v>14</v>
      </c>
      <c r="B16" s="177">
        <v>50</v>
      </c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162D-1BE7-4827-AA72-9012D73F19FB}">
  <sheetPr codeName="Sheet7"/>
  <dimension ref="B1:D22"/>
  <sheetViews>
    <sheetView showGridLines="0" workbookViewId="0"/>
  </sheetViews>
  <sheetFormatPr defaultRowHeight="14.5" x14ac:dyDescent="0.35"/>
  <cols>
    <col min="2" max="2" width="55.26953125" bestFit="1" customWidth="1"/>
    <col min="3" max="3" width="29.453125" customWidth="1"/>
    <col min="4" max="4" width="58" bestFit="1" customWidth="1"/>
  </cols>
  <sheetData>
    <row r="1" spans="2:4" ht="15" thickBot="1" x14ac:dyDescent="0.4"/>
    <row r="2" spans="2:4" ht="15" thickBot="1" x14ac:dyDescent="0.4">
      <c r="B2" s="77" t="s">
        <v>115</v>
      </c>
      <c r="C2" s="78" t="s">
        <v>0</v>
      </c>
      <c r="D2" s="79" t="s">
        <v>116</v>
      </c>
    </row>
    <row r="3" spans="2:4" x14ac:dyDescent="0.35">
      <c r="B3" s="83" t="s">
        <v>236</v>
      </c>
      <c r="C3" s="80" t="s">
        <v>10</v>
      </c>
      <c r="D3" s="81" t="s">
        <v>239</v>
      </c>
    </row>
    <row r="4" spans="2:4" x14ac:dyDescent="0.35">
      <c r="B4" s="17" t="s">
        <v>235</v>
      </c>
      <c r="C4" s="80" t="s">
        <v>207</v>
      </c>
      <c r="D4" s="20" t="s">
        <v>238</v>
      </c>
    </row>
    <row r="5" spans="2:4" x14ac:dyDescent="0.35">
      <c r="B5" s="17"/>
      <c r="C5" s="82"/>
      <c r="D5" s="20"/>
    </row>
    <row r="6" spans="2:4" x14ac:dyDescent="0.35">
      <c r="B6" s="17" t="s">
        <v>122</v>
      </c>
      <c r="C6" s="82" t="s">
        <v>121</v>
      </c>
      <c r="D6" s="20" t="s">
        <v>237</v>
      </c>
    </row>
    <row r="7" spans="2:4" x14ac:dyDescent="0.35">
      <c r="B7" s="17" t="s">
        <v>119</v>
      </c>
      <c r="C7" s="82" t="s">
        <v>113</v>
      </c>
      <c r="D7" s="20" t="s">
        <v>240</v>
      </c>
    </row>
    <row r="8" spans="2:4" x14ac:dyDescent="0.35">
      <c r="B8" s="17" t="s">
        <v>120</v>
      </c>
      <c r="C8" s="82" t="s">
        <v>53</v>
      </c>
      <c r="D8" s="20" t="s">
        <v>241</v>
      </c>
    </row>
    <row r="9" spans="2:4" x14ac:dyDescent="0.35">
      <c r="B9" s="17" t="s">
        <v>124</v>
      </c>
      <c r="C9" s="82" t="s">
        <v>123</v>
      </c>
      <c r="D9" s="20" t="s">
        <v>242</v>
      </c>
    </row>
    <row r="10" spans="2:4" x14ac:dyDescent="0.35">
      <c r="B10" s="17" t="s">
        <v>154</v>
      </c>
      <c r="C10" s="82" t="s">
        <v>155</v>
      </c>
      <c r="D10" s="20" t="s">
        <v>243</v>
      </c>
    </row>
    <row r="11" spans="2:4" x14ac:dyDescent="0.35">
      <c r="B11" s="17"/>
      <c r="C11" s="82"/>
      <c r="D11" s="20"/>
    </row>
    <row r="12" spans="2:4" x14ac:dyDescent="0.35">
      <c r="B12" s="17" t="s">
        <v>118</v>
      </c>
      <c r="C12" s="82" t="s">
        <v>117</v>
      </c>
      <c r="D12" s="20" t="s">
        <v>244</v>
      </c>
    </row>
    <row r="13" spans="2:4" x14ac:dyDescent="0.35">
      <c r="B13" s="84"/>
      <c r="C13" s="85"/>
      <c r="D13" s="86"/>
    </row>
    <row r="14" spans="2:4" x14ac:dyDescent="0.35">
      <c r="B14" s="84" t="s">
        <v>247</v>
      </c>
      <c r="C14" s="85" t="s">
        <v>245</v>
      </c>
      <c r="D14" s="86" t="s">
        <v>246</v>
      </c>
    </row>
    <row r="15" spans="2:4" x14ac:dyDescent="0.35">
      <c r="B15" s="84"/>
      <c r="C15" s="85"/>
      <c r="D15" s="86"/>
    </row>
    <row r="16" spans="2:4" x14ac:dyDescent="0.35">
      <c r="B16" s="84" t="s">
        <v>126</v>
      </c>
      <c r="C16" s="85" t="s">
        <v>105</v>
      </c>
      <c r="D16" s="86" t="s">
        <v>248</v>
      </c>
    </row>
    <row r="17" spans="2:4" x14ac:dyDescent="0.35">
      <c r="B17" s="84" t="s">
        <v>125</v>
      </c>
      <c r="C17" s="85" t="s">
        <v>102</v>
      </c>
      <c r="D17" s="86" t="s">
        <v>132</v>
      </c>
    </row>
    <row r="18" spans="2:4" x14ac:dyDescent="0.35">
      <c r="B18" s="84" t="s">
        <v>129</v>
      </c>
      <c r="C18" s="85" t="s">
        <v>107</v>
      </c>
      <c r="D18" s="86" t="s">
        <v>132</v>
      </c>
    </row>
    <row r="19" spans="2:4" x14ac:dyDescent="0.35">
      <c r="B19" s="84" t="s">
        <v>127</v>
      </c>
      <c r="C19" s="85" t="s">
        <v>103</v>
      </c>
      <c r="D19" s="86" t="s">
        <v>132</v>
      </c>
    </row>
    <row r="20" spans="2:4" x14ac:dyDescent="0.35">
      <c r="B20" s="84" t="s">
        <v>131</v>
      </c>
      <c r="C20" s="85" t="s">
        <v>104</v>
      </c>
      <c r="D20" s="86" t="s">
        <v>132</v>
      </c>
    </row>
    <row r="21" spans="2:4" x14ac:dyDescent="0.35">
      <c r="B21" s="84" t="s">
        <v>128</v>
      </c>
      <c r="C21" s="85" t="s">
        <v>106</v>
      </c>
      <c r="D21" s="86" t="s">
        <v>132</v>
      </c>
    </row>
    <row r="22" spans="2:4" ht="15" thickBot="1" x14ac:dyDescent="0.4">
      <c r="B22" s="16" t="s">
        <v>130</v>
      </c>
      <c r="C22" s="171" t="s">
        <v>108</v>
      </c>
      <c r="D22" s="21" t="s">
        <v>132</v>
      </c>
    </row>
  </sheetData>
  <hyperlinks>
    <hyperlink ref="C3" r:id="rId1" xr:uid="{4AF75B00-93C0-4CA4-8ACE-97390F56EBCE}"/>
    <hyperlink ref="C12" r:id="rId2" xr:uid="{08F43B8F-6113-4829-9B8F-EE22201AD472}"/>
    <hyperlink ref="C7" r:id="rId3" xr:uid="{06516EF3-8AC7-44D7-B8D1-451BD5329678}"/>
    <hyperlink ref="C8" r:id="rId4" xr:uid="{3D3C0B9F-185D-4AF0-9974-DEA8F55F763C}"/>
    <hyperlink ref="C6" r:id="rId5" xr:uid="{724B0F3F-31A9-47F0-992A-4D755C451AA4}"/>
    <hyperlink ref="C9" r:id="rId6" xr:uid="{4033181A-3D6D-4197-A1BA-C2E6E4D99E42}"/>
    <hyperlink ref="C20" r:id="rId7" xr:uid="{C2A5564A-8E61-43D1-A794-B84D8F13AE26}"/>
    <hyperlink ref="C14" r:id="rId8" xr:uid="{0C0B53D8-2F1B-42E2-9C0C-EA63C3CAE039}"/>
    <hyperlink ref="C17" r:id="rId9" xr:uid="{D4FD330E-2991-449C-A2B4-AFC77F6DD7D5}"/>
    <hyperlink ref="C16" r:id="rId10" xr:uid="{664F923B-E2A0-4094-9775-C372F3BB9BE5}"/>
    <hyperlink ref="C19" r:id="rId11" xr:uid="{94519E6E-97D4-4960-B455-61F12EADAFE7}"/>
    <hyperlink ref="C21" r:id="rId12" xr:uid="{5DA8A988-D293-4CF5-AFAC-1CD4904FC3E9}"/>
    <hyperlink ref="C18" r:id="rId13" xr:uid="{256F66D3-2432-4EDB-A982-62A923E76594}"/>
    <hyperlink ref="C22" r:id="rId14" xr:uid="{19606D80-05F4-4DAF-B4EB-88B4FF3A1724}"/>
    <hyperlink ref="C10" r:id="rId15" xr:uid="{E127A8A0-95D0-4338-9242-E940917F91D7}"/>
    <hyperlink ref="C4" r:id="rId16" xr:uid="{C40583B3-491A-415D-A264-23D35EE77C88}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E535-A8BB-45F4-9E0E-EE548AA317A2}">
  <sheetPr codeName="Sheet10"/>
  <dimension ref="A1:C48"/>
  <sheetViews>
    <sheetView showGridLines="0" workbookViewId="0"/>
  </sheetViews>
  <sheetFormatPr defaultRowHeight="14.5" x14ac:dyDescent="0.35"/>
  <cols>
    <col min="1" max="1" width="33.7265625" customWidth="1"/>
    <col min="2" max="3" width="8.7265625" customWidth="1"/>
  </cols>
  <sheetData>
    <row r="1" spans="1:2" x14ac:dyDescent="0.35">
      <c r="A1" s="148" t="s">
        <v>202</v>
      </c>
    </row>
    <row r="2" spans="1:2" x14ac:dyDescent="0.35">
      <c r="A2" t="s">
        <v>232</v>
      </c>
    </row>
    <row r="5" spans="1:2" x14ac:dyDescent="0.35">
      <c r="A5" s="148" t="s">
        <v>191</v>
      </c>
    </row>
    <row r="6" spans="1:2" x14ac:dyDescent="0.35">
      <c r="A6" s="133" t="s">
        <v>190</v>
      </c>
    </row>
    <row r="7" spans="1:2" x14ac:dyDescent="0.35">
      <c r="A7" s="133"/>
    </row>
    <row r="8" spans="1:2" x14ac:dyDescent="0.35">
      <c r="A8" s="149" t="s">
        <v>116</v>
      </c>
      <c r="B8" s="149" t="s">
        <v>56</v>
      </c>
    </row>
    <row r="9" spans="1:2" x14ac:dyDescent="0.35">
      <c r="A9" s="149" t="s">
        <v>192</v>
      </c>
      <c r="B9" s="161">
        <v>52.5</v>
      </c>
    </row>
    <row r="10" spans="1:2" x14ac:dyDescent="0.35">
      <c r="A10" s="149" t="s">
        <v>193</v>
      </c>
      <c r="B10" s="161">
        <v>43.4</v>
      </c>
    </row>
    <row r="11" spans="1:2" x14ac:dyDescent="0.35">
      <c r="A11" s="149" t="s">
        <v>194</v>
      </c>
      <c r="B11" s="161">
        <v>11.4</v>
      </c>
    </row>
    <row r="12" spans="1:2" x14ac:dyDescent="0.35">
      <c r="A12" s="149" t="s">
        <v>195</v>
      </c>
      <c r="B12" s="161">
        <v>22.5</v>
      </c>
    </row>
    <row r="13" spans="1:2" x14ac:dyDescent="0.35">
      <c r="A13" s="149" t="s">
        <v>30</v>
      </c>
      <c r="B13" s="161">
        <f>SUM(B9:B12)</f>
        <v>129.80000000000001</v>
      </c>
    </row>
    <row r="16" spans="1:2" x14ac:dyDescent="0.35">
      <c r="A16" s="148" t="s">
        <v>196</v>
      </c>
    </row>
    <row r="17" spans="1:3" x14ac:dyDescent="0.35">
      <c r="A17" s="133" t="s">
        <v>207</v>
      </c>
    </row>
    <row r="19" spans="1:3" x14ac:dyDescent="0.35">
      <c r="A19" t="s">
        <v>203</v>
      </c>
    </row>
    <row r="20" spans="1:3" x14ac:dyDescent="0.35">
      <c r="A20" s="149" t="s">
        <v>9</v>
      </c>
      <c r="B20" s="149" t="s">
        <v>204</v>
      </c>
      <c r="C20" s="149" t="s">
        <v>205</v>
      </c>
    </row>
    <row r="21" spans="1:3" x14ac:dyDescent="0.35">
      <c r="A21" s="149">
        <v>0</v>
      </c>
      <c r="B21" s="161">
        <v>0</v>
      </c>
      <c r="C21" s="161">
        <v>0</v>
      </c>
    </row>
    <row r="22" spans="1:3" x14ac:dyDescent="0.35">
      <c r="A22" s="149" t="s">
        <v>197</v>
      </c>
      <c r="B22" s="149" t="s">
        <v>204</v>
      </c>
      <c r="C22" s="149" t="s">
        <v>205</v>
      </c>
    </row>
    <row r="23" spans="1:3" x14ac:dyDescent="0.35">
      <c r="A23" s="149">
        <v>0</v>
      </c>
      <c r="B23" s="150">
        <v>0</v>
      </c>
      <c r="C23" s="150">
        <v>26</v>
      </c>
    </row>
    <row r="24" spans="1:3" x14ac:dyDescent="0.35">
      <c r="A24" s="149">
        <v>34</v>
      </c>
      <c r="B24" s="150">
        <v>884</v>
      </c>
      <c r="C24" s="150">
        <v>91</v>
      </c>
    </row>
    <row r="25" spans="1:3" x14ac:dyDescent="0.35">
      <c r="A25" s="149">
        <v>60</v>
      </c>
      <c r="B25" s="150">
        <v>3250</v>
      </c>
      <c r="C25" s="150">
        <v>217</v>
      </c>
    </row>
    <row r="26" spans="1:3" x14ac:dyDescent="0.35">
      <c r="A26" s="149" t="s">
        <v>31</v>
      </c>
      <c r="B26" s="149"/>
      <c r="C26" s="149"/>
    </row>
    <row r="27" spans="1:3" x14ac:dyDescent="0.35">
      <c r="A27" s="149">
        <v>0</v>
      </c>
      <c r="B27" s="150">
        <v>400</v>
      </c>
      <c r="C27" s="150">
        <v>2</v>
      </c>
    </row>
    <row r="28" spans="1:3" x14ac:dyDescent="0.35">
      <c r="A28" s="149">
        <v>82</v>
      </c>
      <c r="B28" s="150">
        <v>564</v>
      </c>
      <c r="C28" s="150">
        <v>68</v>
      </c>
    </row>
    <row r="29" spans="1:3" x14ac:dyDescent="0.35">
      <c r="A29" s="149">
        <v>106</v>
      </c>
      <c r="B29" s="150">
        <v>2196</v>
      </c>
      <c r="C29" s="150">
        <v>149</v>
      </c>
    </row>
    <row r="30" spans="1:3" x14ac:dyDescent="0.35">
      <c r="A30" s="149">
        <v>148</v>
      </c>
      <c r="B30" s="150">
        <v>8454</v>
      </c>
      <c r="C30" s="150">
        <v>244</v>
      </c>
    </row>
    <row r="31" spans="1:3" x14ac:dyDescent="0.35">
      <c r="A31" s="149">
        <v>165</v>
      </c>
      <c r="B31" s="150">
        <v>12602</v>
      </c>
      <c r="C31" s="150">
        <v>488</v>
      </c>
    </row>
    <row r="34" spans="1:3" x14ac:dyDescent="0.35">
      <c r="A34" s="149" t="s">
        <v>208</v>
      </c>
      <c r="B34" s="149" t="s">
        <v>204</v>
      </c>
      <c r="C34" s="149" t="s">
        <v>205</v>
      </c>
    </row>
    <row r="35" spans="1:3" x14ac:dyDescent="0.35">
      <c r="A35" s="162">
        <v>0</v>
      </c>
      <c r="B35" s="163">
        <v>0</v>
      </c>
      <c r="C35" s="164">
        <v>0.08</v>
      </c>
    </row>
    <row r="36" spans="1:3" x14ac:dyDescent="0.35">
      <c r="A36" s="162">
        <f>1/12</f>
        <v>8.3333333333333329E-2</v>
      </c>
      <c r="B36" s="163">
        <v>0.08</v>
      </c>
      <c r="C36" s="164">
        <v>0.03</v>
      </c>
    </row>
    <row r="37" spans="1:3" x14ac:dyDescent="0.35">
      <c r="A37" s="162">
        <f>3/12</f>
        <v>0.25</v>
      </c>
      <c r="B37" s="163">
        <v>0.14000000000000001</v>
      </c>
      <c r="C37" s="164">
        <v>2.5000000000000001E-2</v>
      </c>
    </row>
    <row r="38" spans="1:3" x14ac:dyDescent="0.35">
      <c r="A38" s="162">
        <f>5/12</f>
        <v>0.41666666666666669</v>
      </c>
      <c r="B38" s="163">
        <v>0.19</v>
      </c>
      <c r="C38" s="164">
        <v>2.2499999999999999E-2</v>
      </c>
    </row>
    <row r="39" spans="1:3" x14ac:dyDescent="0.35">
      <c r="A39" s="162">
        <f>9/12</f>
        <v>0.75</v>
      </c>
      <c r="B39" s="163">
        <v>0.28000000000000003</v>
      </c>
      <c r="C39" s="164">
        <v>1.444E-2</v>
      </c>
    </row>
    <row r="40" spans="1:3" x14ac:dyDescent="0.35">
      <c r="A40" s="162">
        <f>(1*12+6)/12</f>
        <v>1.5</v>
      </c>
      <c r="B40" s="163">
        <v>0.41</v>
      </c>
      <c r="C40" s="164">
        <v>9.1699999999999993E-3</v>
      </c>
    </row>
    <row r="41" spans="1:3" x14ac:dyDescent="0.35">
      <c r="A41" s="162">
        <f>(2*12+6)/12</f>
        <v>2.5</v>
      </c>
      <c r="B41" s="163">
        <v>0.52</v>
      </c>
      <c r="C41" s="164">
        <v>8.3300000000000006E-3</v>
      </c>
    </row>
    <row r="42" spans="1:3" x14ac:dyDescent="0.35">
      <c r="A42" s="162">
        <f>(3*12+6)/12</f>
        <v>3.5</v>
      </c>
      <c r="B42" s="163">
        <v>0.62</v>
      </c>
      <c r="C42" s="164">
        <v>7.4999999999999997E-3</v>
      </c>
    </row>
    <row r="43" spans="1:3" x14ac:dyDescent="0.35">
      <c r="A43" s="162">
        <f>(4*12+6)/12</f>
        <v>4.5</v>
      </c>
      <c r="B43" s="163">
        <v>0.71</v>
      </c>
      <c r="C43" s="164">
        <v>4.1599999999999996E-3</v>
      </c>
    </row>
    <row r="44" spans="1:3" x14ac:dyDescent="0.35">
      <c r="A44" s="162">
        <f>(5*12+6)/12</f>
        <v>5.5</v>
      </c>
      <c r="B44" s="163">
        <v>0.76</v>
      </c>
      <c r="C44" s="164">
        <v>4.1599999999999996E-3</v>
      </c>
    </row>
    <row r="45" spans="1:3" x14ac:dyDescent="0.35">
      <c r="A45" s="162">
        <f>(6*12+6)/12</f>
        <v>6.5</v>
      </c>
      <c r="B45" s="163">
        <v>0.81</v>
      </c>
      <c r="C45" s="164">
        <v>3.3300000000000001E-3</v>
      </c>
    </row>
    <row r="46" spans="1:3" x14ac:dyDescent="0.35">
      <c r="A46" s="162">
        <f>(7*12+6)/12</f>
        <v>7.5</v>
      </c>
      <c r="B46" s="163">
        <v>0.85</v>
      </c>
      <c r="C46" s="164">
        <v>3.3300000000000001E-3</v>
      </c>
    </row>
    <row r="47" spans="1:3" x14ac:dyDescent="0.35">
      <c r="A47" s="162">
        <f>(8*12+6)/12</f>
        <v>8.5</v>
      </c>
      <c r="B47" s="163">
        <v>0.89</v>
      </c>
      <c r="C47" s="164">
        <v>2.5000000000000001E-3</v>
      </c>
    </row>
    <row r="48" spans="1:3" x14ac:dyDescent="0.35">
      <c r="A48" s="162">
        <f>(9*12+6)/12</f>
        <v>9.5</v>
      </c>
      <c r="B48" s="163">
        <v>0.92</v>
      </c>
      <c r="C48" s="164">
        <v>8.3000000000000001E-4</v>
      </c>
    </row>
  </sheetData>
  <sheetProtection selectLockedCells="1"/>
  <hyperlinks>
    <hyperlink ref="A6" r:id="rId1" xr:uid="{71CA6E33-359D-4D49-8ADC-936DCF0F3582}"/>
    <hyperlink ref="A17" r:id="rId2" xr:uid="{22B9D128-AF8B-40DA-853A-3FCB306F26F5}"/>
  </hyperlinks>
  <pageMargins left="0.7" right="0.7" top="0.75" bottom="0.75" header="0.3" footer="0.3"/>
  <pageSetup paperSize="9" orientation="portrait" r:id="rId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Usage and energy</vt:lpstr>
      <vt:lpstr>Comparison</vt:lpstr>
      <vt:lpstr>Maintenance</vt:lpstr>
      <vt:lpstr>MRB</vt:lpstr>
      <vt:lpstr>APK</vt:lpstr>
      <vt:lpstr>Links</vt:lpstr>
      <vt:lpstr>Import</vt:lpstr>
      <vt:lpstr>At_work_price</vt:lpstr>
      <vt:lpstr>Commuting_km</vt:lpstr>
      <vt:lpstr>Extra_urban_km</vt:lpstr>
      <vt:lpstr>Off_peak_charge</vt:lpstr>
      <vt:lpstr>Off_peak_price</vt:lpstr>
      <vt:lpstr>Parking_permit</vt:lpstr>
      <vt:lpstr>Peak_charge</vt:lpstr>
      <vt:lpstr>Peak_price</vt:lpstr>
      <vt:lpstr>Petrol_price</vt:lpstr>
      <vt:lpstr>Travel_allowance</vt:lpstr>
      <vt:lpstr>Travel_allowance_rate</vt:lpstr>
      <vt:lpstr>Urban_km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Marin</dc:creator>
  <cp:lastModifiedBy>Pablo Marin</cp:lastModifiedBy>
  <dcterms:created xsi:type="dcterms:W3CDTF">2022-04-09T19:01:31Z</dcterms:created>
  <dcterms:modified xsi:type="dcterms:W3CDTF">2024-11-10T18:22:09Z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2022-10-31T14:50:57Z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984ea1bd-6a45-4eef-b02e-52ab49c691b9</vt:lpwstr>
  </property>
  <property fmtid="{D5CDD505-2E9C-101B-9397-08002B2CF9AE}" pid="8" name="MSIP_Label_3976fa30-1907-4356-8241-62ea5e1c0256_ContentBits">
    <vt:lpwstr>0</vt:lpwstr>
  </property>
</Properties>
</file>