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6 Lotfi Agounizera\projets apres stage\Fan Curvs\E130_HF\FANTECH\"/>
    </mc:Choice>
  </mc:AlternateContent>
  <xr:revisionPtr revIDLastSave="0" documentId="13_ncr:1_{9D3D5D67-CE4B-4471-9DC2-81A2D2809DB2}" xr6:coauthVersionLast="47" xr6:coauthVersionMax="47" xr10:uidLastSave="{00000000-0000-0000-0000-000000000000}"/>
  <bookViews>
    <workbookView xWindow="-120" yWindow="-120" windowWidth="21840" windowHeight="13140" tabRatio="795" xr2:uid="{00000000-000D-0000-FFFF-FFFF00000000}"/>
  </bookViews>
  <sheets>
    <sheet name="pression débit 5po" sheetId="10" r:id="rId1"/>
    <sheet name="facteur de puissance EBM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0" l="1"/>
  <c r="U43" i="10"/>
  <c r="O43" i="10"/>
  <c r="U42" i="10"/>
  <c r="O42" i="10"/>
  <c r="U41" i="10"/>
  <c r="O41" i="10"/>
  <c r="U40" i="10"/>
  <c r="O40" i="10"/>
  <c r="U39" i="10"/>
  <c r="O39" i="10"/>
  <c r="U38" i="10"/>
  <c r="O38" i="10"/>
  <c r="U37" i="10"/>
  <c r="O37" i="10"/>
  <c r="U36" i="10"/>
  <c r="O36" i="10"/>
  <c r="U35" i="10"/>
  <c r="O35" i="10"/>
  <c r="AA65" i="10" l="1"/>
  <c r="U65" i="10"/>
  <c r="AA63" i="10"/>
  <c r="AA54" i="10"/>
  <c r="AA53" i="10"/>
  <c r="AA49" i="10"/>
  <c r="AA40" i="10"/>
  <c r="AA36" i="10"/>
  <c r="AA37" i="10"/>
  <c r="AA28" i="10"/>
  <c r="AA27" i="10"/>
  <c r="O69" i="10"/>
  <c r="O70" i="10"/>
  <c r="O71" i="10"/>
  <c r="AA64" i="10"/>
  <c r="O64" i="10"/>
  <c r="O65" i="10"/>
  <c r="O66" i="10"/>
  <c r="O67" i="10"/>
  <c r="O68" i="10"/>
  <c r="AA51" i="10"/>
  <c r="AA52" i="10"/>
  <c r="AA55" i="10"/>
  <c r="AA56" i="10"/>
  <c r="AA57" i="10"/>
  <c r="AA41" i="10"/>
  <c r="AA38" i="10"/>
  <c r="AA23" i="10"/>
  <c r="AA22" i="10"/>
  <c r="U51" i="10"/>
  <c r="U52" i="10"/>
  <c r="U53" i="10"/>
  <c r="U54" i="10"/>
  <c r="U55" i="10"/>
  <c r="U56" i="10"/>
  <c r="U57" i="10"/>
  <c r="U49" i="10"/>
  <c r="O54" i="10"/>
  <c r="O55" i="10"/>
  <c r="O56" i="10"/>
  <c r="O57" i="10"/>
  <c r="O49" i="10"/>
  <c r="AA24" i="10"/>
  <c r="AA25" i="10"/>
  <c r="AA26" i="10"/>
  <c r="AA29" i="10"/>
  <c r="AA21" i="10"/>
  <c r="AA39" i="10"/>
  <c r="AA35" i="10"/>
  <c r="AA50" i="10"/>
  <c r="M4" i="11"/>
  <c r="M3" i="11"/>
  <c r="J6" i="11"/>
  <c r="J7" i="11"/>
  <c r="J8" i="11"/>
  <c r="J5" i="11"/>
  <c r="G5" i="11"/>
  <c r="G6" i="11"/>
  <c r="G7" i="11"/>
  <c r="G8" i="11"/>
  <c r="G9" i="11"/>
  <c r="G10" i="11"/>
  <c r="G4" i="11"/>
  <c r="D5" i="11"/>
  <c r="D6" i="11"/>
  <c r="D7" i="11"/>
  <c r="D8" i="11"/>
  <c r="D9" i="11"/>
  <c r="D10" i="11"/>
  <c r="D11" i="11"/>
  <c r="D12" i="11"/>
  <c r="D4" i="11"/>
  <c r="O25" i="10" l="1"/>
  <c r="U25" i="10"/>
  <c r="J57" i="10"/>
  <c r="G57" i="10"/>
  <c r="J56" i="10"/>
  <c r="G56" i="10"/>
  <c r="J55" i="10"/>
  <c r="G55" i="10"/>
  <c r="J54" i="10"/>
  <c r="G54" i="10"/>
  <c r="O53" i="10"/>
  <c r="J53" i="10"/>
  <c r="G53" i="10"/>
  <c r="O52" i="10"/>
  <c r="J52" i="10"/>
  <c r="G52" i="10"/>
  <c r="E52" i="10"/>
  <c r="C51" i="10" s="1"/>
  <c r="O51" i="10"/>
  <c r="J51" i="10"/>
  <c r="G51" i="10"/>
  <c r="B51" i="10"/>
  <c r="U50" i="10"/>
  <c r="O50" i="10"/>
  <c r="J50" i="10"/>
  <c r="G50" i="10"/>
  <c r="F50" i="10"/>
  <c r="D50" i="10"/>
  <c r="B52" i="10" s="1"/>
  <c r="J49" i="10"/>
  <c r="G49" i="10"/>
  <c r="X46" i="10"/>
  <c r="W46" i="10"/>
  <c r="V46" i="10"/>
  <c r="T46" i="10"/>
  <c r="Q46" i="10"/>
  <c r="O46" i="10"/>
  <c r="O60" i="10"/>
  <c r="Q60" i="10"/>
  <c r="T60" i="10"/>
  <c r="V60" i="10"/>
  <c r="W60" i="10"/>
  <c r="X60" i="10"/>
  <c r="G63" i="10"/>
  <c r="J63" i="10"/>
  <c r="O63" i="10"/>
  <c r="U63" i="10"/>
  <c r="AB63" i="10"/>
  <c r="D64" i="10"/>
  <c r="F64" i="10"/>
  <c r="G64" i="10"/>
  <c r="J64" i="10"/>
  <c r="U64" i="10"/>
  <c r="AB64" i="10"/>
  <c r="B65" i="10"/>
  <c r="G65" i="10"/>
  <c r="J65" i="10"/>
  <c r="AB65" i="10"/>
  <c r="E66" i="10"/>
  <c r="C65" i="10" s="1"/>
  <c r="G66" i="10"/>
  <c r="J66" i="10"/>
  <c r="AB66" i="10"/>
  <c r="G67" i="10"/>
  <c r="J67" i="10"/>
  <c r="AB67" i="10"/>
  <c r="G68" i="10"/>
  <c r="J68" i="10"/>
  <c r="AB68" i="10"/>
  <c r="G69" i="10"/>
  <c r="J69" i="10"/>
  <c r="AB69" i="10"/>
  <c r="G70" i="10"/>
  <c r="J70" i="10"/>
  <c r="AB70" i="10"/>
  <c r="G71" i="10"/>
  <c r="J71" i="10"/>
  <c r="AB71" i="10"/>
  <c r="D52" i="10" l="1"/>
  <c r="C52" i="10" s="1"/>
  <c r="R46" i="10"/>
  <c r="F54" i="10" s="1"/>
  <c r="B53" i="10"/>
  <c r="D66" i="10"/>
  <c r="C66" i="10" s="1"/>
  <c r="B66" i="10"/>
  <c r="B67" i="10" s="1"/>
  <c r="X18" i="10"/>
  <c r="W18" i="10"/>
  <c r="X32" i="10"/>
  <c r="W32" i="10"/>
  <c r="J43" i="10"/>
  <c r="G43" i="10"/>
  <c r="J42" i="10"/>
  <c r="G42" i="10"/>
  <c r="J41" i="10"/>
  <c r="G41" i="10"/>
  <c r="J40" i="10"/>
  <c r="G40" i="10"/>
  <c r="J39" i="10"/>
  <c r="G39" i="10"/>
  <c r="J38" i="10"/>
  <c r="G38" i="10"/>
  <c r="E38" i="10"/>
  <c r="C37" i="10" s="1"/>
  <c r="J37" i="10"/>
  <c r="G37" i="10"/>
  <c r="B37" i="10"/>
  <c r="J36" i="10"/>
  <c r="G36" i="10"/>
  <c r="F36" i="10"/>
  <c r="D36" i="10"/>
  <c r="D38" i="10" s="1"/>
  <c r="J35" i="10"/>
  <c r="G35" i="10"/>
  <c r="V32" i="10"/>
  <c r="T32" i="10"/>
  <c r="Q32" i="10"/>
  <c r="S46" i="10" l="1"/>
  <c r="H49" i="10" s="1"/>
  <c r="E54" i="10"/>
  <c r="C67" i="10"/>
  <c r="R60" i="10"/>
  <c r="F68" i="10" s="1"/>
  <c r="S60" i="10" s="1"/>
  <c r="C53" i="10"/>
  <c r="B38" i="10"/>
  <c r="B39" i="10" s="1"/>
  <c r="C38" i="10"/>
  <c r="K49" i="10" l="1"/>
  <c r="W49" i="10" s="1"/>
  <c r="K51" i="10"/>
  <c r="L51" i="10" s="1"/>
  <c r="K53" i="10"/>
  <c r="L53" i="10" s="1"/>
  <c r="K50" i="10"/>
  <c r="L50" i="10" s="1"/>
  <c r="K52" i="10"/>
  <c r="L52" i="10" s="1"/>
  <c r="E68" i="10"/>
  <c r="I49" i="10"/>
  <c r="R49" i="10" s="1"/>
  <c r="Q49" i="10"/>
  <c r="K66" i="10"/>
  <c r="K67" i="10"/>
  <c r="K68" i="10"/>
  <c r="K70" i="10"/>
  <c r="K71" i="10"/>
  <c r="K63" i="10"/>
  <c r="K64" i="10"/>
  <c r="K65" i="10"/>
  <c r="K69" i="10"/>
  <c r="H70" i="10"/>
  <c r="H71" i="10"/>
  <c r="H63" i="10"/>
  <c r="H68" i="10"/>
  <c r="H69" i="10"/>
  <c r="H67" i="10"/>
  <c r="H65" i="10"/>
  <c r="H66" i="10"/>
  <c r="H64" i="10"/>
  <c r="C39" i="10"/>
  <c r="R32" i="10"/>
  <c r="E40" i="10" s="1"/>
  <c r="F22" i="10"/>
  <c r="D22" i="10"/>
  <c r="D24" i="10" s="1"/>
  <c r="C24" i="10" s="1"/>
  <c r="R18" i="10" s="1"/>
  <c r="E24" i="10"/>
  <c r="C23" i="10" s="1"/>
  <c r="B23" i="10"/>
  <c r="L49" i="10" l="1"/>
  <c r="X49" i="10" s="1"/>
  <c r="Q66" i="10"/>
  <c r="I66" i="10"/>
  <c r="R66" i="10" s="1"/>
  <c r="AC66" i="10" s="1"/>
  <c r="Q68" i="10"/>
  <c r="I68" i="10"/>
  <c r="R68" i="10" s="1"/>
  <c r="AC68" i="10" s="1"/>
  <c r="L69" i="10"/>
  <c r="X69" i="10" s="1"/>
  <c r="W69" i="10"/>
  <c r="L71" i="10"/>
  <c r="X71" i="10" s="1"/>
  <c r="W71" i="10"/>
  <c r="L66" i="10"/>
  <c r="X66" i="10" s="1"/>
  <c r="W66" i="10"/>
  <c r="I65" i="10"/>
  <c r="R65" i="10" s="1"/>
  <c r="AC65" i="10" s="1"/>
  <c r="Q65" i="10"/>
  <c r="I63" i="10"/>
  <c r="R63" i="10" s="1"/>
  <c r="AC63" i="10" s="1"/>
  <c r="Q63" i="10"/>
  <c r="L65" i="10"/>
  <c r="X65" i="10" s="1"/>
  <c r="W65" i="10"/>
  <c r="L70" i="10"/>
  <c r="X70" i="10" s="1"/>
  <c r="W70" i="10"/>
  <c r="Q67" i="10"/>
  <c r="I67" i="10"/>
  <c r="R67" i="10" s="1"/>
  <c r="AC67" i="10" s="1"/>
  <c r="I71" i="10"/>
  <c r="R71" i="10" s="1"/>
  <c r="AC71" i="10" s="1"/>
  <c r="Q71" i="10"/>
  <c r="L64" i="10"/>
  <c r="X64" i="10" s="1"/>
  <c r="W64" i="10"/>
  <c r="L68" i="10"/>
  <c r="X68" i="10" s="1"/>
  <c r="W68" i="10"/>
  <c r="I64" i="10"/>
  <c r="R64" i="10" s="1"/>
  <c r="AC64" i="10" s="1"/>
  <c r="Q64" i="10"/>
  <c r="I69" i="10"/>
  <c r="R69" i="10" s="1"/>
  <c r="AC69" i="10" s="1"/>
  <c r="Q69" i="10"/>
  <c r="Q70" i="10"/>
  <c r="I70" i="10"/>
  <c r="R70" i="10" s="1"/>
  <c r="AC70" i="10" s="1"/>
  <c r="L63" i="10"/>
  <c r="X63" i="10" s="1"/>
  <c r="W63" i="10"/>
  <c r="L67" i="10"/>
  <c r="X67" i="10" s="1"/>
  <c r="W67" i="10"/>
  <c r="F40" i="10"/>
  <c r="S32" i="10" s="1"/>
  <c r="B24" i="10"/>
  <c r="B25" i="10" s="1"/>
  <c r="C25" i="10"/>
  <c r="K37" i="10" l="1"/>
  <c r="L37" i="10" s="1"/>
  <c r="K42" i="10"/>
  <c r="L42" i="10" s="1"/>
  <c r="K40" i="10"/>
  <c r="L40" i="10" s="1"/>
  <c r="K41" i="10"/>
  <c r="L41" i="10" s="1"/>
  <c r="K39" i="10"/>
  <c r="L39" i="10" s="1"/>
  <c r="K35" i="10"/>
  <c r="W35" i="10" s="1"/>
  <c r="K43" i="10"/>
  <c r="L43" i="10" s="1"/>
  <c r="K38" i="10"/>
  <c r="L38" i="10" s="1"/>
  <c r="K36" i="10"/>
  <c r="L36" i="10" s="1"/>
  <c r="H43" i="10"/>
  <c r="Q43" i="10" s="1"/>
  <c r="H35" i="10"/>
  <c r="H36" i="10"/>
  <c r="Q36" i="10" s="1"/>
  <c r="H39" i="10"/>
  <c r="Q39" i="10" s="1"/>
  <c r="H42" i="10"/>
  <c r="Q42" i="10" s="1"/>
  <c r="H37" i="10"/>
  <c r="Q37" i="10" s="1"/>
  <c r="H41" i="10"/>
  <c r="H40" i="10"/>
  <c r="H38" i="10"/>
  <c r="I41" i="10" l="1"/>
  <c r="R41" i="10" s="1"/>
  <c r="Q41" i="10"/>
  <c r="I38" i="10"/>
  <c r="R38" i="10" s="1"/>
  <c r="Q38" i="10"/>
  <c r="I40" i="10"/>
  <c r="R40" i="10" s="1"/>
  <c r="Q40" i="10"/>
  <c r="I35" i="10"/>
  <c r="R35" i="10" s="1"/>
  <c r="Q35" i="10"/>
  <c r="I43" i="10"/>
  <c r="R43" i="10" s="1"/>
  <c r="I37" i="10"/>
  <c r="R37" i="10" s="1"/>
  <c r="I39" i="10"/>
  <c r="R39" i="10" s="1"/>
  <c r="L35" i="10"/>
  <c r="X35" i="10" s="1"/>
  <c r="I36" i="10"/>
  <c r="R36" i="10" s="1"/>
  <c r="I42" i="10"/>
  <c r="R42" i="10" s="1"/>
  <c r="F26" i="10"/>
  <c r="E26" i="10"/>
  <c r="S18" i="10" l="1"/>
  <c r="U22" i="10" l="1"/>
  <c r="U23" i="10"/>
  <c r="U24" i="10"/>
  <c r="U26" i="10"/>
  <c r="U27" i="10"/>
  <c r="U28" i="10"/>
  <c r="U29" i="10"/>
  <c r="O28" i="10"/>
  <c r="O29" i="10"/>
  <c r="J29" i="10" l="1"/>
  <c r="J28" i="10"/>
  <c r="J27" i="10"/>
  <c r="J26" i="10"/>
  <c r="J25" i="10"/>
  <c r="J24" i="10"/>
  <c r="J23" i="10"/>
  <c r="J22" i="10"/>
  <c r="J21" i="10"/>
  <c r="U21" i="10"/>
  <c r="G29" i="10"/>
  <c r="G28" i="10"/>
  <c r="G27" i="10"/>
  <c r="O27" i="10"/>
  <c r="G26" i="10"/>
  <c r="O26" i="10"/>
  <c r="G25" i="10"/>
  <c r="G24" i="10"/>
  <c r="O24" i="10"/>
  <c r="G23" i="10"/>
  <c r="O23" i="10"/>
  <c r="G22" i="10"/>
  <c r="O22" i="10"/>
  <c r="G21" i="10"/>
  <c r="O21" i="10"/>
  <c r="V18" i="10"/>
  <c r="T18" i="10"/>
  <c r="Q18" i="10"/>
  <c r="O18" i="10"/>
  <c r="H21" i="10" l="1"/>
  <c r="I21" i="10" s="1"/>
  <c r="H57" i="10"/>
  <c r="H54" i="10"/>
  <c r="H52" i="10"/>
  <c r="H56" i="10"/>
  <c r="H53" i="10"/>
  <c r="K54" i="10"/>
  <c r="L54" i="10" s="1"/>
  <c r="H51" i="10"/>
  <c r="K57" i="10"/>
  <c r="K55" i="10"/>
  <c r="L55" i="10" s="1"/>
  <c r="H55" i="10"/>
  <c r="K56" i="10"/>
  <c r="L56" i="10" s="1"/>
  <c r="H50" i="10"/>
  <c r="K23" i="10"/>
  <c r="W23" i="10" s="1"/>
  <c r="K27" i="10"/>
  <c r="W27" i="10" s="1"/>
  <c r="K24" i="10"/>
  <c r="W24" i="10" s="1"/>
  <c r="K28" i="10"/>
  <c r="L28" i="10" s="1"/>
  <c r="X28" i="10" s="1"/>
  <c r="K25" i="10"/>
  <c r="W25" i="10" s="1"/>
  <c r="K29" i="10"/>
  <c r="L29" i="10" s="1"/>
  <c r="X29" i="10" s="1"/>
  <c r="K22" i="10"/>
  <c r="L22" i="10" s="1"/>
  <c r="X22" i="10" s="1"/>
  <c r="K26" i="10"/>
  <c r="L26" i="10" s="1"/>
  <c r="X26" i="10" s="1"/>
  <c r="K21" i="10"/>
  <c r="H24" i="10"/>
  <c r="H22" i="10"/>
  <c r="H26" i="10"/>
  <c r="H28" i="10"/>
  <c r="H23" i="10"/>
  <c r="H25" i="10"/>
  <c r="H27" i="10"/>
  <c r="H29" i="10"/>
  <c r="L23" i="10" l="1"/>
  <c r="X23" i="10" s="1"/>
  <c r="W55" i="10"/>
  <c r="X55" i="10"/>
  <c r="X54" i="10"/>
  <c r="W54" i="10"/>
  <c r="W52" i="10"/>
  <c r="X52" i="10"/>
  <c r="Q50" i="10"/>
  <c r="I50" i="10"/>
  <c r="R50" i="10" s="1"/>
  <c r="L57" i="10"/>
  <c r="X57" i="10" s="1"/>
  <c r="W57" i="10"/>
  <c r="I53" i="10"/>
  <c r="R53" i="10" s="1"/>
  <c r="Q53" i="10"/>
  <c r="X53" i="10"/>
  <c r="W53" i="10"/>
  <c r="X56" i="10"/>
  <c r="W56" i="10"/>
  <c r="W51" i="10"/>
  <c r="X51" i="10"/>
  <c r="Q56" i="10"/>
  <c r="I56" i="10"/>
  <c r="R56" i="10" s="1"/>
  <c r="I54" i="10"/>
  <c r="R54" i="10" s="1"/>
  <c r="Q54" i="10"/>
  <c r="X50" i="10"/>
  <c r="W50" i="10"/>
  <c r="I55" i="10"/>
  <c r="R55" i="10" s="1"/>
  <c r="Q55" i="10"/>
  <c r="I51" i="10"/>
  <c r="R51" i="10" s="1"/>
  <c r="Q51" i="10"/>
  <c r="I52" i="10"/>
  <c r="R52" i="10" s="1"/>
  <c r="Q52" i="10"/>
  <c r="Q57" i="10"/>
  <c r="I57" i="10"/>
  <c r="R57" i="10" s="1"/>
  <c r="X39" i="10"/>
  <c r="W39" i="10"/>
  <c r="X37" i="10"/>
  <c r="W37" i="10"/>
  <c r="X40" i="10"/>
  <c r="W40" i="10"/>
  <c r="X41" i="10"/>
  <c r="W41" i="10"/>
  <c r="W38" i="10"/>
  <c r="X38" i="10"/>
  <c r="X36" i="10"/>
  <c r="W36" i="10"/>
  <c r="W43" i="10"/>
  <c r="X43" i="10"/>
  <c r="X42" i="10"/>
  <c r="W42" i="10"/>
  <c r="L24" i="10"/>
  <c r="X24" i="10" s="1"/>
  <c r="W29" i="10"/>
  <c r="W28" i="10"/>
  <c r="L25" i="10"/>
  <c r="X25" i="10" s="1"/>
  <c r="W26" i="10"/>
  <c r="L27" i="10"/>
  <c r="X27" i="10" s="1"/>
  <c r="W22" i="10"/>
  <c r="W21" i="10"/>
  <c r="L21" i="10"/>
  <c r="X21" i="10" s="1"/>
  <c r="Q26" i="10" l="1"/>
  <c r="I26" i="10"/>
  <c r="R26" i="10" s="1"/>
  <c r="Q29" i="10" l="1"/>
  <c r="I29" i="10"/>
  <c r="R29" i="10" s="1"/>
  <c r="Q28" i="10"/>
  <c r="I28" i="10"/>
  <c r="R28" i="10" s="1"/>
  <c r="I22" i="10"/>
  <c r="R22" i="10" s="1"/>
  <c r="Q22" i="10"/>
  <c r="Q24" i="10"/>
  <c r="I24" i="10"/>
  <c r="R24" i="10" s="1"/>
  <c r="Q21" i="10"/>
  <c r="R21" i="10"/>
  <c r="I23" i="10"/>
  <c r="R23" i="10" s="1"/>
  <c r="Q23" i="10"/>
  <c r="I25" i="10"/>
  <c r="R25" i="10" s="1"/>
  <c r="Q25" i="10"/>
  <c r="Q27" i="10"/>
  <c r="I27" i="10"/>
  <c r="R27" i="10" s="1"/>
</calcChain>
</file>

<file path=xl/sharedStrings.xml><?xml version="1.0" encoding="utf-8"?>
<sst xmlns="http://schemas.openxmlformats.org/spreadsheetml/2006/main" count="301" uniqueCount="135">
  <si>
    <t>%HR 1 :</t>
  </si>
  <si>
    <t>Date :</t>
  </si>
  <si>
    <t xml:space="preserve">CONDITIONS D'ESSAIS </t>
  </si>
  <si>
    <t>Nom du projet :</t>
  </si>
  <si>
    <t>No de projet :</t>
  </si>
  <si>
    <t>Réalisé par :</t>
  </si>
  <si>
    <t>Titre :</t>
  </si>
  <si>
    <t>APD Q2 (Pa)</t>
  </si>
  <si>
    <t>APD Q2 (wg)</t>
  </si>
  <si>
    <t>(hpa) pres atm (in Hg)</t>
  </si>
  <si>
    <t>(C)   T1  (F) :</t>
  </si>
  <si>
    <t>Ø pouces</t>
  </si>
  <si>
    <t>Ø mètres</t>
  </si>
  <si>
    <t>Ø pieds</t>
  </si>
  <si>
    <t>CFM/W</t>
  </si>
  <si>
    <t>MATÉRIEL TESTÉ</t>
  </si>
  <si>
    <t>PARAMÈTRES D'ESSAIS</t>
  </si>
  <si>
    <t>REMARQUES</t>
  </si>
  <si>
    <t>UNITÉ TESTÉE</t>
  </si>
  <si>
    <t>VENTILATEUR</t>
  </si>
  <si>
    <t>diamétres des conduits d'essais (po) :</t>
  </si>
  <si>
    <t>Manufacturier :</t>
  </si>
  <si>
    <t>n/a</t>
  </si>
  <si>
    <t>Source d'alimentation 120V :</t>
  </si>
  <si>
    <t>Modèle :</t>
  </si>
  <si>
    <t>Source d'alimentation réduite :</t>
  </si>
  <si>
    <t>no de série :</t>
  </si>
  <si>
    <t>Condensateur spécifié :</t>
  </si>
  <si>
    <t>Tension d'alimentation à l'unité testée :</t>
  </si>
  <si>
    <t>CUBE</t>
  </si>
  <si>
    <t>Condensateur utilisé :</t>
  </si>
  <si>
    <t>Essais réalisés par :</t>
  </si>
  <si>
    <t>Dimensions/ no modèle :</t>
  </si>
  <si>
    <t>Type de filtre :</t>
  </si>
  <si>
    <t>APD Q3 (wg)</t>
  </si>
  <si>
    <t>APD Q3 (Pa)</t>
  </si>
  <si>
    <t>Amps (A)</t>
  </si>
  <si>
    <t>Puissance (W)</t>
  </si>
  <si>
    <t>Valeur Transfo</t>
  </si>
  <si>
    <t>CFM/W (AIR FRAIS)</t>
  </si>
  <si>
    <t>P1</t>
  </si>
  <si>
    <t>P2</t>
  </si>
  <si>
    <t>P3</t>
  </si>
  <si>
    <t>P4</t>
  </si>
  <si>
    <t>Ptot frais</t>
  </si>
  <si>
    <t>Ptot vicié</t>
  </si>
  <si>
    <t>Q2-S (m3/h)</t>
  </si>
  <si>
    <t>Q2-4po A (m3/h)</t>
  </si>
  <si>
    <t>Q3-A (m3/h)</t>
  </si>
  <si>
    <t>Q3-S (m3/h)</t>
  </si>
  <si>
    <t>CIRCUIT AIR FRAIS 1</t>
  </si>
  <si>
    <t>CIRCUIT AIR VICIÉ 1</t>
  </si>
  <si>
    <t>FACT Q2</t>
  </si>
  <si>
    <t>FACT Q3</t>
  </si>
  <si>
    <t>Q3-2 (ACFM)</t>
  </si>
  <si>
    <t>Q3-2 (SCFM)</t>
  </si>
  <si>
    <t>Q2-2 (ACFM)</t>
  </si>
  <si>
    <t>Q2-2 (SCFM)</t>
  </si>
  <si>
    <t>Q2-1 (ACFM)</t>
  </si>
  <si>
    <t>Q2-1 (SCFM)</t>
  </si>
  <si>
    <t>Q3-1 (ACFM)</t>
  </si>
  <si>
    <t>Q3-1 (SCFM)</t>
  </si>
  <si>
    <t>ASHRAE / EXOVA</t>
  </si>
  <si>
    <t>humidity ratio W + %HR</t>
  </si>
  <si>
    <t>conditions d'essais</t>
  </si>
  <si>
    <t>constante</t>
  </si>
  <si>
    <t>constante métrique    t &lt; 0°c</t>
  </si>
  <si>
    <t>constante impérial      t &lt; 0°c</t>
  </si>
  <si>
    <t>constante métrique    t &gt; 0°c</t>
  </si>
  <si>
    <t>constante impérial      t &gt; 0°c</t>
  </si>
  <si>
    <t>température sèche °C</t>
  </si>
  <si>
    <t>point de rosée °C</t>
  </si>
  <si>
    <t>Patmo (kpa)</t>
  </si>
  <si>
    <t>C1</t>
  </si>
  <si>
    <t>variable</t>
  </si>
  <si>
    <t xml:space="preserve"> métrique t &lt; 0°c</t>
  </si>
  <si>
    <t xml:space="preserve"> métrique t &gt; 0°c</t>
  </si>
  <si>
    <t>C2</t>
  </si>
  <si>
    <t>Pw (dewpoint)</t>
  </si>
  <si>
    <t>température sèche °K</t>
  </si>
  <si>
    <t>point de rosée °K</t>
  </si>
  <si>
    <t>C3</t>
  </si>
  <si>
    <t>Pws (dry bulb)</t>
  </si>
  <si>
    <t>C4</t>
  </si>
  <si>
    <t>HR %</t>
  </si>
  <si>
    <t>masse volumique</t>
  </si>
  <si>
    <t>C5</t>
  </si>
  <si>
    <t>kg/kg as</t>
  </si>
  <si>
    <t>p air</t>
  </si>
  <si>
    <t>C6</t>
  </si>
  <si>
    <t>W</t>
  </si>
  <si>
    <t>C7</t>
  </si>
  <si>
    <t>P AIR</t>
  </si>
  <si>
    <t>Q2-5po lab (M130-2)</t>
  </si>
  <si>
    <t>Q3-5po lab M(130-1)</t>
  </si>
  <si>
    <t>Q2-5po cc (M130-4)</t>
  </si>
  <si>
    <t>Q3-5po cc (M130-3)</t>
  </si>
  <si>
    <t>Q2-4po &lt;40 CFM (M130-6)</t>
  </si>
  <si>
    <t>Q3-4po &lt;40 CFM (M130-5)</t>
  </si>
  <si>
    <t>FACTEUR K</t>
  </si>
  <si>
    <t>Q2-4po &gt;40 CFM (M130-6)</t>
  </si>
  <si>
    <t>Q3-4po &gt;40 CFM (M130-5)</t>
  </si>
  <si>
    <t>9XXX NOM DU PROJET</t>
  </si>
  <si>
    <t>Q2-3 (ACFM)</t>
  </si>
  <si>
    <t>Q2-3 (SCFM)</t>
  </si>
  <si>
    <t>Q3-3 (ACFM)</t>
  </si>
  <si>
    <t>Q3-3 (SCFM)</t>
  </si>
  <si>
    <t>Test moteur Fans-Tech</t>
  </si>
  <si>
    <t>Antoine Desjardins</t>
  </si>
  <si>
    <t>Change notice 001</t>
  </si>
  <si>
    <t>Aldes</t>
  </si>
  <si>
    <t>E130-HR</t>
  </si>
  <si>
    <t>CONDITIONS D'ESSAIS  1 (haute vitesse max)</t>
  </si>
  <si>
    <t>Enthalpique</t>
  </si>
  <si>
    <t>VA</t>
  </si>
  <si>
    <t>CONDITIONS D'ESSAIS 3 ( Basse vitesse max)</t>
  </si>
  <si>
    <t>va</t>
  </si>
  <si>
    <t>w</t>
  </si>
  <si>
    <t>EBM</t>
  </si>
  <si>
    <t>high speed max</t>
  </si>
  <si>
    <t xml:space="preserve">high speed min </t>
  </si>
  <si>
    <t>low speed max</t>
  </si>
  <si>
    <t xml:space="preserve">low speed min </t>
  </si>
  <si>
    <t>cos FI</t>
  </si>
  <si>
    <t xml:space="preserve">External Static Pressure </t>
  </si>
  <si>
    <t xml:space="preserve">Net Supply Air Flow </t>
  </si>
  <si>
    <t>Gross Air Flow</t>
  </si>
  <si>
    <t xml:space="preserve">Supply </t>
  </si>
  <si>
    <t>Exhaust</t>
  </si>
  <si>
    <t xml:space="preserve">Pa </t>
  </si>
  <si>
    <t xml:space="preserve">in. W.C. </t>
  </si>
  <si>
    <t xml:space="preserve">L/s </t>
  </si>
  <si>
    <t xml:space="preserve">scfm </t>
  </si>
  <si>
    <t>Watts</t>
  </si>
  <si>
    <t xml:space="preserve">net Supply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</si>
</sst>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"/>
    <numFmt numFmtId="165" formatCode="0.0"/>
    <numFmt numFmtId="166" formatCode="0.0000"/>
    <numFmt numFmtId="167" formatCode="0.0000000E+00"/>
    <numFmt numFmtId="168" formatCode="0.000%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4" tint="-0.499984740745262"/>
      <name val="Arial"/>
      <family val="2"/>
    </font>
    <font>
      <b/>
      <sz val="8"/>
      <color theme="0"/>
      <name val="Arial"/>
      <family val="2"/>
    </font>
    <font>
      <b/>
      <sz val="10"/>
      <name val="Arial"/>
      <family val="2"/>
    </font>
    <font>
      <b/>
      <sz val="8"/>
      <color theme="3" tint="-0.249977111117893"/>
      <name val="Arial"/>
      <family val="2"/>
    </font>
    <font>
      <b/>
      <sz val="8"/>
      <color rgb="FFFF0000"/>
      <name val="Arial"/>
      <family val="2"/>
    </font>
    <font>
      <b/>
      <sz val="8"/>
      <color theme="4" tint="0.39997558519241921"/>
      <name val="Arial"/>
      <family val="2"/>
    </font>
    <font>
      <b/>
      <sz val="8"/>
      <color theme="5" tint="0.39997558519241921"/>
      <name val="Arial"/>
      <family val="2"/>
    </font>
    <font>
      <b/>
      <sz val="8"/>
      <color rgb="FF0070C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b/>
      <sz val="8"/>
      <color rgb="FF000000"/>
      <name val="CIDFont+F7"/>
    </font>
    <font>
      <sz val="8"/>
      <color rgb="FF000000"/>
      <name val="CIDFont+F1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164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165" fontId="5" fillId="6" borderId="6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 wrapText="1"/>
    </xf>
    <xf numFmtId="164" fontId="3" fillId="7" borderId="3" xfId="0" applyNumberFormat="1" applyFont="1" applyFill="1" applyBorder="1"/>
    <xf numFmtId="0" fontId="3" fillId="3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/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164" fontId="3" fillId="7" borderId="4" xfId="0" applyNumberFormat="1" applyFont="1" applyFill="1" applyBorder="1"/>
    <xf numFmtId="0" fontId="8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/>
    <xf numFmtId="2" fontId="3" fillId="6" borderId="14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/>
    <xf numFmtId="2" fontId="3" fillId="2" borderId="21" xfId="0" applyNumberFormat="1" applyFont="1" applyFill="1" applyBorder="1" applyAlignment="1">
      <alignment horizontal="center"/>
    </xf>
    <xf numFmtId="2" fontId="3" fillId="2" borderId="22" xfId="0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3" borderId="23" xfId="0" applyNumberFormat="1" applyFont="1" applyFill="1" applyBorder="1" applyAlignment="1">
      <alignment horizontal="center"/>
    </xf>
    <xf numFmtId="165" fontId="12" fillId="0" borderId="20" xfId="0" applyNumberFormat="1" applyFont="1" applyBorder="1" applyAlignment="1">
      <alignment horizontal="center"/>
    </xf>
    <xf numFmtId="165" fontId="12" fillId="0" borderId="25" xfId="0" applyNumberFormat="1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24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3" fillId="0" borderId="4" xfId="0" applyFont="1" applyBorder="1"/>
    <xf numFmtId="0" fontId="4" fillId="11" borderId="15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vertical="center"/>
    </xf>
    <xf numFmtId="166" fontId="3" fillId="0" borderId="14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0" fontId="5" fillId="16" borderId="26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wrapText="1"/>
    </xf>
    <xf numFmtId="0" fontId="4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3" fillId="16" borderId="11" xfId="0" applyFont="1" applyFill="1" applyBorder="1" applyAlignment="1">
      <alignment horizontal="center" wrapText="1"/>
    </xf>
    <xf numFmtId="0" fontId="3" fillId="16" borderId="21" xfId="0" applyFont="1" applyFill="1" applyBorder="1" applyAlignment="1">
      <alignment horizontal="center" wrapText="1"/>
    </xf>
    <xf numFmtId="0" fontId="5" fillId="16" borderId="27" xfId="0" applyFont="1" applyFill="1" applyBorder="1" applyAlignment="1">
      <alignment horizontal="center" vertical="center" wrapText="1"/>
    </xf>
    <xf numFmtId="166" fontId="4" fillId="6" borderId="15" xfId="0" applyNumberFormat="1" applyFont="1" applyFill="1" applyBorder="1" applyAlignment="1">
      <alignment horizontal="center"/>
    </xf>
    <xf numFmtId="0" fontId="3" fillId="15" borderId="21" xfId="0" applyFont="1" applyFill="1" applyBorder="1" applyAlignment="1">
      <alignment horizontal="center" wrapText="1"/>
    </xf>
    <xf numFmtId="0" fontId="14" fillId="12" borderId="28" xfId="0" applyFont="1" applyFill="1" applyBorder="1"/>
    <xf numFmtId="0" fontId="14" fillId="12" borderId="5" xfId="0" applyFont="1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3" fillId="14" borderId="4" xfId="0" applyFont="1" applyFill="1" applyBorder="1" applyAlignment="1">
      <alignment vertical="center"/>
    </xf>
    <xf numFmtId="0" fontId="13" fillId="14" borderId="5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 wrapText="1"/>
    </xf>
    <xf numFmtId="0" fontId="2" fillId="14" borderId="29" xfId="0" applyFont="1" applyFill="1" applyBorder="1" applyAlignment="1">
      <alignment vertical="center"/>
    </xf>
    <xf numFmtId="0" fontId="2" fillId="0" borderId="1" xfId="0" applyFont="1" applyBorder="1" applyAlignment="1">
      <alignment horizontal="right"/>
    </xf>
    <xf numFmtId="167" fontId="0" fillId="0" borderId="1" xfId="0" applyNumberFormat="1" applyBorder="1"/>
    <xf numFmtId="167" fontId="0" fillId="0" borderId="1" xfId="0" applyNumberForma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5" fontId="2" fillId="3" borderId="29" xfId="1" applyNumberFormat="1" applyFill="1" applyBorder="1" applyAlignment="1">
      <alignment horizontal="center"/>
    </xf>
    <xf numFmtId="0" fontId="2" fillId="14" borderId="1" xfId="0" applyFont="1" applyFill="1" applyBorder="1" applyAlignment="1">
      <alignment vertical="center"/>
    </xf>
    <xf numFmtId="166" fontId="0" fillId="14" borderId="1" xfId="0" applyNumberFormat="1" applyFill="1" applyBorder="1" applyAlignment="1">
      <alignment vertical="center"/>
    </xf>
    <xf numFmtId="166" fontId="0" fillId="14" borderId="4" xfId="0" applyNumberFormat="1" applyFill="1" applyBorder="1" applyAlignment="1">
      <alignment vertical="center"/>
    </xf>
    <xf numFmtId="0" fontId="3" fillId="13" borderId="29" xfId="0" applyFont="1" applyFill="1" applyBorder="1"/>
    <xf numFmtId="0" fontId="2" fillId="0" borderId="1" xfId="0" applyFont="1" applyBorder="1" applyAlignment="1">
      <alignment vertical="center"/>
    </xf>
    <xf numFmtId="168" fontId="0" fillId="0" borderId="1" xfId="2" applyNumberFormat="1" applyFont="1" applyFill="1" applyBorder="1" applyAlignment="1">
      <alignment vertical="center"/>
    </xf>
    <xf numFmtId="168" fontId="0" fillId="0" borderId="4" xfId="2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167" fontId="2" fillId="0" borderId="0" xfId="0" applyNumberFormat="1" applyFont="1" applyAlignment="1">
      <alignment vertical="center"/>
    </xf>
    <xf numFmtId="167" fontId="0" fillId="0" borderId="30" xfId="0" applyNumberFormat="1" applyBorder="1" applyAlignment="1">
      <alignment vertical="center"/>
    </xf>
    <xf numFmtId="166" fontId="3" fillId="0" borderId="1" xfId="0" applyNumberFormat="1" applyFont="1" applyBorder="1" applyAlignment="1">
      <alignment horizontal="center"/>
    </xf>
    <xf numFmtId="0" fontId="3" fillId="13" borderId="29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3" fillId="0" borderId="15" xfId="0" applyFont="1" applyBorder="1"/>
    <xf numFmtId="168" fontId="3" fillId="6" borderId="13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166" fontId="0" fillId="10" borderId="1" xfId="0" applyNumberFormat="1" applyFill="1" applyBorder="1" applyAlignment="1">
      <alignment vertical="center"/>
    </xf>
    <xf numFmtId="166" fontId="0" fillId="10" borderId="4" xfId="0" applyNumberFormat="1" applyFill="1" applyBorder="1" applyAlignment="1">
      <alignment vertical="center"/>
    </xf>
    <xf numFmtId="165" fontId="0" fillId="10" borderId="29" xfId="0" applyNumberFormat="1" applyFill="1" applyBorder="1" applyAlignment="1">
      <alignment vertical="center"/>
    </xf>
    <xf numFmtId="0" fontId="3" fillId="10" borderId="29" xfId="0" applyFont="1" applyFill="1" applyBorder="1"/>
    <xf numFmtId="168" fontId="0" fillId="10" borderId="1" xfId="2" applyNumberFormat="1" applyFont="1" applyFill="1" applyBorder="1" applyAlignment="1">
      <alignment vertical="center"/>
    </xf>
    <xf numFmtId="168" fontId="0" fillId="10" borderId="4" xfId="2" applyNumberFormat="1" applyFont="1" applyFill="1" applyBorder="1" applyAlignment="1">
      <alignment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wrapText="1"/>
    </xf>
    <xf numFmtId="165" fontId="2" fillId="10" borderId="29" xfId="1" applyNumberFormat="1" applyFill="1" applyBorder="1" applyAlignment="1">
      <alignment horizontal="center"/>
    </xf>
    <xf numFmtId="0" fontId="5" fillId="15" borderId="6" xfId="0" applyFont="1" applyFill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4" fillId="8" borderId="33" xfId="0" applyFont="1" applyFill="1" applyBorder="1"/>
    <xf numFmtId="0" fontId="3" fillId="0" borderId="35" xfId="0" applyFont="1" applyBorder="1" applyAlignment="1">
      <alignment wrapText="1"/>
    </xf>
    <xf numFmtId="0" fontId="3" fillId="0" borderId="35" xfId="0" applyFont="1" applyBorder="1" applyAlignment="1">
      <alignment horizontal="center" vertical="center" wrapText="1"/>
    </xf>
    <xf numFmtId="0" fontId="3" fillId="0" borderId="39" xfId="0" applyFont="1" applyBorder="1" applyAlignment="1">
      <alignment wrapText="1"/>
    </xf>
    <xf numFmtId="0" fontId="3" fillId="0" borderId="39" xfId="0" applyFont="1" applyBorder="1" applyAlignment="1">
      <alignment horizontal="center" vertical="center" wrapText="1"/>
    </xf>
    <xf numFmtId="166" fontId="4" fillId="0" borderId="36" xfId="0" applyNumberFormat="1" applyFont="1" applyBorder="1" applyAlignment="1">
      <alignment horizontal="left" vertical="center" wrapText="1"/>
    </xf>
    <xf numFmtId="166" fontId="4" fillId="0" borderId="40" xfId="0" applyNumberFormat="1" applyFont="1" applyBorder="1" applyAlignment="1">
      <alignment horizontal="left" vertical="center" wrapText="1"/>
    </xf>
    <xf numFmtId="166" fontId="4" fillId="0" borderId="37" xfId="0" applyNumberFormat="1" applyFont="1" applyBorder="1" applyAlignment="1">
      <alignment horizontal="left" vertical="center" wrapText="1"/>
    </xf>
    <xf numFmtId="166" fontId="4" fillId="0" borderId="41" xfId="0" applyNumberFormat="1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166" fontId="4" fillId="0" borderId="0" xfId="0" applyNumberFormat="1" applyFont="1" applyAlignment="1">
      <alignment horizontal="left" vertical="center" wrapText="1"/>
    </xf>
    <xf numFmtId="0" fontId="4" fillId="8" borderId="0" xfId="0" applyFont="1" applyFill="1"/>
    <xf numFmtId="0" fontId="4" fillId="8" borderId="46" xfId="0" applyFont="1" applyFill="1" applyBorder="1"/>
    <xf numFmtId="0" fontId="3" fillId="17" borderId="1" xfId="0" applyFont="1" applyFill="1" applyBorder="1"/>
    <xf numFmtId="0" fontId="3" fillId="17" borderId="28" xfId="0" applyFont="1" applyFill="1" applyBorder="1"/>
    <xf numFmtId="0" fontId="3" fillId="17" borderId="47" xfId="0" applyFont="1" applyFill="1" applyBorder="1"/>
    <xf numFmtId="0" fontId="4" fillId="8" borderId="48" xfId="0" applyFont="1" applyFill="1" applyBorder="1"/>
    <xf numFmtId="0" fontId="0" fillId="0" borderId="50" xfId="0" applyBorder="1"/>
    <xf numFmtId="0" fontId="2" fillId="0" borderId="49" xfId="0" applyFont="1" applyBorder="1"/>
    <xf numFmtId="0" fontId="4" fillId="8" borderId="51" xfId="0" applyFont="1" applyFill="1" applyBorder="1"/>
    <xf numFmtId="0" fontId="0" fillId="0" borderId="2" xfId="0" applyBorder="1"/>
    <xf numFmtId="0" fontId="2" fillId="0" borderId="4" xfId="0" applyFont="1" applyBorder="1"/>
    <xf numFmtId="0" fontId="3" fillId="17" borderId="52" xfId="0" applyFont="1" applyFill="1" applyBorder="1"/>
    <xf numFmtId="0" fontId="3" fillId="17" borderId="15" xfId="0" applyFont="1" applyFill="1" applyBorder="1"/>
    <xf numFmtId="0" fontId="2" fillId="0" borderId="0" xfId="0" applyFont="1"/>
    <xf numFmtId="0" fontId="3" fillId="17" borderId="5" xfId="0" applyFont="1" applyFill="1" applyBorder="1"/>
    <xf numFmtId="0" fontId="3" fillId="17" borderId="45" xfId="0" applyFont="1" applyFill="1" applyBorder="1"/>
    <xf numFmtId="0" fontId="0" fillId="0" borderId="5" xfId="0" applyBorder="1"/>
    <xf numFmtId="0" fontId="3" fillId="17" borderId="0" xfId="0" applyFont="1" applyFill="1"/>
    <xf numFmtId="0" fontId="3" fillId="17" borderId="12" xfId="0" applyFont="1" applyFill="1" applyBorder="1"/>
    <xf numFmtId="0" fontId="3" fillId="17" borderId="4" xfId="0" applyFont="1" applyFill="1" applyBorder="1"/>
    <xf numFmtId="0" fontId="3" fillId="18" borderId="1" xfId="0" applyFont="1" applyFill="1" applyBorder="1"/>
    <xf numFmtId="0" fontId="15" fillId="0" borderId="53" xfId="0" applyFont="1" applyBorder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16" fillId="0" borderId="54" xfId="0" applyFont="1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5" borderId="10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14" fontId="0" fillId="5" borderId="10" xfId="0" applyNumberFormat="1" applyFill="1" applyBorder="1" applyAlignment="1">
      <alignment horizontal="left" vertical="center"/>
    </xf>
    <xf numFmtId="0" fontId="6" fillId="4" borderId="1" xfId="0" applyFont="1" applyFill="1" applyBorder="1"/>
    <xf numFmtId="0" fontId="6" fillId="4" borderId="3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/>
    <xf numFmtId="0" fontId="3" fillId="3" borderId="1" xfId="0" applyFont="1" applyFill="1" applyBorder="1"/>
    <xf numFmtId="0" fontId="6" fillId="4" borderId="8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2" fontId="3" fillId="3" borderId="4" xfId="0" applyNumberFormat="1" applyFont="1" applyFill="1" applyBorder="1" applyAlignment="1">
      <alignment horizontal="left"/>
    </xf>
    <xf numFmtId="2" fontId="3" fillId="3" borderId="2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4" fontId="4" fillId="2" borderId="15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4" fillId="8" borderId="42" xfId="0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0" fontId="4" fillId="8" borderId="44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4" borderId="15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3" fillId="4" borderId="34" xfId="0" applyFont="1" applyFill="1" applyBorder="1" applyAlignment="1">
      <alignment horizontal="center" vertical="center" textRotation="60" wrapText="1"/>
    </xf>
    <xf numFmtId="0" fontId="3" fillId="4" borderId="38" xfId="0" applyFont="1" applyFill="1" applyBorder="1" applyAlignment="1">
      <alignment horizontal="center" vertical="center" textRotation="60" wrapText="1"/>
    </xf>
    <xf numFmtId="0" fontId="4" fillId="2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Pourcentage 2" xfId="2" xr:uid="{00000000-0005-0000-0000-000002000000}"/>
  </cellStyles>
  <dxfs count="0"/>
  <tableStyles count="1" defaultTableStyle="TableStyleMedium2" defaultPivotStyle="PivotStyleLight16">
    <tableStyle name="Invisible" pivot="0" table="0" count="0" xr9:uid="{7C62A57A-98E9-4C97-A0A4-4F10BEFCCDDE}"/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unité</a:t>
            </a:r>
          </a:p>
        </c:rich>
      </c:tx>
      <c:layout>
        <c:manualLayout>
          <c:xMode val="edge"/>
          <c:yMode val="edge"/>
          <c:x val="0.4864411382969408"/>
          <c:y val="1.9749667858347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55951954819686E-2"/>
          <c:y val="6.6765254521945025E-2"/>
          <c:w val="0.91781472185807345"/>
          <c:h val="0.88675935842425768"/>
        </c:manualLayout>
      </c:layout>
      <c:scatterChart>
        <c:scatterStyle val="smoothMarker"/>
        <c:varyColors val="0"/>
        <c:ser>
          <c:idx val="9"/>
          <c:order val="0"/>
          <c:tx>
            <c:strRef>
              <c:f>'pression débit 5po'!$R$20</c:f>
              <c:strCache>
                <c:ptCount val="1"/>
                <c:pt idx="0">
                  <c:v>Q2-1 (SCFM)</c:v>
                </c:pt>
              </c:strCache>
            </c:strRef>
          </c:tx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'pression débit 5po'!$R$21:$R$29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'pression débit 5po'!$O$21:$O$29</c:f>
              <c:numCache>
                <c:formatCode>0.00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3-457E-B3E0-AEF9EFF75591}"/>
            </c:ext>
          </c:extLst>
        </c:ser>
        <c:ser>
          <c:idx val="0"/>
          <c:order val="1"/>
          <c:tx>
            <c:strRef>
              <c:f>'pression débit 5po'!$X$20</c:f>
              <c:strCache>
                <c:ptCount val="1"/>
                <c:pt idx="0">
                  <c:v>Q3-1 (SCFM)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'pression débit 5po'!$X$21:$X$29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'pression débit 5po'!$U$21:$U$29</c:f>
              <c:numCache>
                <c:formatCode>0.00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3-457E-B3E0-AEF9EFF75591}"/>
            </c:ext>
          </c:extLst>
        </c:ser>
        <c:ser>
          <c:idx val="1"/>
          <c:order val="2"/>
          <c:tx>
            <c:strRef>
              <c:f>'pression débit 5po'!$R$34</c:f>
              <c:strCache>
                <c:ptCount val="1"/>
                <c:pt idx="0">
                  <c:v>Q2-2 (SCFM)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'pression débit 5po'!$R$35:$R$41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'pression débit 5po'!$O$35:$O$41</c:f>
              <c:numCache>
                <c:formatCode>0.00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7-47C9-945A-47D630324F76}"/>
            </c:ext>
          </c:extLst>
        </c:ser>
        <c:ser>
          <c:idx val="2"/>
          <c:order val="3"/>
          <c:tx>
            <c:strRef>
              <c:f>'pression débit 5po'!$X$34</c:f>
              <c:strCache>
                <c:ptCount val="1"/>
                <c:pt idx="0">
                  <c:v>Q3-2 (SCFM)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'pression débit 5po'!$X$35:$X$41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'pression débit 5po'!$U$35:$U$41</c:f>
              <c:numCache>
                <c:formatCode>0.00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7-47C9-945A-47D630324F76}"/>
            </c:ext>
          </c:extLst>
        </c:ser>
        <c:ser>
          <c:idx val="3"/>
          <c:order val="4"/>
          <c:tx>
            <c:strRef>
              <c:f>'pression débit 5po'!$R$48</c:f>
              <c:strCache>
                <c:ptCount val="1"/>
                <c:pt idx="0">
                  <c:v>Q2-3 (SCFM)</c:v>
                </c:pt>
              </c:strCache>
            </c:strRef>
          </c:tx>
          <c:marker>
            <c:symbol val="none"/>
          </c:marker>
          <c:xVal>
            <c:numRef>
              <c:f>'pression débit 5po'!$R$49:$R$54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'pression débit 5po'!$O$49:$O$54</c:f>
              <c:numCache>
                <c:formatCode>0.00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A7-47C9-945A-47D630324F76}"/>
            </c:ext>
          </c:extLst>
        </c:ser>
        <c:ser>
          <c:idx val="4"/>
          <c:order val="5"/>
          <c:tx>
            <c:strRef>
              <c:f>'pression débit 5po'!$X$48</c:f>
              <c:strCache>
                <c:ptCount val="1"/>
                <c:pt idx="0">
                  <c:v>Q3-3 (SCFM)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'pression débit 5po'!$X$49:$X$54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'pression débit 5po'!$U$49:$U$54</c:f>
              <c:numCache>
                <c:formatCode>0.00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A7-47C9-945A-47D630324F76}"/>
            </c:ext>
          </c:extLst>
        </c:ser>
        <c:ser>
          <c:idx val="5"/>
          <c:order val="6"/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'pression débit 5po'!$R$63:$R$64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'pression débit 5po'!$O$63:$O$64</c:f>
              <c:numCache>
                <c:formatCode>0.00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C6-4684-8103-79A8AA30E0D1}"/>
            </c:ext>
          </c:extLst>
        </c:ser>
        <c:ser>
          <c:idx val="6"/>
          <c:order val="7"/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'pression débit 5po'!$X$63:$X$64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'pression débit 5po'!$U$63:$U$64</c:f>
              <c:numCache>
                <c:formatCode>0.00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C6-4684-8103-79A8AA30E0D1}"/>
            </c:ext>
          </c:extLst>
        </c:ser>
        <c:ser>
          <c:idx val="7"/>
          <c:order val="8"/>
          <c:tx>
            <c:v>hvi Q2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'pression débit 5po'!$AO$54:$AO$63</c:f>
              <c:numCache>
                <c:formatCode>General</c:formatCode>
                <c:ptCount val="10"/>
                <c:pt idx="0">
                  <c:v>117</c:v>
                </c:pt>
                <c:pt idx="1">
                  <c:v>108</c:v>
                </c:pt>
                <c:pt idx="2">
                  <c:v>100</c:v>
                </c:pt>
                <c:pt idx="3">
                  <c:v>92</c:v>
                </c:pt>
                <c:pt idx="4">
                  <c:v>84</c:v>
                </c:pt>
                <c:pt idx="5">
                  <c:v>77</c:v>
                </c:pt>
                <c:pt idx="6">
                  <c:v>69</c:v>
                </c:pt>
                <c:pt idx="7">
                  <c:v>62</c:v>
                </c:pt>
                <c:pt idx="8">
                  <c:v>55</c:v>
                </c:pt>
                <c:pt idx="9">
                  <c:v>49</c:v>
                </c:pt>
              </c:numCache>
            </c:numRef>
          </c:xVal>
          <c:yVal>
            <c:numRef>
              <c:f>'pression débit 5po'!$AK$54:$AK$63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A-4D98-89BC-8F21D6A68D96}"/>
            </c:ext>
          </c:extLst>
        </c:ser>
        <c:ser>
          <c:idx val="8"/>
          <c:order val="9"/>
          <c:tx>
            <c:v>hvi Q3</c:v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'pression débit 5po'!$AQ$54:$AQ$63</c:f>
              <c:numCache>
                <c:formatCode>General</c:formatCode>
                <c:ptCount val="10"/>
                <c:pt idx="0">
                  <c:v>109</c:v>
                </c:pt>
                <c:pt idx="1">
                  <c:v>102</c:v>
                </c:pt>
                <c:pt idx="2">
                  <c:v>96</c:v>
                </c:pt>
                <c:pt idx="3">
                  <c:v>89</c:v>
                </c:pt>
                <c:pt idx="4">
                  <c:v>83</c:v>
                </c:pt>
                <c:pt idx="5">
                  <c:v>76</c:v>
                </c:pt>
                <c:pt idx="6">
                  <c:v>70</c:v>
                </c:pt>
                <c:pt idx="7">
                  <c:v>63</c:v>
                </c:pt>
                <c:pt idx="8">
                  <c:v>57</c:v>
                </c:pt>
                <c:pt idx="9">
                  <c:v>51</c:v>
                </c:pt>
              </c:numCache>
            </c:numRef>
          </c:xVal>
          <c:yVal>
            <c:numRef>
              <c:f>'pression débit 5po'!$AK$54:$AK$63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6A-4D98-89BC-8F21D6A6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09048"/>
        <c:axId val="890709440"/>
      </c:scatterChart>
      <c:valAx>
        <c:axId val="890709048"/>
        <c:scaling>
          <c:orientation val="minMax"/>
          <c:max val="1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Débit (CFM)</a:t>
                </a:r>
              </a:p>
            </c:rich>
          </c:tx>
          <c:layout>
            <c:manualLayout>
              <c:xMode val="edge"/>
              <c:yMode val="edge"/>
              <c:x val="0.78429743820875109"/>
              <c:y val="0.97671584405340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709440"/>
        <c:crosses val="autoZero"/>
        <c:crossBetween val="midCat"/>
        <c:majorUnit val="10"/>
        <c:minorUnit val="5"/>
      </c:valAx>
      <c:valAx>
        <c:axId val="890709440"/>
        <c:scaling>
          <c:orientation val="minMax"/>
          <c:max val="1.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Pression (inH2O)</a:t>
                </a:r>
              </a:p>
            </c:rich>
          </c:tx>
          <c:layout>
            <c:manualLayout>
              <c:xMode val="edge"/>
              <c:yMode val="edge"/>
              <c:x val="1.9531477694370629E-2"/>
              <c:y val="0.161636723575904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709048"/>
        <c:crosses val="autoZero"/>
        <c:crossBetween val="midCat"/>
        <c:majorUnit val="0.1"/>
        <c:minorUnit val="5.000000000000001E-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25727141250197"/>
          <c:y val="6.9335034717233124E-2"/>
          <c:w val="9.5107747848406157E-2"/>
          <c:h val="0.212768303087254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ysClr val="windowText" lastClr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75" l="0.25" r="0.25" t="0.75" header="0.3" footer="0.3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432027</xdr:colOff>
      <xdr:row>0</xdr:row>
      <xdr:rowOff>168387</xdr:rowOff>
    </xdr:from>
    <xdr:to>
      <xdr:col>44</xdr:col>
      <xdr:colOff>471146</xdr:colOff>
      <xdr:row>46</xdr:row>
      <xdr:rowOff>117361</xdr:rowOff>
    </xdr:to>
    <xdr:graphicFrame macro="">
      <xdr:nvGraphicFramePr>
        <xdr:cNvPr id="2" name="Graphiqu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72"/>
  <sheetViews>
    <sheetView tabSelected="1" topLeftCell="K10" zoomScaleNormal="100" zoomScaleSheetLayoutView="75" workbookViewId="0">
      <selection activeCell="Y21" sqref="Y21:Z29"/>
    </sheetView>
  </sheetViews>
  <sheetFormatPr baseColWidth="10" defaultColWidth="11.42578125" defaultRowHeight="11.25" outlineLevelCol="1"/>
  <cols>
    <col min="1" max="2" width="11.42578125" style="1" customWidth="1" outlineLevel="1"/>
    <col min="3" max="3" width="14.7109375" style="1" customWidth="1" outlineLevel="1"/>
    <col min="4" max="12" width="11.42578125" style="1" customWidth="1" outlineLevel="1"/>
    <col min="13" max="13" width="10.28515625" style="1" customWidth="1"/>
    <col min="14" max="14" width="9.140625" style="1" customWidth="1"/>
    <col min="15" max="15" width="9.42578125" style="1" customWidth="1"/>
    <col min="16" max="16" width="12" style="1" customWidth="1"/>
    <col min="17" max="17" width="8.7109375" style="1" customWidth="1"/>
    <col min="18" max="18" width="9" style="1" customWidth="1"/>
    <col min="19" max="19" width="10.140625" style="1" customWidth="1"/>
    <col min="20" max="20" width="8.7109375" style="1" customWidth="1"/>
    <col min="21" max="22" width="9.42578125" style="1" customWidth="1"/>
    <col min="23" max="23" width="8.85546875" style="1" customWidth="1"/>
    <col min="24" max="24" width="9.28515625" style="1" customWidth="1"/>
    <col min="25" max="26" width="11.5703125" style="1" customWidth="1"/>
    <col min="27" max="27" width="9.5703125" style="1" customWidth="1"/>
    <col min="28" max="28" width="9.7109375" style="1" customWidth="1"/>
    <col min="29" max="29" width="11.28515625" style="1" customWidth="1"/>
    <col min="30" max="33" width="9.7109375" style="1" customWidth="1"/>
    <col min="34" max="34" width="19.42578125" style="1" bestFit="1" customWidth="1"/>
    <col min="35" max="16384" width="11.42578125" style="1"/>
  </cols>
  <sheetData>
    <row r="1" spans="8:31" ht="22.5" customHeight="1">
      <c r="M1" s="3" t="s">
        <v>102</v>
      </c>
      <c r="N1" s="4"/>
      <c r="O1" s="5"/>
      <c r="P1" s="5"/>
      <c r="R1" s="15"/>
    </row>
    <row r="2" spans="8:31" ht="12.75">
      <c r="M2" s="154" t="s">
        <v>3</v>
      </c>
      <c r="N2" s="154"/>
      <c r="O2" s="155" t="s">
        <v>107</v>
      </c>
      <c r="P2" s="156"/>
      <c r="Q2" s="156"/>
    </row>
    <row r="3" spans="8:31" ht="12.75">
      <c r="M3" s="154" t="s">
        <v>4</v>
      </c>
      <c r="N3" s="154"/>
      <c r="O3" s="156" t="s">
        <v>109</v>
      </c>
      <c r="P3" s="156"/>
      <c r="Q3" s="156"/>
    </row>
    <row r="4" spans="8:31" ht="12.75">
      <c r="M4" s="154" t="s">
        <v>5</v>
      </c>
      <c r="N4" s="154"/>
      <c r="O4" s="155" t="s">
        <v>108</v>
      </c>
      <c r="P4" s="156"/>
      <c r="Q4" s="156"/>
    </row>
    <row r="5" spans="8:31" ht="12.75">
      <c r="M5" s="154" t="s">
        <v>6</v>
      </c>
      <c r="N5" s="154"/>
      <c r="O5" s="155"/>
      <c r="P5" s="156"/>
      <c r="Q5" s="156"/>
    </row>
    <row r="6" spans="8:31" ht="12.75">
      <c r="M6" s="154" t="s">
        <v>1</v>
      </c>
      <c r="N6" s="154"/>
      <c r="O6" s="157">
        <v>44692</v>
      </c>
      <c r="P6" s="157"/>
      <c r="Q6" s="157"/>
    </row>
    <row r="7" spans="8:31" ht="12.75">
      <c r="H7" s="185" t="s">
        <v>62</v>
      </c>
      <c r="I7" s="186"/>
      <c r="J7" s="186"/>
      <c r="K7" s="186"/>
      <c r="L7" s="187"/>
      <c r="M7" s="158" t="s">
        <v>15</v>
      </c>
      <c r="N7" s="158"/>
      <c r="O7" s="158"/>
      <c r="P7" s="158"/>
      <c r="Q7" s="158"/>
      <c r="R7" s="158"/>
      <c r="S7" s="158"/>
      <c r="T7" s="159"/>
      <c r="U7" s="164" t="s">
        <v>16</v>
      </c>
      <c r="V7" s="148"/>
      <c r="W7" s="148"/>
      <c r="X7" s="148"/>
      <c r="Y7" s="165"/>
      <c r="Z7" s="106"/>
      <c r="AA7" s="147" t="s">
        <v>17</v>
      </c>
      <c r="AB7" s="148"/>
      <c r="AC7" s="148"/>
      <c r="AD7" s="148"/>
      <c r="AE7" s="148"/>
    </row>
    <row r="8" spans="8:31" ht="38.25">
      <c r="H8" s="55" t="s">
        <v>65</v>
      </c>
      <c r="I8" s="56" t="s">
        <v>66</v>
      </c>
      <c r="J8" s="56" t="s">
        <v>67</v>
      </c>
      <c r="K8" s="56" t="s">
        <v>68</v>
      </c>
      <c r="L8" s="56" t="s">
        <v>69</v>
      </c>
      <c r="M8" s="149" t="s">
        <v>18</v>
      </c>
      <c r="N8" s="149"/>
      <c r="O8" s="149"/>
      <c r="P8" s="149"/>
      <c r="Q8" s="150" t="s">
        <v>19</v>
      </c>
      <c r="R8" s="150"/>
      <c r="S8" s="150"/>
      <c r="T8" s="151"/>
      <c r="U8" s="152" t="s">
        <v>20</v>
      </c>
      <c r="V8" s="153"/>
      <c r="W8" s="153"/>
      <c r="X8" s="160">
        <v>5</v>
      </c>
      <c r="Y8" s="161"/>
      <c r="Z8" s="107"/>
      <c r="AA8" s="162"/>
      <c r="AB8" s="163"/>
      <c r="AC8" s="163"/>
      <c r="AD8" s="163"/>
      <c r="AE8" s="163"/>
    </row>
    <row r="9" spans="8:31" ht="12.75">
      <c r="H9" s="61" t="s">
        <v>73</v>
      </c>
      <c r="I9" s="62">
        <v>-5674.5358999999999</v>
      </c>
      <c r="J9" s="63">
        <v>-10214.165000000001</v>
      </c>
      <c r="K9" s="63">
        <v>-5800.2205999999996</v>
      </c>
      <c r="L9" s="63">
        <v>-10440.397000000001</v>
      </c>
      <c r="M9" s="166" t="s">
        <v>21</v>
      </c>
      <c r="N9" s="166"/>
      <c r="O9" s="163" t="s">
        <v>110</v>
      </c>
      <c r="P9" s="163"/>
      <c r="Q9" s="166" t="s">
        <v>21</v>
      </c>
      <c r="R9" s="166"/>
      <c r="S9" s="167" t="s">
        <v>118</v>
      </c>
      <c r="T9" s="168"/>
      <c r="U9" s="169" t="s">
        <v>23</v>
      </c>
      <c r="V9" s="170"/>
      <c r="W9" s="171"/>
      <c r="X9" s="180"/>
      <c r="Y9" s="181"/>
      <c r="Z9" s="108"/>
      <c r="AA9" s="162"/>
      <c r="AB9" s="163"/>
      <c r="AC9" s="163"/>
      <c r="AD9" s="163"/>
      <c r="AE9" s="163"/>
    </row>
    <row r="10" spans="8:31" ht="12.75">
      <c r="H10" s="61" t="s">
        <v>77</v>
      </c>
      <c r="I10" s="62">
        <v>6.3925247000000001</v>
      </c>
      <c r="J10" s="63">
        <v>-4.8932428000000003</v>
      </c>
      <c r="K10" s="63">
        <v>1.3914993</v>
      </c>
      <c r="L10" s="63">
        <v>-11.294650000000001</v>
      </c>
      <c r="M10" s="166" t="s">
        <v>24</v>
      </c>
      <c r="N10" s="166"/>
      <c r="O10" s="163" t="s">
        <v>111</v>
      </c>
      <c r="P10" s="163"/>
      <c r="Q10" s="166" t="s">
        <v>24</v>
      </c>
      <c r="R10" s="166"/>
      <c r="S10" s="167"/>
      <c r="T10" s="168"/>
      <c r="U10" s="169" t="s">
        <v>25</v>
      </c>
      <c r="V10" s="170"/>
      <c r="W10" s="171"/>
      <c r="X10" s="180"/>
      <c r="Y10" s="181"/>
      <c r="Z10" s="108"/>
      <c r="AA10" s="162"/>
      <c r="AB10" s="163"/>
      <c r="AC10" s="163"/>
      <c r="AD10" s="163"/>
      <c r="AE10" s="163"/>
    </row>
    <row r="11" spans="8:31" ht="12.75">
      <c r="H11" s="61" t="s">
        <v>81</v>
      </c>
      <c r="I11" s="62">
        <v>-9.6778430000000002E-3</v>
      </c>
      <c r="J11" s="63">
        <v>-5.3765784E-3</v>
      </c>
      <c r="K11" s="63">
        <v>-4.8640239000000002E-2</v>
      </c>
      <c r="L11" s="63">
        <v>-2.7022355000000001E-2</v>
      </c>
      <c r="M11" s="166" t="s">
        <v>26</v>
      </c>
      <c r="N11" s="166"/>
      <c r="O11" s="172" t="s">
        <v>22</v>
      </c>
      <c r="P11" s="173"/>
      <c r="Q11" s="166" t="s">
        <v>27</v>
      </c>
      <c r="R11" s="166"/>
      <c r="S11" s="174"/>
      <c r="T11" s="175"/>
      <c r="U11" s="169" t="s">
        <v>28</v>
      </c>
      <c r="V11" s="170"/>
      <c r="W11" s="171"/>
      <c r="X11" s="180"/>
      <c r="Y11" s="181"/>
      <c r="Z11" s="108"/>
      <c r="AA11" s="162"/>
      <c r="AB11" s="163"/>
      <c r="AC11" s="163"/>
      <c r="AD11" s="163"/>
      <c r="AE11" s="163"/>
    </row>
    <row r="12" spans="8:31" ht="12.75">
      <c r="H12" s="61" t="s">
        <v>83</v>
      </c>
      <c r="I12" s="63">
        <v>6.2215700999999996E-7</v>
      </c>
      <c r="J12" s="63">
        <v>1.9202377000000001E-7</v>
      </c>
      <c r="K12" s="63">
        <v>4.1764768000000003E-5</v>
      </c>
      <c r="L12" s="63">
        <v>1.289036E-5</v>
      </c>
      <c r="M12" s="149" t="s">
        <v>29</v>
      </c>
      <c r="N12" s="149"/>
      <c r="O12" s="149"/>
      <c r="P12" s="149"/>
      <c r="Q12" s="166" t="s">
        <v>30</v>
      </c>
      <c r="R12" s="166"/>
      <c r="S12" s="174"/>
      <c r="T12" s="175"/>
      <c r="U12" s="176" t="s">
        <v>31</v>
      </c>
      <c r="V12" s="177"/>
      <c r="W12" s="167"/>
      <c r="X12" s="167"/>
      <c r="Y12" s="168"/>
      <c r="Z12" s="109"/>
      <c r="AA12" s="162"/>
      <c r="AB12" s="163"/>
      <c r="AC12" s="163"/>
      <c r="AD12" s="163"/>
      <c r="AE12" s="163"/>
    </row>
    <row r="13" spans="8:31" ht="13.5" thickBot="1">
      <c r="H13" s="61" t="s">
        <v>86</v>
      </c>
      <c r="I13" s="63">
        <v>2.0747825000000001E-9</v>
      </c>
      <c r="J13" s="63">
        <v>3.5575831999999998E-10</v>
      </c>
      <c r="K13" s="63">
        <v>-1.4452092999999999E-8</v>
      </c>
      <c r="L13" s="63">
        <v>-2.4780681000000001E-9</v>
      </c>
      <c r="M13" s="166" t="s">
        <v>21</v>
      </c>
      <c r="N13" s="166"/>
      <c r="O13" s="174"/>
      <c r="P13" s="174"/>
      <c r="Q13" s="202" t="s">
        <v>2</v>
      </c>
      <c r="R13" s="202"/>
      <c r="S13" s="202"/>
      <c r="T13" s="203"/>
      <c r="U13" s="178" t="s">
        <v>1</v>
      </c>
      <c r="V13" s="179"/>
      <c r="W13" s="182"/>
      <c r="X13" s="183"/>
      <c r="Y13" s="184"/>
      <c r="Z13" s="110"/>
      <c r="AA13" s="162"/>
      <c r="AB13" s="163"/>
      <c r="AC13" s="163"/>
      <c r="AD13" s="163"/>
      <c r="AE13" s="163"/>
    </row>
    <row r="14" spans="8:31" ht="34.5" thickTop="1">
      <c r="H14" s="61" t="s">
        <v>89</v>
      </c>
      <c r="I14" s="63">
        <v>-9.4840240000000005E-13</v>
      </c>
      <c r="J14" s="63">
        <v>-9.0344687999999998E-14</v>
      </c>
      <c r="K14" s="63">
        <v>6.5459673</v>
      </c>
      <c r="L14" s="63">
        <v>6.5459673</v>
      </c>
      <c r="M14" s="166" t="s">
        <v>32</v>
      </c>
      <c r="N14" s="166"/>
      <c r="O14" s="167"/>
      <c r="P14" s="206"/>
      <c r="Q14" s="204" t="s">
        <v>99</v>
      </c>
      <c r="R14" s="98" t="s">
        <v>97</v>
      </c>
      <c r="S14" s="102">
        <v>0.60740000000000005</v>
      </c>
      <c r="T14" s="99" t="s">
        <v>100</v>
      </c>
      <c r="U14" s="102">
        <v>0.6159</v>
      </c>
      <c r="V14" s="99" t="s">
        <v>93</v>
      </c>
      <c r="W14" s="102">
        <v>0.69879999999999998</v>
      </c>
      <c r="X14" s="99" t="s">
        <v>95</v>
      </c>
      <c r="Y14" s="104">
        <v>0.68689999999999996</v>
      </c>
      <c r="Z14" s="111"/>
    </row>
    <row r="15" spans="8:31" ht="34.5" thickBot="1">
      <c r="H15" s="61" t="s">
        <v>91</v>
      </c>
      <c r="I15" s="63">
        <v>4.1635019</v>
      </c>
      <c r="J15" s="63">
        <v>4.1635019</v>
      </c>
      <c r="K15" s="76"/>
      <c r="L15" s="77"/>
      <c r="M15" s="166" t="s">
        <v>33</v>
      </c>
      <c r="N15" s="166"/>
      <c r="O15" s="174" t="s">
        <v>113</v>
      </c>
      <c r="P15" s="180"/>
      <c r="Q15" s="205"/>
      <c r="R15" s="100" t="s">
        <v>98</v>
      </c>
      <c r="S15" s="103">
        <v>0.60589999999999999</v>
      </c>
      <c r="T15" s="101" t="s">
        <v>101</v>
      </c>
      <c r="U15" s="103">
        <v>0.62329999999999997</v>
      </c>
      <c r="V15" s="101" t="s">
        <v>94</v>
      </c>
      <c r="W15" s="103">
        <v>0.71140000000000003</v>
      </c>
      <c r="X15" s="101" t="s">
        <v>96</v>
      </c>
      <c r="Y15" s="105">
        <v>0.69650000000000001</v>
      </c>
      <c r="Z15" s="111"/>
    </row>
    <row r="16" spans="8:31" ht="13.5" customHeight="1" thickTop="1">
      <c r="M16" s="196" t="s">
        <v>112</v>
      </c>
      <c r="N16" s="197"/>
      <c r="O16" s="197"/>
      <c r="P16" s="197"/>
      <c r="Q16" s="197"/>
      <c r="R16" s="197"/>
      <c r="S16" s="197"/>
      <c r="T16" s="197"/>
      <c r="U16" s="198"/>
      <c r="V16" s="14"/>
      <c r="W16" s="14"/>
    </row>
    <row r="17" spans="1:27">
      <c r="M17" s="12" t="s">
        <v>0</v>
      </c>
      <c r="N17" s="201" t="s">
        <v>9</v>
      </c>
      <c r="O17" s="201"/>
      <c r="P17" s="199" t="s">
        <v>10</v>
      </c>
      <c r="Q17" s="200"/>
      <c r="R17" s="80" t="s">
        <v>90</v>
      </c>
      <c r="S17" s="80" t="s">
        <v>92</v>
      </c>
      <c r="T17" s="13" t="s">
        <v>12</v>
      </c>
      <c r="U17" s="13" t="s">
        <v>11</v>
      </c>
      <c r="V17" s="35" t="s">
        <v>13</v>
      </c>
      <c r="W17" s="36" t="s">
        <v>52</v>
      </c>
      <c r="X17" s="37" t="s">
        <v>53</v>
      </c>
    </row>
    <row r="18" spans="1:27" ht="12" thickBot="1">
      <c r="M18" s="82">
        <v>0.51800000000000002</v>
      </c>
      <c r="N18" s="22">
        <v>1004.3</v>
      </c>
      <c r="O18" s="41">
        <f>N18/33.8638816</f>
        <v>29.656966435885483</v>
      </c>
      <c r="P18" s="23">
        <v>25.9</v>
      </c>
      <c r="Q18" s="40">
        <f xml:space="preserve"> (9/5)*P18+32</f>
        <v>78.62</v>
      </c>
      <c r="R18" s="81">
        <f>0.62198*((M18*IF($C$24=FALSE,$B$24,$C$24)/($F$36*1000-(M18*IF($C$24=FALSE,$B$24,$C$24)))))</f>
        <v>1.0815433696789311E-2</v>
      </c>
      <c r="S18" s="78">
        <f>IF(C24=FALSE,E26,F26)</f>
        <v>1.1629398033935769</v>
      </c>
      <c r="T18" s="38">
        <f>U18*2.54/100</f>
        <v>0.127</v>
      </c>
      <c r="U18" s="24">
        <v>5</v>
      </c>
      <c r="V18" s="39">
        <f>U18*0.08333333</f>
        <v>0.41666664999999997</v>
      </c>
      <c r="W18" s="51">
        <f>IF(U18=5,$W$14,IF(U18=4,$U$14))</f>
        <v>0.69879999999999998</v>
      </c>
      <c r="X18" s="51">
        <f>IF(U18=5,$W$15,IF(U18=4,$U$15))</f>
        <v>0.71140000000000003</v>
      </c>
    </row>
    <row r="19" spans="1:27" ht="12" thickBot="1">
      <c r="M19" s="191" t="s">
        <v>50</v>
      </c>
      <c r="N19" s="192"/>
      <c r="O19" s="192"/>
      <c r="P19" s="192"/>
      <c r="Q19" s="192"/>
      <c r="R19" s="193"/>
      <c r="S19" s="191" t="s">
        <v>51</v>
      </c>
      <c r="T19" s="192"/>
      <c r="U19" s="192"/>
      <c r="V19" s="192"/>
      <c r="W19" s="192"/>
      <c r="X19" s="194"/>
      <c r="Y19" s="113" t="s">
        <v>114</v>
      </c>
      <c r="Z19" s="112" t="s">
        <v>90</v>
      </c>
      <c r="AA19" s="112" t="s">
        <v>123</v>
      </c>
    </row>
    <row r="20" spans="1:27" ht="24" thickTop="1" thickBot="1">
      <c r="A20" s="53" t="s">
        <v>63</v>
      </c>
      <c r="B20" s="54"/>
      <c r="C20" s="54"/>
      <c r="D20" s="79" t="s">
        <v>64</v>
      </c>
      <c r="E20" s="79"/>
      <c r="F20" s="79"/>
      <c r="G20" s="11" t="s">
        <v>7</v>
      </c>
      <c r="H20" s="7" t="s">
        <v>47</v>
      </c>
      <c r="I20" s="9" t="s">
        <v>46</v>
      </c>
      <c r="J20" s="11" t="s">
        <v>35</v>
      </c>
      <c r="K20" s="7" t="s">
        <v>48</v>
      </c>
      <c r="L20" s="18" t="s">
        <v>49</v>
      </c>
      <c r="M20" s="49" t="s">
        <v>40</v>
      </c>
      <c r="N20" s="46" t="s">
        <v>41</v>
      </c>
      <c r="O20" s="47" t="s">
        <v>44</v>
      </c>
      <c r="P20" s="48" t="s">
        <v>8</v>
      </c>
      <c r="Q20" s="42" t="s">
        <v>58</v>
      </c>
      <c r="R20" s="50" t="s">
        <v>59</v>
      </c>
      <c r="S20" s="52" t="s">
        <v>42</v>
      </c>
      <c r="T20" s="44" t="s">
        <v>43</v>
      </c>
      <c r="U20" s="45" t="s">
        <v>45</v>
      </c>
      <c r="V20" s="44" t="s">
        <v>34</v>
      </c>
      <c r="W20" s="43" t="s">
        <v>60</v>
      </c>
      <c r="X20" s="94" t="s">
        <v>61</v>
      </c>
      <c r="Y20" s="114"/>
      <c r="Z20" s="114"/>
      <c r="AA20" s="130"/>
    </row>
    <row r="21" spans="1:27" ht="12" customHeight="1" thickTop="1" thickBot="1">
      <c r="A21" s="57" t="s">
        <v>62</v>
      </c>
      <c r="B21" s="58"/>
      <c r="C21" s="58"/>
      <c r="D21" s="59" t="s">
        <v>70</v>
      </c>
      <c r="E21" s="92" t="s">
        <v>71</v>
      </c>
      <c r="F21" s="60" t="s">
        <v>72</v>
      </c>
      <c r="G21" s="6">
        <f t="shared" ref="G21:G29" si="0">P21*249.082</f>
        <v>0</v>
      </c>
      <c r="H21" s="8">
        <f>PI()*POWER(($T$18/2),2)*3600*$W$18*SQRT((2*G21)/$S$18)</f>
        <v>0</v>
      </c>
      <c r="I21" s="10">
        <f t="shared" ref="I21:I29" si="1">(293/(273+$P$18))*(($N$18*100)/101325)*H21</f>
        <v>0</v>
      </c>
      <c r="J21" s="6">
        <f t="shared" ref="J21:J29" si="2">V21*249.08200826</f>
        <v>0</v>
      </c>
      <c r="K21" s="8">
        <f>PI()*POWER(($T$18/2),2)*3600*$X$18*SQRT((2*J21)/$S$18)</f>
        <v>0</v>
      </c>
      <c r="L21" s="19">
        <f t="shared" ref="L21:L29" si="3">(293/(273+$P$18))*(($N$18*100)/101325)*K21</f>
        <v>0</v>
      </c>
      <c r="M21" s="25">
        <v>0.05</v>
      </c>
      <c r="N21" s="16">
        <v>0.05</v>
      </c>
      <c r="O21" s="17">
        <f t="shared" ref="O21:O27" si="4">M21+N21</f>
        <v>0.1</v>
      </c>
      <c r="P21" s="2"/>
      <c r="Q21" s="33">
        <f t="shared" ref="Q21:Q29" si="5">0.5885777786626*H21</f>
        <v>0</v>
      </c>
      <c r="R21" s="29">
        <f t="shared" ref="R21:R29" si="6">0.5885777786626*I21</f>
        <v>0</v>
      </c>
      <c r="S21" s="25">
        <v>0.05</v>
      </c>
      <c r="T21" s="16">
        <v>0.05</v>
      </c>
      <c r="U21" s="17">
        <f t="shared" ref="U21" si="7">S21+T21</f>
        <v>0.1</v>
      </c>
      <c r="V21" s="2"/>
      <c r="W21" s="31">
        <f t="shared" ref="W21:W29" si="8">0.5885777786626*K21</f>
        <v>0</v>
      </c>
      <c r="X21" s="95">
        <f t="shared" ref="X21:X29" si="9">0.5885777786626*L21</f>
        <v>0</v>
      </c>
      <c r="Y21" s="114"/>
      <c r="Z21" s="114"/>
      <c r="AA21" s="131" t="e">
        <f>Z21/Y21</f>
        <v>#DIV/0!</v>
      </c>
    </row>
    <row r="22" spans="1:27" ht="12" customHeight="1" thickTop="1" thickBot="1">
      <c r="A22" s="55" t="s">
        <v>74</v>
      </c>
      <c r="B22" s="56" t="s">
        <v>75</v>
      </c>
      <c r="C22" s="64" t="s">
        <v>76</v>
      </c>
      <c r="D22" s="65">
        <f>P18</f>
        <v>25.9</v>
      </c>
      <c r="E22" s="93">
        <v>2</v>
      </c>
      <c r="F22" s="65">
        <f>N18/10</f>
        <v>100.42999999999999</v>
      </c>
      <c r="G22" s="6">
        <f t="shared" si="0"/>
        <v>0</v>
      </c>
      <c r="H22" s="8">
        <f t="shared" ref="H22:H29" si="10">PI()*POWER(($T$18/2),2)*3600*$W$18*SQRT((2*G22)/$S$18)</f>
        <v>0</v>
      </c>
      <c r="I22" s="10">
        <f t="shared" si="1"/>
        <v>0</v>
      </c>
      <c r="J22" s="6">
        <f t="shared" si="2"/>
        <v>0</v>
      </c>
      <c r="K22" s="8">
        <f t="shared" ref="K22:K29" si="11">PI()*POWER(($T$18/2),2)*3600*$X$18*SQRT((2*J22)/$S$18)</f>
        <v>0</v>
      </c>
      <c r="L22" s="19">
        <f t="shared" si="3"/>
        <v>0</v>
      </c>
      <c r="M22" s="25">
        <v>0.1</v>
      </c>
      <c r="N22" s="16">
        <v>0.1</v>
      </c>
      <c r="O22" s="17">
        <f t="shared" si="4"/>
        <v>0.2</v>
      </c>
      <c r="P22" s="2"/>
      <c r="Q22" s="33">
        <f t="shared" si="5"/>
        <v>0</v>
      </c>
      <c r="R22" s="29">
        <f t="shared" si="6"/>
        <v>0</v>
      </c>
      <c r="S22" s="25">
        <v>0.1</v>
      </c>
      <c r="T22" s="16">
        <v>0.1</v>
      </c>
      <c r="U22" s="17">
        <f t="shared" ref="U22:U29" si="12">S22+T22</f>
        <v>0.2</v>
      </c>
      <c r="V22" s="2"/>
      <c r="W22" s="31">
        <f t="shared" si="8"/>
        <v>0</v>
      </c>
      <c r="X22" s="95">
        <f t="shared" si="9"/>
        <v>0</v>
      </c>
      <c r="Y22" s="114"/>
      <c r="Z22" s="114"/>
      <c r="AA22" s="131" t="e">
        <f t="shared" ref="AA22:AA29" si="13">Z22/Y22</f>
        <v>#DIV/0!</v>
      </c>
    </row>
    <row r="23" spans="1:27" ht="12" customHeight="1" thickTop="1" thickBot="1">
      <c r="A23" s="66" t="s">
        <v>78</v>
      </c>
      <c r="B23" s="67" t="b">
        <f>IF($E22&lt;0,EXP((I$9/$E24)+I$10+(I$11*$E24)+(I$12*($E24^2))+(I$13*($E24^3))+(I$14*($E24^4))+(I$15*LN($E24))))</f>
        <v>0</v>
      </c>
      <c r="C23" s="68">
        <f>IF($E22&gt;0,EXP(K$9/$E24+K$10+K$11*$E24+K$12*$E24^2+K$13*$E24^3+K$14*LN($E24)))</f>
        <v>698.4226585925901</v>
      </c>
      <c r="D23" s="59" t="s">
        <v>79</v>
      </c>
      <c r="E23" s="92" t="s">
        <v>80</v>
      </c>
      <c r="F23" s="69"/>
      <c r="G23" s="6">
        <f t="shared" si="0"/>
        <v>0</v>
      </c>
      <c r="H23" s="8">
        <f t="shared" si="10"/>
        <v>0</v>
      </c>
      <c r="I23" s="10">
        <f t="shared" si="1"/>
        <v>0</v>
      </c>
      <c r="J23" s="6">
        <f t="shared" si="2"/>
        <v>0</v>
      </c>
      <c r="K23" s="8">
        <f t="shared" si="11"/>
        <v>0</v>
      </c>
      <c r="L23" s="19">
        <f t="shared" si="3"/>
        <v>0</v>
      </c>
      <c r="M23" s="25">
        <v>0.15</v>
      </c>
      <c r="N23" s="25">
        <v>0.15</v>
      </c>
      <c r="O23" s="17">
        <f t="shared" si="4"/>
        <v>0.3</v>
      </c>
      <c r="P23" s="2"/>
      <c r="Q23" s="33">
        <f t="shared" si="5"/>
        <v>0</v>
      </c>
      <c r="R23" s="29">
        <f t="shared" si="6"/>
        <v>0</v>
      </c>
      <c r="S23" s="25">
        <v>0.15</v>
      </c>
      <c r="T23" s="25">
        <v>0.15</v>
      </c>
      <c r="U23" s="17">
        <f t="shared" si="12"/>
        <v>0.3</v>
      </c>
      <c r="V23" s="2"/>
      <c r="W23" s="31">
        <f t="shared" si="8"/>
        <v>0</v>
      </c>
      <c r="X23" s="95">
        <f t="shared" si="9"/>
        <v>0</v>
      </c>
      <c r="Y23" s="114"/>
      <c r="Z23" s="114"/>
      <c r="AA23" s="131" t="e">
        <f t="shared" si="13"/>
        <v>#DIV/0!</v>
      </c>
    </row>
    <row r="24" spans="1:27" ht="12" customHeight="1" thickTop="1" thickBot="1">
      <c r="A24" s="83" t="s">
        <v>82</v>
      </c>
      <c r="B24" s="84" t="b">
        <f>IF($D22&lt;0,EXP((I$9/$D24)+I$10+(I$11*$D24)+(I$12*($D24^2))+(I$13*($D24^3))+(I$14*($D24^4))+(I$15*LN($D24))))</f>
        <v>0</v>
      </c>
      <c r="C24" s="85">
        <f>IF($D22&gt;0,EXP(K$9/$D24+K$10+K$11*$D24+K$12*$D24^2+K$13*$D24^3+K$14*LN($D24)))</f>
        <v>3313.7085290864534</v>
      </c>
      <c r="D24" s="86">
        <f>D22+273</f>
        <v>298.89999999999998</v>
      </c>
      <c r="E24" s="86">
        <f>E22+273</f>
        <v>275</v>
      </c>
      <c r="F24" s="87"/>
      <c r="G24" s="6">
        <f t="shared" si="0"/>
        <v>0</v>
      </c>
      <c r="H24" s="8">
        <f t="shared" si="10"/>
        <v>0</v>
      </c>
      <c r="I24" s="10">
        <f t="shared" si="1"/>
        <v>0</v>
      </c>
      <c r="J24" s="6">
        <f t="shared" si="2"/>
        <v>0</v>
      </c>
      <c r="K24" s="8">
        <f t="shared" si="11"/>
        <v>0</v>
      </c>
      <c r="L24" s="19">
        <f t="shared" si="3"/>
        <v>0</v>
      </c>
      <c r="M24" s="25">
        <v>0.2</v>
      </c>
      <c r="N24" s="25">
        <v>0.2</v>
      </c>
      <c r="O24" s="17">
        <f t="shared" si="4"/>
        <v>0.4</v>
      </c>
      <c r="P24" s="2"/>
      <c r="Q24" s="33">
        <f t="shared" si="5"/>
        <v>0</v>
      </c>
      <c r="R24" s="29">
        <f t="shared" si="6"/>
        <v>0</v>
      </c>
      <c r="S24" s="25">
        <v>0.2</v>
      </c>
      <c r="T24" s="25">
        <v>0.2</v>
      </c>
      <c r="U24" s="17">
        <f t="shared" si="12"/>
        <v>0.4</v>
      </c>
      <c r="V24" s="2"/>
      <c r="W24" s="31">
        <f t="shared" si="8"/>
        <v>0</v>
      </c>
      <c r="X24" s="95">
        <f t="shared" si="9"/>
        <v>0</v>
      </c>
      <c r="Y24" s="114"/>
      <c r="Z24" s="114"/>
      <c r="AA24" s="131" t="e">
        <f t="shared" si="13"/>
        <v>#DIV/0!</v>
      </c>
    </row>
    <row r="25" spans="1:27" ht="12" customHeight="1" thickTop="1">
      <c r="A25" s="83" t="s">
        <v>84</v>
      </c>
      <c r="B25" s="88" t="e">
        <f>IF(B23=FALSE,C23/B24,B23/B24)</f>
        <v>#DIV/0!</v>
      </c>
      <c r="C25" s="89">
        <f>IF(C23=FALSE,B23/C24,C23/C24)</f>
        <v>0.21076767991575174</v>
      </c>
      <c r="D25" s="90" t="s">
        <v>85</v>
      </c>
      <c r="E25" s="91"/>
      <c r="F25" s="91"/>
      <c r="G25" s="6">
        <f t="shared" si="0"/>
        <v>0</v>
      </c>
      <c r="H25" s="8">
        <f t="shared" si="10"/>
        <v>0</v>
      </c>
      <c r="I25" s="10">
        <f t="shared" si="1"/>
        <v>0</v>
      </c>
      <c r="J25" s="6">
        <f t="shared" si="2"/>
        <v>0</v>
      </c>
      <c r="K25" s="8">
        <f t="shared" si="11"/>
        <v>0</v>
      </c>
      <c r="L25" s="19">
        <f t="shared" si="3"/>
        <v>0</v>
      </c>
      <c r="M25" s="25">
        <v>0.25</v>
      </c>
      <c r="N25" s="25">
        <v>0.25</v>
      </c>
      <c r="O25" s="17">
        <f t="shared" si="4"/>
        <v>0.5</v>
      </c>
      <c r="P25" s="2"/>
      <c r="Q25" s="33">
        <f t="shared" si="5"/>
        <v>0</v>
      </c>
      <c r="R25" s="29">
        <f t="shared" si="6"/>
        <v>0</v>
      </c>
      <c r="S25" s="25">
        <v>0.25</v>
      </c>
      <c r="T25" s="25">
        <v>0.25</v>
      </c>
      <c r="U25" s="17">
        <f t="shared" si="12"/>
        <v>0.5</v>
      </c>
      <c r="V25" s="2"/>
      <c r="W25" s="31">
        <f t="shared" si="8"/>
        <v>0</v>
      </c>
      <c r="X25" s="95">
        <f t="shared" si="9"/>
        <v>0</v>
      </c>
      <c r="Y25" s="114"/>
      <c r="Z25" s="114"/>
      <c r="AA25" s="131" t="e">
        <f t="shared" si="13"/>
        <v>#DIV/0!</v>
      </c>
    </row>
    <row r="26" spans="1:27" ht="12" customHeight="1">
      <c r="A26" s="70"/>
      <c r="B26" s="71" t="s">
        <v>87</v>
      </c>
      <c r="C26" s="72" t="s">
        <v>87</v>
      </c>
      <c r="D26" s="73" t="s">
        <v>88</v>
      </c>
      <c r="E26" s="74">
        <f>(1+R18)/(287.055*(D22+273)*(1+1.6078*R18)/(F22*1000))</f>
        <v>1.1629398033935769</v>
      </c>
      <c r="F26" s="75">
        <f>(1+R18)/(287.055*(D22+273)*(1+1.6078*R18)/(F22*1000))</f>
        <v>1.1629398033935769</v>
      </c>
      <c r="G26" s="6">
        <f t="shared" si="0"/>
        <v>0</v>
      </c>
      <c r="H26" s="8">
        <f t="shared" si="10"/>
        <v>0</v>
      </c>
      <c r="I26" s="10">
        <f t="shared" si="1"/>
        <v>0</v>
      </c>
      <c r="J26" s="6">
        <f t="shared" si="2"/>
        <v>0</v>
      </c>
      <c r="K26" s="8">
        <f t="shared" si="11"/>
        <v>0</v>
      </c>
      <c r="L26" s="19">
        <f t="shared" si="3"/>
        <v>0</v>
      </c>
      <c r="M26" s="25">
        <v>0.3</v>
      </c>
      <c r="N26" s="25">
        <v>0.3</v>
      </c>
      <c r="O26" s="17">
        <f t="shared" si="4"/>
        <v>0.6</v>
      </c>
      <c r="P26" s="2"/>
      <c r="Q26" s="33">
        <f t="shared" si="5"/>
        <v>0</v>
      </c>
      <c r="R26" s="29">
        <f t="shared" si="6"/>
        <v>0</v>
      </c>
      <c r="S26" s="25">
        <v>0.3</v>
      </c>
      <c r="T26" s="25">
        <v>0.3</v>
      </c>
      <c r="U26" s="17">
        <f t="shared" si="12"/>
        <v>0.6</v>
      </c>
      <c r="V26" s="2"/>
      <c r="W26" s="31">
        <f t="shared" si="8"/>
        <v>0</v>
      </c>
      <c r="X26" s="95">
        <f t="shared" si="9"/>
        <v>0</v>
      </c>
      <c r="Y26" s="114"/>
      <c r="Z26" s="114"/>
      <c r="AA26" s="131" t="e">
        <f t="shared" si="13"/>
        <v>#DIV/0!</v>
      </c>
    </row>
    <row r="27" spans="1:27" ht="12" customHeight="1">
      <c r="G27" s="6">
        <f t="shared" si="0"/>
        <v>0</v>
      </c>
      <c r="H27" s="8">
        <f t="shared" si="10"/>
        <v>0</v>
      </c>
      <c r="I27" s="10">
        <f t="shared" si="1"/>
        <v>0</v>
      </c>
      <c r="J27" s="6">
        <f t="shared" si="2"/>
        <v>0</v>
      </c>
      <c r="K27" s="8">
        <f t="shared" si="11"/>
        <v>0</v>
      </c>
      <c r="L27" s="19">
        <f t="shared" si="3"/>
        <v>0</v>
      </c>
      <c r="M27" s="25">
        <v>0.4</v>
      </c>
      <c r="N27" s="25">
        <v>0.4</v>
      </c>
      <c r="O27" s="17">
        <f t="shared" si="4"/>
        <v>0.8</v>
      </c>
      <c r="P27" s="2"/>
      <c r="Q27" s="33">
        <f t="shared" si="5"/>
        <v>0</v>
      </c>
      <c r="R27" s="29">
        <f t="shared" si="6"/>
        <v>0</v>
      </c>
      <c r="S27" s="25">
        <v>0.4</v>
      </c>
      <c r="T27" s="25">
        <v>0.4</v>
      </c>
      <c r="U27" s="17">
        <f t="shared" si="12"/>
        <v>0.8</v>
      </c>
      <c r="V27" s="2"/>
      <c r="W27" s="31">
        <f t="shared" si="8"/>
        <v>0</v>
      </c>
      <c r="X27" s="95">
        <f t="shared" si="9"/>
        <v>0</v>
      </c>
      <c r="Y27" s="114"/>
      <c r="Z27" s="114"/>
      <c r="AA27" s="131" t="e">
        <f t="shared" si="13"/>
        <v>#DIV/0!</v>
      </c>
    </row>
    <row r="28" spans="1:27" ht="12" customHeight="1">
      <c r="G28" s="6">
        <f t="shared" si="0"/>
        <v>0</v>
      </c>
      <c r="H28" s="8">
        <f t="shared" si="10"/>
        <v>0</v>
      </c>
      <c r="I28" s="10">
        <f t="shared" si="1"/>
        <v>0</v>
      </c>
      <c r="J28" s="6">
        <f t="shared" si="2"/>
        <v>0</v>
      </c>
      <c r="K28" s="8">
        <f t="shared" si="11"/>
        <v>0</v>
      </c>
      <c r="L28" s="19">
        <f t="shared" si="3"/>
        <v>0</v>
      </c>
      <c r="M28" s="25">
        <v>0.5</v>
      </c>
      <c r="N28" s="25">
        <v>0.5</v>
      </c>
      <c r="O28" s="17">
        <f t="shared" ref="O28:O29" si="14">M28+N28</f>
        <v>1</v>
      </c>
      <c r="P28" s="2"/>
      <c r="Q28" s="33">
        <f t="shared" si="5"/>
        <v>0</v>
      </c>
      <c r="R28" s="29">
        <f t="shared" si="6"/>
        <v>0</v>
      </c>
      <c r="S28" s="25">
        <v>0.5</v>
      </c>
      <c r="T28" s="25">
        <v>0.5</v>
      </c>
      <c r="U28" s="17">
        <f t="shared" si="12"/>
        <v>1</v>
      </c>
      <c r="V28" s="2"/>
      <c r="W28" s="31">
        <f t="shared" si="8"/>
        <v>0</v>
      </c>
      <c r="X28" s="95">
        <f t="shared" si="9"/>
        <v>0</v>
      </c>
      <c r="Y28" s="114"/>
      <c r="Z28" s="114"/>
      <c r="AA28" s="131" t="e">
        <f t="shared" si="13"/>
        <v>#DIV/0!</v>
      </c>
    </row>
    <row r="29" spans="1:27" ht="12" customHeight="1" thickBot="1">
      <c r="G29" s="6">
        <f t="shared" si="0"/>
        <v>0</v>
      </c>
      <c r="H29" s="8">
        <f t="shared" si="10"/>
        <v>0</v>
      </c>
      <c r="I29" s="10">
        <f t="shared" si="1"/>
        <v>0</v>
      </c>
      <c r="J29" s="6">
        <f t="shared" si="2"/>
        <v>0</v>
      </c>
      <c r="K29" s="8">
        <f t="shared" si="11"/>
        <v>0</v>
      </c>
      <c r="L29" s="19">
        <f t="shared" si="3"/>
        <v>0</v>
      </c>
      <c r="M29" s="26">
        <v>0.6</v>
      </c>
      <c r="N29" s="26">
        <v>0.6</v>
      </c>
      <c r="O29" s="27">
        <f t="shared" si="14"/>
        <v>1.2</v>
      </c>
      <c r="P29" s="28"/>
      <c r="Q29" s="34">
        <f t="shared" si="5"/>
        <v>0</v>
      </c>
      <c r="R29" s="30">
        <f t="shared" si="6"/>
        <v>0</v>
      </c>
      <c r="S29" s="26">
        <v>0.6</v>
      </c>
      <c r="T29" s="26">
        <v>0.6</v>
      </c>
      <c r="U29" s="27">
        <f t="shared" si="12"/>
        <v>1.2</v>
      </c>
      <c r="V29" s="28"/>
      <c r="W29" s="32">
        <f t="shared" si="8"/>
        <v>0</v>
      </c>
      <c r="X29" s="96">
        <f t="shared" si="9"/>
        <v>0</v>
      </c>
      <c r="Y29" s="114"/>
      <c r="Z29" s="114"/>
      <c r="AA29" s="131" t="e">
        <f t="shared" si="13"/>
        <v>#DIV/0!</v>
      </c>
    </row>
    <row r="30" spans="1:27" ht="12" customHeight="1">
      <c r="M30" s="196"/>
      <c r="N30" s="197"/>
      <c r="O30" s="197"/>
      <c r="P30" s="197"/>
      <c r="Q30" s="197"/>
      <c r="R30" s="197"/>
      <c r="S30" s="197"/>
      <c r="T30" s="197"/>
      <c r="U30" s="198"/>
      <c r="V30" s="14"/>
      <c r="W30" s="14"/>
    </row>
    <row r="31" spans="1:27" ht="12" customHeight="1">
      <c r="M31" s="12" t="s">
        <v>0</v>
      </c>
      <c r="N31" s="201" t="s">
        <v>9</v>
      </c>
      <c r="O31" s="201"/>
      <c r="P31" s="199" t="s">
        <v>10</v>
      </c>
      <c r="Q31" s="200"/>
      <c r="R31" s="80" t="s">
        <v>90</v>
      </c>
      <c r="S31" s="80" t="s">
        <v>92</v>
      </c>
      <c r="T31" s="13" t="s">
        <v>12</v>
      </c>
      <c r="U31" s="13" t="s">
        <v>11</v>
      </c>
      <c r="V31" s="35" t="s">
        <v>13</v>
      </c>
      <c r="W31" s="36" t="s">
        <v>52</v>
      </c>
      <c r="X31" s="37" t="s">
        <v>53</v>
      </c>
    </row>
    <row r="32" spans="1:27" ht="12" customHeight="1" thickBot="1">
      <c r="M32" s="82">
        <v>0.53900000000000003</v>
      </c>
      <c r="N32" s="22">
        <v>1004.3</v>
      </c>
      <c r="O32" s="41">
        <f>N32/33.8638816</f>
        <v>29.656966435885483</v>
      </c>
      <c r="P32" s="23">
        <v>26.7</v>
      </c>
      <c r="Q32" s="40">
        <f xml:space="preserve"> (9/5)*P32+32</f>
        <v>80.06</v>
      </c>
      <c r="R32" s="81">
        <f>0.62198*((M32*IF($C$38=FALSE,$B$38,$C$38)/($F$36*1000-(M32*IF($C$38=FALSE,$B$38,$C$38)))))</f>
        <v>1.1817405222672418E-2</v>
      </c>
      <c r="S32" s="78">
        <f>IF(C38=FALSE,E40,F40)</f>
        <v>1.1591497753474427</v>
      </c>
      <c r="T32" s="38">
        <f>U32*2.54/100</f>
        <v>0.127</v>
      </c>
      <c r="U32" s="24">
        <v>5</v>
      </c>
      <c r="V32" s="39">
        <f>U32*0.08333333</f>
        <v>0.41666664999999997</v>
      </c>
      <c r="W32" s="51">
        <f>IF(U32=5,$W$14,IF(U32=4,$U$14))</f>
        <v>0.69879999999999998</v>
      </c>
      <c r="X32" s="51">
        <f>IF(U32=5,$W$15,IF(U32=4,$U$15))</f>
        <v>0.71140000000000003</v>
      </c>
    </row>
    <row r="33" spans="1:27" ht="12" customHeight="1" thickBot="1">
      <c r="M33" s="191" t="s">
        <v>50</v>
      </c>
      <c r="N33" s="192"/>
      <c r="O33" s="192"/>
      <c r="P33" s="192"/>
      <c r="Q33" s="192"/>
      <c r="R33" s="193"/>
      <c r="S33" s="191" t="s">
        <v>51</v>
      </c>
      <c r="T33" s="192"/>
      <c r="U33" s="192"/>
      <c r="V33" s="192"/>
      <c r="W33" s="192"/>
      <c r="X33" s="194"/>
      <c r="Y33" s="97" t="s">
        <v>114</v>
      </c>
      <c r="Z33" s="112" t="s">
        <v>117</v>
      </c>
      <c r="AA33" s="112" t="s">
        <v>123</v>
      </c>
    </row>
    <row r="34" spans="1:27" ht="24" thickTop="1" thickBot="1">
      <c r="A34" s="53" t="s">
        <v>63</v>
      </c>
      <c r="B34" s="54"/>
      <c r="C34" s="54"/>
      <c r="D34" s="79" t="s">
        <v>64</v>
      </c>
      <c r="E34" s="79"/>
      <c r="F34" s="79"/>
      <c r="G34" s="11" t="s">
        <v>7</v>
      </c>
      <c r="H34" s="7" t="s">
        <v>47</v>
      </c>
      <c r="I34" s="9" t="s">
        <v>46</v>
      </c>
      <c r="J34" s="11" t="s">
        <v>35</v>
      </c>
      <c r="K34" s="7" t="s">
        <v>48</v>
      </c>
      <c r="L34" s="18" t="s">
        <v>49</v>
      </c>
      <c r="M34" s="49" t="s">
        <v>40</v>
      </c>
      <c r="N34" s="46" t="s">
        <v>41</v>
      </c>
      <c r="O34" s="47" t="s">
        <v>44</v>
      </c>
      <c r="P34" s="48" t="s">
        <v>8</v>
      </c>
      <c r="Q34" s="42" t="s">
        <v>56</v>
      </c>
      <c r="R34" s="50" t="s">
        <v>57</v>
      </c>
      <c r="S34" s="52" t="s">
        <v>42</v>
      </c>
      <c r="T34" s="44" t="s">
        <v>43</v>
      </c>
      <c r="U34" s="45" t="s">
        <v>45</v>
      </c>
      <c r="V34" s="44" t="s">
        <v>34</v>
      </c>
      <c r="W34" s="43" t="s">
        <v>54</v>
      </c>
      <c r="X34" s="94" t="s">
        <v>55</v>
      </c>
      <c r="Y34" s="115"/>
      <c r="Z34" s="114"/>
      <c r="AA34" s="114"/>
    </row>
    <row r="35" spans="1:27" ht="12" customHeight="1" thickTop="1" thickBot="1">
      <c r="A35" s="57" t="s">
        <v>62</v>
      </c>
      <c r="B35" s="58"/>
      <c r="C35" s="58"/>
      <c r="D35" s="59" t="s">
        <v>70</v>
      </c>
      <c r="E35" s="92" t="s">
        <v>71</v>
      </c>
      <c r="F35" s="60" t="s">
        <v>72</v>
      </c>
      <c r="G35" s="6">
        <f t="shared" ref="G35:G43" si="15">P35*249.082</f>
        <v>0</v>
      </c>
      <c r="H35" s="8">
        <f>PI()*POWER(($T$32/2),2)*3600*$W$32*SQRT((2*G35)/$S$32)</f>
        <v>0</v>
      </c>
      <c r="I35" s="10">
        <f>(293/(273+$P$32))*(($N$32*100)/101325)*H35</f>
        <v>0</v>
      </c>
      <c r="J35" s="6">
        <f t="shared" ref="J35:J43" si="16">V35*249.08200826</f>
        <v>0</v>
      </c>
      <c r="K35" s="8">
        <f>PI()*POWER(($T$32/2),2)*3600*$X$32*SQRT((2*J35)/$S$32)</f>
        <v>0</v>
      </c>
      <c r="L35" s="19">
        <f>(293/(273+$P$32))*(($N$32*100)/101325)*K35</f>
        <v>0</v>
      </c>
      <c r="M35" s="25">
        <v>0.05</v>
      </c>
      <c r="N35" s="16">
        <v>0.05</v>
      </c>
      <c r="O35" s="17">
        <f t="shared" ref="O35:O43" si="17">M35+N35</f>
        <v>0.1</v>
      </c>
      <c r="P35" s="2"/>
      <c r="Q35" s="33">
        <f t="shared" ref="Q35:R43" si="18">0.5885777786626*H35</f>
        <v>0</v>
      </c>
      <c r="R35" s="29">
        <f t="shared" si="18"/>
        <v>0</v>
      </c>
      <c r="S35" s="25">
        <v>0.05</v>
      </c>
      <c r="T35" s="16">
        <v>0.05</v>
      </c>
      <c r="U35" s="17">
        <f t="shared" ref="U35:U43" si="19">S35+T35</f>
        <v>0.1</v>
      </c>
      <c r="V35" s="2"/>
      <c r="W35" s="31">
        <f t="shared" ref="W35:W43" si="20">0.5885777786626*K35</f>
        <v>0</v>
      </c>
      <c r="X35" s="95">
        <f t="shared" ref="X35:X43" si="21">0.5885777786626*L35</f>
        <v>0</v>
      </c>
      <c r="Y35" s="115"/>
      <c r="Z35" s="114"/>
      <c r="AA35" s="114" t="e">
        <f>Z35/Y35</f>
        <v>#DIV/0!</v>
      </c>
    </row>
    <row r="36" spans="1:27" ht="12" customHeight="1" thickTop="1" thickBot="1">
      <c r="A36" s="55" t="s">
        <v>74</v>
      </c>
      <c r="B36" s="56" t="s">
        <v>75</v>
      </c>
      <c r="C36" s="64" t="s">
        <v>76</v>
      </c>
      <c r="D36" s="65">
        <f>P32</f>
        <v>26.7</v>
      </c>
      <c r="E36" s="93">
        <v>2</v>
      </c>
      <c r="F36" s="65">
        <f>N32/10</f>
        <v>100.42999999999999</v>
      </c>
      <c r="G36" s="6">
        <f t="shared" si="15"/>
        <v>0</v>
      </c>
      <c r="H36" s="8">
        <f t="shared" ref="H36:H43" si="22">PI()*POWER(($T$32/2),2)*3600*$W$32*SQRT((2*G36)/$S$32)</f>
        <v>0</v>
      </c>
      <c r="I36" s="10">
        <f t="shared" ref="I36:I43" si="23">(293/(273+$P$32))*(($N$32*100)/101325)*H36</f>
        <v>0</v>
      </c>
      <c r="J36" s="6">
        <f t="shared" si="16"/>
        <v>0</v>
      </c>
      <c r="K36" s="8">
        <f t="shared" ref="K36:K43" si="24">PI()*POWER(($T$32/2),2)*3600*$X$32*SQRT((2*J36)/$S$32)</f>
        <v>0</v>
      </c>
      <c r="L36" s="19">
        <f t="shared" ref="L36:L43" si="25">(293/(273+$P$32))*(($N$32*100)/101325)*K36</f>
        <v>0</v>
      </c>
      <c r="M36" s="25">
        <v>0.1</v>
      </c>
      <c r="N36" s="16">
        <v>0.1</v>
      </c>
      <c r="O36" s="17">
        <f t="shared" si="17"/>
        <v>0.2</v>
      </c>
      <c r="P36" s="2"/>
      <c r="Q36" s="33">
        <f t="shared" si="18"/>
        <v>0</v>
      </c>
      <c r="R36" s="29">
        <f t="shared" si="18"/>
        <v>0</v>
      </c>
      <c r="S36" s="25">
        <v>0.1</v>
      </c>
      <c r="T36" s="16">
        <v>0.1</v>
      </c>
      <c r="U36" s="17">
        <f t="shared" si="19"/>
        <v>0.2</v>
      </c>
      <c r="V36" s="2"/>
      <c r="W36" s="31">
        <f t="shared" si="20"/>
        <v>0</v>
      </c>
      <c r="X36" s="95">
        <f t="shared" si="21"/>
        <v>0</v>
      </c>
      <c r="Y36" s="115"/>
      <c r="Z36" s="114"/>
      <c r="AA36" s="114" t="e">
        <f t="shared" ref="AA36:AA41" si="26">Z36/Y36</f>
        <v>#DIV/0!</v>
      </c>
    </row>
    <row r="37" spans="1:27" ht="12" customHeight="1" thickTop="1" thickBot="1">
      <c r="A37" s="83" t="s">
        <v>78</v>
      </c>
      <c r="B37" s="84" t="b">
        <f>IF($E36&lt;0,EXP((I$9/$E38)+I$10+(I$11*$E38)+(I$12*($E38^2))+(I$13*($E38^3))+(I$14*($E38^4))+(I$15*LN($E38))))</f>
        <v>0</v>
      </c>
      <c r="C37" s="85">
        <f>IF($E36&gt;0,EXP(K$9/$E38+K$10+K$11*$E38+K$12*$E38^2+K$13*$E38^3+K$14*LN($E38)))</f>
        <v>698.4226585925901</v>
      </c>
      <c r="D37" s="59" t="s">
        <v>79</v>
      </c>
      <c r="E37" s="92" t="s">
        <v>80</v>
      </c>
      <c r="F37" s="69"/>
      <c r="G37" s="6">
        <f t="shared" si="15"/>
        <v>0</v>
      </c>
      <c r="H37" s="8">
        <f t="shared" si="22"/>
        <v>0</v>
      </c>
      <c r="I37" s="10">
        <f t="shared" si="23"/>
        <v>0</v>
      </c>
      <c r="J37" s="6">
        <f t="shared" si="16"/>
        <v>0</v>
      </c>
      <c r="K37" s="8">
        <f t="shared" si="24"/>
        <v>0</v>
      </c>
      <c r="L37" s="19">
        <f t="shared" si="25"/>
        <v>0</v>
      </c>
      <c r="M37" s="25">
        <v>0.15</v>
      </c>
      <c r="N37" s="25">
        <v>0.15</v>
      </c>
      <c r="O37" s="17">
        <f t="shared" si="17"/>
        <v>0.3</v>
      </c>
      <c r="P37" s="2"/>
      <c r="Q37" s="33">
        <f t="shared" si="18"/>
        <v>0</v>
      </c>
      <c r="R37" s="29">
        <f t="shared" si="18"/>
        <v>0</v>
      </c>
      <c r="S37" s="25">
        <v>0.15</v>
      </c>
      <c r="T37" s="25">
        <v>0.15</v>
      </c>
      <c r="U37" s="17">
        <f t="shared" si="19"/>
        <v>0.3</v>
      </c>
      <c r="V37" s="2"/>
      <c r="W37" s="31">
        <f t="shared" si="20"/>
        <v>0</v>
      </c>
      <c r="X37" s="95">
        <f t="shared" si="21"/>
        <v>0</v>
      </c>
      <c r="Y37" s="115"/>
      <c r="Z37" s="114"/>
      <c r="AA37" s="114" t="e">
        <f t="shared" si="26"/>
        <v>#DIV/0!</v>
      </c>
    </row>
    <row r="38" spans="1:27" ht="12" customHeight="1" thickTop="1" thickBot="1">
      <c r="A38" s="66" t="s">
        <v>82</v>
      </c>
      <c r="B38" s="67" t="b">
        <f>IF($D36&lt;0,EXP((I$9/$D38)+I$10+(I$11*$D38)+(I$12*($D38^2))+(I$13*($D38^3))+(I$14*($D38^4))+(I$15*LN($D38))))</f>
        <v>0</v>
      </c>
      <c r="C38" s="68">
        <f>IF($D36&gt;0,EXP(K$9/$D38+K$10+K$11*$D38+K$12*$D38^2+K$13*$D38^3+K$14*LN($D38)))</f>
        <v>3474.1324243919576</v>
      </c>
      <c r="D38" s="86">
        <f>D36+273</f>
        <v>299.7</v>
      </c>
      <c r="E38" s="86">
        <f>E36+273</f>
        <v>275</v>
      </c>
      <c r="F38" s="87"/>
      <c r="G38" s="6">
        <f t="shared" si="15"/>
        <v>0</v>
      </c>
      <c r="H38" s="8">
        <f t="shared" si="22"/>
        <v>0</v>
      </c>
      <c r="I38" s="10">
        <f t="shared" si="23"/>
        <v>0</v>
      </c>
      <c r="J38" s="6">
        <f t="shared" si="16"/>
        <v>0</v>
      </c>
      <c r="K38" s="8">
        <f t="shared" si="24"/>
        <v>0</v>
      </c>
      <c r="L38" s="19">
        <f t="shared" si="25"/>
        <v>0</v>
      </c>
      <c r="M38" s="25">
        <v>0.2</v>
      </c>
      <c r="N38" s="25">
        <v>0.2</v>
      </c>
      <c r="O38" s="17">
        <f t="shared" si="17"/>
        <v>0.4</v>
      </c>
      <c r="P38" s="2"/>
      <c r="Q38" s="33">
        <f t="shared" si="18"/>
        <v>0</v>
      </c>
      <c r="R38" s="29">
        <f t="shared" si="18"/>
        <v>0</v>
      </c>
      <c r="S38" s="25">
        <v>0.2</v>
      </c>
      <c r="T38" s="25">
        <v>0.2</v>
      </c>
      <c r="U38" s="17">
        <f t="shared" si="19"/>
        <v>0.4</v>
      </c>
      <c r="V38" s="2"/>
      <c r="W38" s="31">
        <f t="shared" si="20"/>
        <v>0</v>
      </c>
      <c r="X38" s="95">
        <f t="shared" si="21"/>
        <v>0</v>
      </c>
      <c r="Y38" s="115"/>
      <c r="Z38" s="114"/>
      <c r="AA38" s="114" t="e">
        <f t="shared" si="26"/>
        <v>#DIV/0!</v>
      </c>
    </row>
    <row r="39" spans="1:27" ht="12" customHeight="1" thickTop="1">
      <c r="A39" s="83" t="s">
        <v>84</v>
      </c>
      <c r="B39" s="88" t="e">
        <f>IF(B37=FALSE,C37/B38,B37/B38)</f>
        <v>#DIV/0!</v>
      </c>
      <c r="C39" s="89">
        <f>IF(C37=FALSE,B37/C38,C37/C38)</f>
        <v>0.20103512856589742</v>
      </c>
      <c r="D39" s="90" t="s">
        <v>85</v>
      </c>
      <c r="E39" s="91"/>
      <c r="F39" s="91"/>
      <c r="G39" s="6">
        <f t="shared" si="15"/>
        <v>0</v>
      </c>
      <c r="H39" s="8">
        <f t="shared" si="22"/>
        <v>0</v>
      </c>
      <c r="I39" s="10">
        <f t="shared" si="23"/>
        <v>0</v>
      </c>
      <c r="J39" s="6">
        <f t="shared" si="16"/>
        <v>0</v>
      </c>
      <c r="K39" s="8">
        <f t="shared" si="24"/>
        <v>0</v>
      </c>
      <c r="L39" s="19">
        <f t="shared" si="25"/>
        <v>0</v>
      </c>
      <c r="M39" s="25">
        <v>0.25</v>
      </c>
      <c r="N39" s="25">
        <v>0.25</v>
      </c>
      <c r="O39" s="17">
        <f t="shared" si="17"/>
        <v>0.5</v>
      </c>
      <c r="P39" s="2"/>
      <c r="Q39" s="33">
        <f t="shared" si="18"/>
        <v>0</v>
      </c>
      <c r="R39" s="29">
        <f t="shared" si="18"/>
        <v>0</v>
      </c>
      <c r="S39" s="25">
        <v>0.25</v>
      </c>
      <c r="T39" s="25">
        <v>0.25</v>
      </c>
      <c r="U39" s="17">
        <f t="shared" si="19"/>
        <v>0.5</v>
      </c>
      <c r="V39" s="2"/>
      <c r="W39" s="31">
        <f t="shared" si="20"/>
        <v>0</v>
      </c>
      <c r="X39" s="95">
        <f t="shared" si="21"/>
        <v>0</v>
      </c>
      <c r="Y39" s="115"/>
      <c r="Z39" s="114"/>
      <c r="AA39" s="114" t="e">
        <f t="shared" si="26"/>
        <v>#DIV/0!</v>
      </c>
    </row>
    <row r="40" spans="1:27" ht="12" customHeight="1">
      <c r="A40" s="70"/>
      <c r="B40" s="71" t="s">
        <v>87</v>
      </c>
      <c r="C40" s="72" t="s">
        <v>87</v>
      </c>
      <c r="D40" s="73" t="s">
        <v>88</v>
      </c>
      <c r="E40" s="74">
        <f>(1+R32)/(287.055*(D36+273)*(1+1.6078*R32)/(F36*1000))</f>
        <v>1.1591497753474427</v>
      </c>
      <c r="F40" s="75">
        <f>(1+R32)/(287.055*(D36+273)*(1+1.6078*R32)/(F36*1000))</f>
        <v>1.1591497753474427</v>
      </c>
      <c r="G40" s="6">
        <f t="shared" si="15"/>
        <v>0</v>
      </c>
      <c r="H40" s="8">
        <f t="shared" si="22"/>
        <v>0</v>
      </c>
      <c r="I40" s="10">
        <f t="shared" si="23"/>
        <v>0</v>
      </c>
      <c r="J40" s="6">
        <f t="shared" si="16"/>
        <v>0</v>
      </c>
      <c r="K40" s="8">
        <f t="shared" si="24"/>
        <v>0</v>
      </c>
      <c r="L40" s="19">
        <f t="shared" si="25"/>
        <v>0</v>
      </c>
      <c r="M40" s="25">
        <v>0.3</v>
      </c>
      <c r="N40" s="25">
        <v>0.3</v>
      </c>
      <c r="O40" s="17">
        <f t="shared" si="17"/>
        <v>0.6</v>
      </c>
      <c r="P40" s="2"/>
      <c r="Q40" s="33">
        <f t="shared" si="18"/>
        <v>0</v>
      </c>
      <c r="R40" s="29">
        <f t="shared" si="18"/>
        <v>0</v>
      </c>
      <c r="S40" s="25">
        <v>0.3</v>
      </c>
      <c r="T40" s="25">
        <v>0.3</v>
      </c>
      <c r="U40" s="17">
        <f t="shared" si="19"/>
        <v>0.6</v>
      </c>
      <c r="V40" s="2"/>
      <c r="W40" s="31">
        <f t="shared" si="20"/>
        <v>0</v>
      </c>
      <c r="X40" s="95">
        <f t="shared" si="21"/>
        <v>0</v>
      </c>
      <c r="Y40" s="115"/>
      <c r="Z40" s="114"/>
      <c r="AA40" s="114" t="e">
        <f t="shared" si="26"/>
        <v>#DIV/0!</v>
      </c>
    </row>
    <row r="41" spans="1:27" ht="12" customHeight="1">
      <c r="G41" s="6">
        <f t="shared" si="15"/>
        <v>0</v>
      </c>
      <c r="H41" s="8">
        <f t="shared" si="22"/>
        <v>0</v>
      </c>
      <c r="I41" s="10">
        <f t="shared" si="23"/>
        <v>0</v>
      </c>
      <c r="J41" s="6">
        <f t="shared" si="16"/>
        <v>0</v>
      </c>
      <c r="K41" s="8">
        <f t="shared" si="24"/>
        <v>0</v>
      </c>
      <c r="L41" s="19">
        <f t="shared" si="25"/>
        <v>0</v>
      </c>
      <c r="M41" s="25">
        <v>0.4</v>
      </c>
      <c r="N41" s="25">
        <v>0.4</v>
      </c>
      <c r="O41" s="17">
        <f t="shared" si="17"/>
        <v>0.8</v>
      </c>
      <c r="P41" s="2"/>
      <c r="Q41" s="33">
        <f t="shared" si="18"/>
        <v>0</v>
      </c>
      <c r="R41" s="29">
        <f t="shared" si="18"/>
        <v>0</v>
      </c>
      <c r="S41" s="25">
        <v>0.4</v>
      </c>
      <c r="T41" s="25">
        <v>0.4</v>
      </c>
      <c r="U41" s="17">
        <f t="shared" si="19"/>
        <v>0.8</v>
      </c>
      <c r="V41" s="2"/>
      <c r="W41" s="31">
        <f t="shared" si="20"/>
        <v>0</v>
      </c>
      <c r="X41" s="95">
        <f t="shared" si="21"/>
        <v>0</v>
      </c>
      <c r="Y41" s="115"/>
      <c r="Z41" s="114"/>
      <c r="AA41" s="114" t="e">
        <f t="shared" si="26"/>
        <v>#DIV/0!</v>
      </c>
    </row>
    <row r="42" spans="1:27" ht="12" customHeight="1">
      <c r="G42" s="6">
        <f t="shared" si="15"/>
        <v>0</v>
      </c>
      <c r="H42" s="8">
        <f t="shared" si="22"/>
        <v>0</v>
      </c>
      <c r="I42" s="10">
        <f t="shared" si="23"/>
        <v>0</v>
      </c>
      <c r="J42" s="6">
        <f t="shared" si="16"/>
        <v>0</v>
      </c>
      <c r="K42" s="8">
        <f t="shared" si="24"/>
        <v>0</v>
      </c>
      <c r="L42" s="19">
        <f t="shared" si="25"/>
        <v>0</v>
      </c>
      <c r="M42" s="25">
        <v>0.5</v>
      </c>
      <c r="N42" s="25">
        <v>0.5</v>
      </c>
      <c r="O42" s="17">
        <f t="shared" si="17"/>
        <v>1</v>
      </c>
      <c r="P42" s="2"/>
      <c r="Q42" s="33">
        <f t="shared" si="18"/>
        <v>0</v>
      </c>
      <c r="R42" s="29">
        <f t="shared" si="18"/>
        <v>0</v>
      </c>
      <c r="S42" s="25">
        <v>0.5</v>
      </c>
      <c r="T42" s="25">
        <v>0.5</v>
      </c>
      <c r="U42" s="17">
        <f t="shared" si="19"/>
        <v>1</v>
      </c>
      <c r="V42" s="2"/>
      <c r="W42" s="31">
        <f t="shared" si="20"/>
        <v>0</v>
      </c>
      <c r="X42" s="95">
        <f t="shared" si="21"/>
        <v>0</v>
      </c>
      <c r="Y42" s="115"/>
      <c r="Z42" s="114"/>
      <c r="AA42" s="114"/>
    </row>
    <row r="43" spans="1:27" ht="12" customHeight="1" thickBot="1">
      <c r="G43" s="6">
        <f t="shared" si="15"/>
        <v>0</v>
      </c>
      <c r="H43" s="8">
        <f t="shared" si="22"/>
        <v>0</v>
      </c>
      <c r="I43" s="10">
        <f t="shared" si="23"/>
        <v>0</v>
      </c>
      <c r="J43" s="6">
        <f t="shared" si="16"/>
        <v>0</v>
      </c>
      <c r="K43" s="8">
        <f t="shared" si="24"/>
        <v>0</v>
      </c>
      <c r="L43" s="19">
        <f t="shared" si="25"/>
        <v>0</v>
      </c>
      <c r="M43" s="26">
        <v>0.6</v>
      </c>
      <c r="N43" s="26">
        <v>0.6</v>
      </c>
      <c r="O43" s="27">
        <f t="shared" si="17"/>
        <v>1.2</v>
      </c>
      <c r="P43" s="28"/>
      <c r="Q43" s="34">
        <f t="shared" si="18"/>
        <v>0</v>
      </c>
      <c r="R43" s="30">
        <f t="shared" si="18"/>
        <v>0</v>
      </c>
      <c r="S43" s="26">
        <v>0.6</v>
      </c>
      <c r="T43" s="26">
        <v>0.6</v>
      </c>
      <c r="U43" s="27">
        <f t="shared" si="19"/>
        <v>1.2</v>
      </c>
      <c r="V43" s="28"/>
      <c r="W43" s="32">
        <f t="shared" si="20"/>
        <v>0</v>
      </c>
      <c r="X43" s="96">
        <f t="shared" si="21"/>
        <v>0</v>
      </c>
      <c r="Y43" s="116"/>
      <c r="Z43" s="114"/>
      <c r="AA43" s="114"/>
    </row>
    <row r="44" spans="1:27" ht="13.5" customHeight="1">
      <c r="M44" s="196" t="s">
        <v>115</v>
      </c>
      <c r="N44" s="197"/>
      <c r="O44" s="197"/>
      <c r="P44" s="197"/>
      <c r="Q44" s="197"/>
      <c r="R44" s="197"/>
      <c r="S44" s="197"/>
      <c r="T44" s="197"/>
      <c r="U44" s="198"/>
      <c r="V44" s="14"/>
      <c r="W44" s="14"/>
    </row>
    <row r="45" spans="1:27">
      <c r="M45" s="12" t="s">
        <v>0</v>
      </c>
      <c r="N45" s="201" t="s">
        <v>9</v>
      </c>
      <c r="O45" s="201"/>
      <c r="P45" s="199" t="s">
        <v>10</v>
      </c>
      <c r="Q45" s="200"/>
      <c r="R45" s="80" t="s">
        <v>90</v>
      </c>
      <c r="S45" s="80" t="s">
        <v>92</v>
      </c>
      <c r="T45" s="13" t="s">
        <v>12</v>
      </c>
      <c r="U45" s="13" t="s">
        <v>11</v>
      </c>
      <c r="V45" s="35" t="s">
        <v>13</v>
      </c>
      <c r="W45" s="36" t="s">
        <v>52</v>
      </c>
      <c r="X45" s="37" t="s">
        <v>53</v>
      </c>
    </row>
    <row r="46" spans="1:27" ht="12" thickBot="1">
      <c r="M46" s="82">
        <v>0.51900000000000002</v>
      </c>
      <c r="N46" s="22">
        <v>1004.3</v>
      </c>
      <c r="O46" s="41">
        <f>N46/33.8638816</f>
        <v>29.656966435885483</v>
      </c>
      <c r="P46" s="23">
        <v>26.1</v>
      </c>
      <c r="Q46" s="40">
        <f xml:space="preserve"> (9/5)*P46+32</f>
        <v>78.98</v>
      </c>
      <c r="R46" s="81">
        <f>0.62198*((M46*IF($C$51=FALSE,$B$51,$C$51)/($F$50*1000-(M46*IF($C$51=FALSE,$B$51,$C$51)))))</f>
        <v>2.2530403395432637E-3</v>
      </c>
      <c r="S46" s="78">
        <f>IF(C52=FALSE,E54,F54)</f>
        <v>1.1681240182071473</v>
      </c>
      <c r="T46" s="38">
        <f>U46*2.54/100</f>
        <v>0.127</v>
      </c>
      <c r="U46" s="24">
        <v>5</v>
      </c>
      <c r="V46" s="39">
        <f>U46*0.08333333</f>
        <v>0.41666664999999997</v>
      </c>
      <c r="W46" s="51">
        <f>IF(U46=5,$W$14,IF(U46=4,$U$14))</f>
        <v>0.69879999999999998</v>
      </c>
      <c r="X46" s="51">
        <f>IF(U46=5,$W$15,IF(U46=4,$U$15))</f>
        <v>0.71140000000000003</v>
      </c>
    </row>
    <row r="47" spans="1:27" ht="12" thickBot="1">
      <c r="M47" s="191" t="s">
        <v>50</v>
      </c>
      <c r="N47" s="192"/>
      <c r="O47" s="192"/>
      <c r="P47" s="192"/>
      <c r="Q47" s="192"/>
      <c r="R47" s="193"/>
      <c r="S47" s="191" t="s">
        <v>51</v>
      </c>
      <c r="T47" s="192"/>
      <c r="U47" s="192"/>
      <c r="V47" s="192"/>
      <c r="W47" s="192"/>
      <c r="X47" s="194"/>
      <c r="Y47" s="97" t="s">
        <v>116</v>
      </c>
      <c r="Z47" s="112" t="s">
        <v>90</v>
      </c>
      <c r="AA47" s="112" t="s">
        <v>123</v>
      </c>
    </row>
    <row r="48" spans="1:27" ht="24" thickTop="1" thickBot="1">
      <c r="A48" s="53" t="s">
        <v>63</v>
      </c>
      <c r="B48" s="54"/>
      <c r="C48" s="54"/>
      <c r="D48" s="79" t="s">
        <v>64</v>
      </c>
      <c r="E48" s="79"/>
      <c r="F48" s="79"/>
      <c r="G48" s="11" t="s">
        <v>7</v>
      </c>
      <c r="H48" s="7" t="s">
        <v>47</v>
      </c>
      <c r="I48" s="9" t="s">
        <v>46</v>
      </c>
      <c r="J48" s="11" t="s">
        <v>35</v>
      </c>
      <c r="K48" s="7" t="s">
        <v>48</v>
      </c>
      <c r="L48" s="18" t="s">
        <v>49</v>
      </c>
      <c r="M48" s="49" t="s">
        <v>40</v>
      </c>
      <c r="N48" s="46" t="s">
        <v>41</v>
      </c>
      <c r="O48" s="47" t="s">
        <v>44</v>
      </c>
      <c r="P48" s="48" t="s">
        <v>8</v>
      </c>
      <c r="Q48" s="42" t="s">
        <v>103</v>
      </c>
      <c r="R48" s="50" t="s">
        <v>104</v>
      </c>
      <c r="S48" s="52" t="s">
        <v>42</v>
      </c>
      <c r="T48" s="44" t="s">
        <v>43</v>
      </c>
      <c r="U48" s="45" t="s">
        <v>45</v>
      </c>
      <c r="V48" s="44" t="s">
        <v>34</v>
      </c>
      <c r="W48" s="43" t="s">
        <v>105</v>
      </c>
      <c r="X48" s="94" t="s">
        <v>106</v>
      </c>
      <c r="Y48" s="115"/>
      <c r="Z48" s="114"/>
      <c r="AA48" s="114"/>
    </row>
    <row r="49" spans="1:44" ht="12" customHeight="1" thickTop="1" thickBot="1">
      <c r="A49" s="57" t="s">
        <v>62</v>
      </c>
      <c r="B49" s="58"/>
      <c r="C49" s="58"/>
      <c r="D49" s="59" t="s">
        <v>70</v>
      </c>
      <c r="E49" s="92" t="s">
        <v>71</v>
      </c>
      <c r="F49" s="60" t="s">
        <v>72</v>
      </c>
      <c r="G49" s="6">
        <f t="shared" ref="G49:G57" si="27">P49*249.082</f>
        <v>0</v>
      </c>
      <c r="H49" s="8">
        <f>PI()*POWER(($T$46/2),2)*3600*$W$46*SQRT((2*G49)/$S$46)</f>
        <v>0</v>
      </c>
      <c r="I49" s="10">
        <f>(293/(273+$P$46))*(($N$46*100)/101325)*H49</f>
        <v>0</v>
      </c>
      <c r="J49" s="6">
        <f t="shared" ref="J49:J57" si="28">V49*249.08200826</f>
        <v>0</v>
      </c>
      <c r="K49" s="8">
        <f>PI()*POWER(($T$46/2),2)*3600*$X$46*SQRT((2*J49)/$S$46)</f>
        <v>0</v>
      </c>
      <c r="L49" s="19">
        <f>(293/(273+$P$46))*(($N$46*100)/101325)*K49</f>
        <v>0</v>
      </c>
      <c r="M49" s="25">
        <v>0.05</v>
      </c>
      <c r="N49" s="25">
        <v>0.05</v>
      </c>
      <c r="O49" s="17">
        <f t="shared" ref="O49:O57" si="29">M49+N49</f>
        <v>0.1</v>
      </c>
      <c r="P49" s="2"/>
      <c r="Q49" s="33">
        <f t="shared" ref="Q49:Q57" si="30">0.5885777786626*H49</f>
        <v>0</v>
      </c>
      <c r="R49" s="29">
        <f t="shared" ref="R49:R57" si="31">0.5885777786626*I49</f>
        <v>0</v>
      </c>
      <c r="S49" s="25">
        <v>0.05</v>
      </c>
      <c r="T49" s="25">
        <v>0.05</v>
      </c>
      <c r="U49" s="17">
        <f t="shared" ref="U49:U57" si="32">S49+T49</f>
        <v>0.1</v>
      </c>
      <c r="V49" s="2"/>
      <c r="W49" s="31">
        <f t="shared" ref="W49:W57" si="33">0.5885777786626*K49</f>
        <v>0</v>
      </c>
      <c r="X49" s="95">
        <f>0.5885777786626*L49</f>
        <v>0</v>
      </c>
      <c r="Y49" s="115"/>
      <c r="Z49" s="114"/>
      <c r="AA49" s="114" t="e">
        <f>Z49/Y49</f>
        <v>#DIV/0!</v>
      </c>
    </row>
    <row r="50" spans="1:44" ht="12" customHeight="1" thickTop="1" thickBot="1">
      <c r="A50" s="55" t="s">
        <v>74</v>
      </c>
      <c r="B50" s="56" t="s">
        <v>75</v>
      </c>
      <c r="C50" s="64" t="s">
        <v>76</v>
      </c>
      <c r="D50" s="65">
        <f>P46</f>
        <v>26.1</v>
      </c>
      <c r="E50" s="93">
        <v>2</v>
      </c>
      <c r="F50" s="65">
        <f>N46/10</f>
        <v>100.42999999999999</v>
      </c>
      <c r="G50" s="6">
        <f t="shared" si="27"/>
        <v>0</v>
      </c>
      <c r="H50" s="8">
        <f t="shared" ref="H50:H57" si="34">PI()*POWER(($T$18/2),2)*3600*$W$18*SQRT((2*G50)/$S$18)</f>
        <v>0</v>
      </c>
      <c r="I50" s="10">
        <f t="shared" ref="I50:I57" si="35">(293/(273+$P$18))*(($N$18*100)/101325)*H50</f>
        <v>0</v>
      </c>
      <c r="J50" s="6">
        <f t="shared" si="28"/>
        <v>0</v>
      </c>
      <c r="K50" s="8">
        <f t="shared" ref="K50:K53" si="36">PI()*POWER(($T$46/2),2)*3600*$X$46*SQRT((2*J50)/$S$46)</f>
        <v>0</v>
      </c>
      <c r="L50" s="19">
        <f t="shared" ref="L50:L56" si="37">(293/(273+$P$46))*(($N$46*100)/101325)*K50</f>
        <v>0</v>
      </c>
      <c r="M50" s="25">
        <v>0.1</v>
      </c>
      <c r="N50" s="25">
        <v>0.1</v>
      </c>
      <c r="O50" s="17">
        <f t="shared" si="29"/>
        <v>0.2</v>
      </c>
      <c r="P50" s="2"/>
      <c r="Q50" s="33">
        <f t="shared" si="30"/>
        <v>0</v>
      </c>
      <c r="R50" s="29">
        <f t="shared" si="31"/>
        <v>0</v>
      </c>
      <c r="S50" s="25">
        <v>0.1</v>
      </c>
      <c r="T50" s="25">
        <v>0.1</v>
      </c>
      <c r="U50" s="17">
        <f t="shared" si="32"/>
        <v>0.2</v>
      </c>
      <c r="V50" s="2"/>
      <c r="W50" s="31">
        <f t="shared" si="33"/>
        <v>0</v>
      </c>
      <c r="X50" s="95">
        <f t="shared" ref="X50:X57" si="38">0.5885777786626*L50</f>
        <v>0</v>
      </c>
      <c r="Y50" s="115"/>
      <c r="Z50" s="114"/>
      <c r="AA50" s="114" t="e">
        <f>Z50/Y50</f>
        <v>#DIV/0!</v>
      </c>
    </row>
    <row r="51" spans="1:44" ht="12" customHeight="1" thickTop="1" thickBot="1">
      <c r="A51" s="66" t="s">
        <v>78</v>
      </c>
      <c r="B51" s="67" t="b">
        <f>IF($E50&lt;0,EXP((I$9/$E52)+I$10+(I$11*$E52)+(I$12*($E52^2))+(I$13*($E52^3))+(I$14*($E52^4))+(I$15*LN($E52))))</f>
        <v>0</v>
      </c>
      <c r="C51" s="68">
        <f>IF($E50&gt;0,EXP(K$9/$E52+K$10+K$11*$E52+K$12*$E52^2+K$13*$E52^3+K$14*LN($E52)))</f>
        <v>698.4226585925901</v>
      </c>
      <c r="D51" s="59" t="s">
        <v>79</v>
      </c>
      <c r="E51" s="92" t="s">
        <v>80</v>
      </c>
      <c r="F51" s="69"/>
      <c r="G51" s="6">
        <f t="shared" si="27"/>
        <v>0</v>
      </c>
      <c r="H51" s="8">
        <f t="shared" si="34"/>
        <v>0</v>
      </c>
      <c r="I51" s="10">
        <f t="shared" si="35"/>
        <v>0</v>
      </c>
      <c r="J51" s="6">
        <f t="shared" si="28"/>
        <v>0</v>
      </c>
      <c r="K51" s="8">
        <f t="shared" si="36"/>
        <v>0</v>
      </c>
      <c r="L51" s="19">
        <f t="shared" si="37"/>
        <v>0</v>
      </c>
      <c r="M51" s="25">
        <v>0.15</v>
      </c>
      <c r="N51" s="25">
        <v>0.15</v>
      </c>
      <c r="O51" s="17">
        <f t="shared" si="29"/>
        <v>0.3</v>
      </c>
      <c r="P51" s="2"/>
      <c r="Q51" s="33">
        <f t="shared" si="30"/>
        <v>0</v>
      </c>
      <c r="R51" s="29">
        <f t="shared" si="31"/>
        <v>0</v>
      </c>
      <c r="S51" s="25">
        <v>0.15</v>
      </c>
      <c r="T51" s="25">
        <v>0.15</v>
      </c>
      <c r="U51" s="17">
        <f t="shared" si="32"/>
        <v>0.3</v>
      </c>
      <c r="V51" s="2"/>
      <c r="W51" s="31">
        <f t="shared" si="33"/>
        <v>0</v>
      </c>
      <c r="X51" s="95">
        <f t="shared" si="38"/>
        <v>0</v>
      </c>
      <c r="Y51" s="115"/>
      <c r="Z51" s="114"/>
      <c r="AA51" s="114" t="e">
        <f t="shared" ref="AA51:AA57" si="39">Z51/Y51</f>
        <v>#DIV/0!</v>
      </c>
      <c r="AK51" s="136" t="s">
        <v>124</v>
      </c>
      <c r="AL51" s="145" t="s">
        <v>125</v>
      </c>
      <c r="AM51" s="146"/>
      <c r="AN51" s="138" t="s">
        <v>126</v>
      </c>
      <c r="AO51" s="139"/>
      <c r="AP51" s="139"/>
      <c r="AQ51" s="140"/>
      <c r="AR51"/>
    </row>
    <row r="52" spans="1:44" ht="12" customHeight="1" thickTop="1" thickBot="1">
      <c r="A52" s="83" t="s">
        <v>82</v>
      </c>
      <c r="B52" s="84" t="b">
        <f>IF($D50&lt;0,EXP((I$9/$D52)+I$10+(I$11*$D52)+(I$12*($D52^2))+(I$13*($D52^3))+(I$14*($D52^4))+(I$15*LN($D52))))</f>
        <v>0</v>
      </c>
      <c r="C52" s="85">
        <f>IF($D50&gt;0,EXP(K$9/$D52+K$10+K$11*$D52+K$12*$D52^2+K$13*$D52^3+K$14*LN($D52)))</f>
        <v>3353.1965273440592</v>
      </c>
      <c r="D52" s="86">
        <f>D50+273</f>
        <v>299.10000000000002</v>
      </c>
      <c r="E52" s="86">
        <f>E50+273</f>
        <v>275</v>
      </c>
      <c r="F52" s="87"/>
      <c r="G52" s="6">
        <f t="shared" si="27"/>
        <v>0</v>
      </c>
      <c r="H52" s="8">
        <f t="shared" si="34"/>
        <v>0</v>
      </c>
      <c r="I52" s="10">
        <f t="shared" si="35"/>
        <v>0</v>
      </c>
      <c r="J52" s="6">
        <f t="shared" si="28"/>
        <v>0</v>
      </c>
      <c r="K52" s="8">
        <f t="shared" si="36"/>
        <v>0</v>
      </c>
      <c r="L52" s="19">
        <f t="shared" si="37"/>
        <v>0</v>
      </c>
      <c r="M52" s="25">
        <v>0.2</v>
      </c>
      <c r="N52" s="25">
        <v>0.2</v>
      </c>
      <c r="O52" s="17">
        <f t="shared" si="29"/>
        <v>0.4</v>
      </c>
      <c r="P52" s="2"/>
      <c r="Q52" s="33">
        <f t="shared" si="30"/>
        <v>0</v>
      </c>
      <c r="R52" s="29">
        <f t="shared" si="31"/>
        <v>0</v>
      </c>
      <c r="S52" s="25">
        <v>0.2</v>
      </c>
      <c r="T52" s="25">
        <v>0.2</v>
      </c>
      <c r="U52" s="17">
        <f t="shared" si="32"/>
        <v>0.4</v>
      </c>
      <c r="V52" s="2"/>
      <c r="W52" s="31">
        <f t="shared" si="33"/>
        <v>0</v>
      </c>
      <c r="X52" s="95">
        <f t="shared" si="38"/>
        <v>0</v>
      </c>
      <c r="Y52" s="115"/>
      <c r="Z52" s="114"/>
      <c r="AA52" s="114" t="e">
        <f t="shared" si="39"/>
        <v>#DIV/0!</v>
      </c>
      <c r="AK52" s="137"/>
      <c r="AL52" s="144" t="s">
        <v>134</v>
      </c>
      <c r="AM52" s="142"/>
      <c r="AN52" s="141" t="s">
        <v>127</v>
      </c>
      <c r="AO52" s="142"/>
      <c r="AP52" s="141" t="s">
        <v>128</v>
      </c>
      <c r="AQ52" s="143"/>
      <c r="AR52"/>
    </row>
    <row r="53" spans="1:44" ht="12" customHeight="1" thickTop="1" thickBot="1">
      <c r="A53" s="83" t="s">
        <v>84</v>
      </c>
      <c r="B53" s="88" t="e">
        <f>IF(B51=FALSE,C51/B52,B51/B52)</f>
        <v>#DIV/0!</v>
      </c>
      <c r="C53" s="89">
        <f>IF(C51=FALSE,B51/C52,C51/C52)</f>
        <v>0.20828563220115953</v>
      </c>
      <c r="D53" s="90" t="s">
        <v>85</v>
      </c>
      <c r="E53" s="91"/>
      <c r="F53" s="91"/>
      <c r="G53" s="6">
        <f t="shared" si="27"/>
        <v>0</v>
      </c>
      <c r="H53" s="8">
        <f t="shared" si="34"/>
        <v>0</v>
      </c>
      <c r="I53" s="10">
        <f t="shared" si="35"/>
        <v>0</v>
      </c>
      <c r="J53" s="6">
        <f t="shared" si="28"/>
        <v>0</v>
      </c>
      <c r="K53" s="8">
        <f t="shared" si="36"/>
        <v>0</v>
      </c>
      <c r="L53" s="19">
        <f t="shared" si="37"/>
        <v>0</v>
      </c>
      <c r="M53" s="25">
        <v>0.25</v>
      </c>
      <c r="N53" s="25">
        <v>0.25</v>
      </c>
      <c r="O53" s="17">
        <f t="shared" si="29"/>
        <v>0.5</v>
      </c>
      <c r="P53" s="2"/>
      <c r="Q53" s="33">
        <f t="shared" si="30"/>
        <v>0</v>
      </c>
      <c r="R53" s="29">
        <f t="shared" si="31"/>
        <v>0</v>
      </c>
      <c r="S53" s="25">
        <v>0.25</v>
      </c>
      <c r="T53" s="25">
        <v>0.25</v>
      </c>
      <c r="U53" s="17">
        <f t="shared" si="32"/>
        <v>0.5</v>
      </c>
      <c r="V53" s="2"/>
      <c r="W53" s="31">
        <f t="shared" si="33"/>
        <v>0</v>
      </c>
      <c r="X53" s="95">
        <f t="shared" si="38"/>
        <v>0</v>
      </c>
      <c r="Y53" s="115"/>
      <c r="Z53" s="114"/>
      <c r="AA53" s="114" t="e">
        <f t="shared" si="39"/>
        <v>#DIV/0!</v>
      </c>
      <c r="AJ53" s="134" t="s">
        <v>129</v>
      </c>
      <c r="AK53" s="134" t="s">
        <v>130</v>
      </c>
      <c r="AL53" s="135" t="s">
        <v>131</v>
      </c>
      <c r="AM53" s="135" t="s">
        <v>132</v>
      </c>
      <c r="AN53" s="135" t="s">
        <v>131</v>
      </c>
      <c r="AO53" s="135" t="s">
        <v>132</v>
      </c>
      <c r="AP53" s="135" t="s">
        <v>131</v>
      </c>
      <c r="AQ53" s="135" t="s">
        <v>132</v>
      </c>
      <c r="AR53" s="134" t="s">
        <v>133</v>
      </c>
    </row>
    <row r="54" spans="1:44" ht="12" customHeight="1" thickBot="1">
      <c r="A54" s="70"/>
      <c r="B54" s="71" t="s">
        <v>87</v>
      </c>
      <c r="C54" s="72" t="s">
        <v>87</v>
      </c>
      <c r="D54" s="73" t="s">
        <v>88</v>
      </c>
      <c r="E54" s="74">
        <f>(1+R46)/(287.055*(D50+273)*(1+1.6078*R46)/(F50*1000))</f>
        <v>1.1681240182071473</v>
      </c>
      <c r="F54" s="75">
        <f>(1+R46)/(287.055*(D50+273)*(1+1.6078*R46)/(F50*1000))</f>
        <v>1.1681240182071473</v>
      </c>
      <c r="G54" s="6">
        <f t="shared" si="27"/>
        <v>0</v>
      </c>
      <c r="H54" s="8">
        <f t="shared" si="34"/>
        <v>0</v>
      </c>
      <c r="I54" s="10">
        <f t="shared" si="35"/>
        <v>0</v>
      </c>
      <c r="J54" s="6">
        <f t="shared" si="28"/>
        <v>0</v>
      </c>
      <c r="K54" s="8">
        <f t="shared" ref="K54:K57" si="40">PI()*POWER(($T$18/2),2)*3600*$X$18*SQRT((2*J54)/$S$18)</f>
        <v>0</v>
      </c>
      <c r="L54" s="19">
        <f t="shared" si="37"/>
        <v>0</v>
      </c>
      <c r="M54" s="25">
        <v>0.3</v>
      </c>
      <c r="N54" s="25">
        <v>0.3</v>
      </c>
      <c r="O54" s="17">
        <f t="shared" si="29"/>
        <v>0.6</v>
      </c>
      <c r="P54" s="2"/>
      <c r="Q54" s="33">
        <f t="shared" si="30"/>
        <v>0</v>
      </c>
      <c r="R54" s="29">
        <f t="shared" si="31"/>
        <v>0</v>
      </c>
      <c r="S54" s="25">
        <v>0.3</v>
      </c>
      <c r="T54" s="25">
        <v>0.3</v>
      </c>
      <c r="U54" s="17">
        <f t="shared" si="32"/>
        <v>0.6</v>
      </c>
      <c r="V54" s="2"/>
      <c r="W54" s="31">
        <f t="shared" si="33"/>
        <v>0</v>
      </c>
      <c r="X54" s="95">
        <f t="shared" si="38"/>
        <v>0</v>
      </c>
      <c r="Y54" s="115"/>
      <c r="Z54" s="114"/>
      <c r="AA54" s="114" t="e">
        <f t="shared" si="39"/>
        <v>#DIV/0!</v>
      </c>
      <c r="AJ54" s="133">
        <v>25</v>
      </c>
      <c r="AK54" s="133">
        <v>0.1</v>
      </c>
      <c r="AL54" s="133">
        <v>54</v>
      </c>
      <c r="AM54" s="133">
        <v>114</v>
      </c>
      <c r="AN54" s="133">
        <v>55</v>
      </c>
      <c r="AO54" s="133">
        <v>117</v>
      </c>
      <c r="AP54" s="133">
        <v>51</v>
      </c>
      <c r="AQ54" s="133">
        <v>109</v>
      </c>
      <c r="AR54" s="133">
        <v>108</v>
      </c>
    </row>
    <row r="55" spans="1:44" ht="12" customHeight="1" thickBot="1">
      <c r="G55" s="6">
        <f t="shared" si="27"/>
        <v>0</v>
      </c>
      <c r="H55" s="8">
        <f t="shared" si="34"/>
        <v>0</v>
      </c>
      <c r="I55" s="10">
        <f t="shared" si="35"/>
        <v>0</v>
      </c>
      <c r="J55" s="6">
        <f t="shared" si="28"/>
        <v>0</v>
      </c>
      <c r="K55" s="8">
        <f t="shared" si="40"/>
        <v>0</v>
      </c>
      <c r="L55" s="19">
        <f t="shared" si="37"/>
        <v>0</v>
      </c>
      <c r="M55" s="25">
        <v>0.4</v>
      </c>
      <c r="N55" s="25">
        <v>0.4</v>
      </c>
      <c r="O55" s="17">
        <f t="shared" si="29"/>
        <v>0.8</v>
      </c>
      <c r="P55" s="2"/>
      <c r="Q55" s="33">
        <f t="shared" si="30"/>
        <v>0</v>
      </c>
      <c r="R55" s="29">
        <f t="shared" si="31"/>
        <v>0</v>
      </c>
      <c r="S55" s="25">
        <v>0.4</v>
      </c>
      <c r="T55" s="25">
        <v>0.31</v>
      </c>
      <c r="U55" s="17">
        <f t="shared" si="32"/>
        <v>0.71</v>
      </c>
      <c r="V55" s="2"/>
      <c r="W55" s="31">
        <f t="shared" si="33"/>
        <v>0</v>
      </c>
      <c r="X55" s="95">
        <f t="shared" si="38"/>
        <v>0</v>
      </c>
      <c r="Y55" s="115"/>
      <c r="Z55" s="114"/>
      <c r="AA55" s="114" t="e">
        <f t="shared" si="39"/>
        <v>#DIV/0!</v>
      </c>
      <c r="AJ55" s="133">
        <v>50</v>
      </c>
      <c r="AK55" s="133">
        <v>0.2</v>
      </c>
      <c r="AL55" s="133">
        <v>50</v>
      </c>
      <c r="AM55" s="133">
        <v>106</v>
      </c>
      <c r="AN55" s="133">
        <v>51</v>
      </c>
      <c r="AO55" s="133">
        <v>108</v>
      </c>
      <c r="AP55" s="133">
        <v>48</v>
      </c>
      <c r="AQ55" s="133">
        <v>102</v>
      </c>
      <c r="AR55" s="133">
        <v>110</v>
      </c>
    </row>
    <row r="56" spans="1:44" ht="12" customHeight="1" thickBot="1">
      <c r="G56" s="6">
        <f t="shared" si="27"/>
        <v>0</v>
      </c>
      <c r="H56" s="8">
        <f t="shared" si="34"/>
        <v>0</v>
      </c>
      <c r="I56" s="10">
        <f t="shared" si="35"/>
        <v>0</v>
      </c>
      <c r="J56" s="6">
        <f t="shared" si="28"/>
        <v>0</v>
      </c>
      <c r="K56" s="8">
        <f t="shared" si="40"/>
        <v>0</v>
      </c>
      <c r="L56" s="19">
        <f t="shared" si="37"/>
        <v>0</v>
      </c>
      <c r="M56" s="25">
        <v>0.5</v>
      </c>
      <c r="N56" s="25">
        <v>0.5</v>
      </c>
      <c r="O56" s="17">
        <f t="shared" si="29"/>
        <v>1</v>
      </c>
      <c r="P56" s="2"/>
      <c r="Q56" s="33">
        <f t="shared" si="30"/>
        <v>0</v>
      </c>
      <c r="R56" s="29">
        <f t="shared" si="31"/>
        <v>0</v>
      </c>
      <c r="S56" s="25">
        <v>0.5</v>
      </c>
      <c r="T56" s="25">
        <v>0.5</v>
      </c>
      <c r="U56" s="17">
        <f t="shared" si="32"/>
        <v>1</v>
      </c>
      <c r="V56" s="2"/>
      <c r="W56" s="31">
        <f t="shared" si="33"/>
        <v>0</v>
      </c>
      <c r="X56" s="95">
        <f t="shared" si="38"/>
        <v>0</v>
      </c>
      <c r="Y56" s="115"/>
      <c r="Z56" s="114"/>
      <c r="AA56" s="114" t="e">
        <f t="shared" si="39"/>
        <v>#DIV/0!</v>
      </c>
      <c r="AJ56" s="133">
        <v>75</v>
      </c>
      <c r="AK56" s="133">
        <v>0.3</v>
      </c>
      <c r="AL56" s="133">
        <v>46</v>
      </c>
      <c r="AM56" s="133">
        <v>98</v>
      </c>
      <c r="AN56" s="133">
        <v>47</v>
      </c>
      <c r="AO56" s="133">
        <v>100</v>
      </c>
      <c r="AP56" s="133">
        <v>45</v>
      </c>
      <c r="AQ56" s="133">
        <v>96</v>
      </c>
      <c r="AR56" s="133">
        <v>108</v>
      </c>
    </row>
    <row r="57" spans="1:44" ht="12" customHeight="1" thickBot="1">
      <c r="G57" s="6">
        <f t="shared" si="27"/>
        <v>0</v>
      </c>
      <c r="H57" s="8">
        <f t="shared" si="34"/>
        <v>0</v>
      </c>
      <c r="I57" s="10">
        <f t="shared" si="35"/>
        <v>0</v>
      </c>
      <c r="J57" s="6">
        <f t="shared" si="28"/>
        <v>0</v>
      </c>
      <c r="K57" s="8">
        <f t="shared" si="40"/>
        <v>0</v>
      </c>
      <c r="L57" s="19">
        <f t="shared" ref="L57" si="41">(293/(273+$P$18))*(($N$18*100)/101325)*K57</f>
        <v>0</v>
      </c>
      <c r="M57" s="26">
        <v>0.6</v>
      </c>
      <c r="N57" s="26">
        <v>0.6</v>
      </c>
      <c r="O57" s="17">
        <f t="shared" si="29"/>
        <v>1.2</v>
      </c>
      <c r="P57" s="28"/>
      <c r="Q57" s="34">
        <f t="shared" si="30"/>
        <v>0</v>
      </c>
      <c r="R57" s="30">
        <f t="shared" si="31"/>
        <v>0</v>
      </c>
      <c r="S57" s="26">
        <v>0.6</v>
      </c>
      <c r="T57" s="26">
        <v>0.6</v>
      </c>
      <c r="U57" s="17">
        <f t="shared" si="32"/>
        <v>1.2</v>
      </c>
      <c r="V57" s="28"/>
      <c r="W57" s="32">
        <f t="shared" si="33"/>
        <v>0</v>
      </c>
      <c r="X57" s="96">
        <f t="shared" si="38"/>
        <v>0</v>
      </c>
      <c r="Y57" s="116"/>
      <c r="Z57" s="114"/>
      <c r="AA57" s="114" t="e">
        <f t="shared" si="39"/>
        <v>#DIV/0!</v>
      </c>
      <c r="AJ57" s="133">
        <v>100</v>
      </c>
      <c r="AK57" s="133">
        <v>0.4</v>
      </c>
      <c r="AL57" s="133">
        <v>42</v>
      </c>
      <c r="AM57" s="133">
        <v>90</v>
      </c>
      <c r="AN57" s="133">
        <v>43</v>
      </c>
      <c r="AO57" s="133">
        <v>92</v>
      </c>
      <c r="AP57" s="133">
        <v>42</v>
      </c>
      <c r="AQ57" s="133">
        <v>89</v>
      </c>
      <c r="AR57" s="133">
        <v>110</v>
      </c>
    </row>
    <row r="58" spans="1:44" ht="12" thickBot="1">
      <c r="M58" s="195" t="s">
        <v>39</v>
      </c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J58" s="133">
        <v>125</v>
      </c>
      <c r="AK58" s="133">
        <v>0.5</v>
      </c>
      <c r="AL58" s="133">
        <v>39</v>
      </c>
      <c r="AM58" s="133">
        <v>82</v>
      </c>
      <c r="AN58" s="133">
        <v>40</v>
      </c>
      <c r="AO58" s="133">
        <v>84</v>
      </c>
      <c r="AP58" s="133">
        <v>39</v>
      </c>
      <c r="AQ58" s="133">
        <v>83</v>
      </c>
      <c r="AR58" s="133">
        <v>107</v>
      </c>
    </row>
    <row r="59" spans="1:44" ht="12" thickBot="1">
      <c r="M59" s="12" t="s">
        <v>0</v>
      </c>
      <c r="N59" s="199" t="s">
        <v>9</v>
      </c>
      <c r="O59" s="200"/>
      <c r="P59" s="199" t="s">
        <v>10</v>
      </c>
      <c r="Q59" s="200"/>
      <c r="R59" s="80" t="s">
        <v>90</v>
      </c>
      <c r="S59" s="80" t="s">
        <v>92</v>
      </c>
      <c r="T59" s="13" t="s">
        <v>12</v>
      </c>
      <c r="U59" s="13" t="s">
        <v>11</v>
      </c>
      <c r="V59" s="35" t="s">
        <v>13</v>
      </c>
      <c r="W59" s="36" t="s">
        <v>52</v>
      </c>
      <c r="X59" s="37" t="s">
        <v>53</v>
      </c>
      <c r="AJ59" s="133">
        <v>150</v>
      </c>
      <c r="AK59" s="133">
        <v>0.6</v>
      </c>
      <c r="AL59" s="133">
        <v>35</v>
      </c>
      <c r="AM59" s="133">
        <v>75</v>
      </c>
      <c r="AN59" s="133">
        <v>36</v>
      </c>
      <c r="AO59" s="133">
        <v>77</v>
      </c>
      <c r="AP59" s="133">
        <v>36</v>
      </c>
      <c r="AQ59" s="133">
        <v>76</v>
      </c>
      <c r="AR59" s="133">
        <v>106</v>
      </c>
    </row>
    <row r="60" spans="1:44" ht="22.5" customHeight="1" thickBot="1">
      <c r="M60" s="82">
        <v>0.36099999999999999</v>
      </c>
      <c r="N60" s="22">
        <v>1010</v>
      </c>
      <c r="O60" s="41">
        <f>N60/33.8638816</f>
        <v>29.82528736457666</v>
      </c>
      <c r="P60" s="23">
        <v>26.2</v>
      </c>
      <c r="Q60" s="40">
        <f xml:space="preserve"> (9/5)*P60+32</f>
        <v>79.16</v>
      </c>
      <c r="R60" s="81">
        <f>0.62198*((M60*IF($C$66=FALSE,$B$66,$C$66)/($F$64*1000-(M60*IF($C$66=FALSE,$B$66,$C$66)))))</f>
        <v>7.5902920531996758E-3</v>
      </c>
      <c r="S60" s="78">
        <f>IF(C66=FALSE,E68,F68)</f>
        <v>1.1706059705946632</v>
      </c>
      <c r="T60" s="38">
        <f>U60*2.54/100</f>
        <v>0.127</v>
      </c>
      <c r="U60" s="24">
        <v>5</v>
      </c>
      <c r="V60" s="39">
        <f>U60*0.08333333</f>
        <v>0.41666664999999997</v>
      </c>
      <c r="W60" s="51">
        <f>IF(U60=5,$W$14,IF(U60=4,$U$14))</f>
        <v>0.69879999999999998</v>
      </c>
      <c r="X60" s="51">
        <f>IF(U60=5,$W$15,IF(U60=4,$U$15))</f>
        <v>0.71140000000000003</v>
      </c>
      <c r="AJ60" s="133">
        <v>175</v>
      </c>
      <c r="AK60" s="133">
        <v>0.7</v>
      </c>
      <c r="AL60" s="133">
        <v>32</v>
      </c>
      <c r="AM60" s="133">
        <v>67</v>
      </c>
      <c r="AN60" s="133">
        <v>33</v>
      </c>
      <c r="AO60" s="133">
        <v>69</v>
      </c>
      <c r="AP60" s="133">
        <v>33</v>
      </c>
      <c r="AQ60" s="133">
        <v>70</v>
      </c>
      <c r="AR60" s="133">
        <v>105</v>
      </c>
    </row>
    <row r="61" spans="1:44" ht="12" thickBot="1">
      <c r="M61" s="188" t="s">
        <v>50</v>
      </c>
      <c r="N61" s="189"/>
      <c r="O61" s="189"/>
      <c r="P61" s="189"/>
      <c r="Q61" s="189"/>
      <c r="R61" s="190"/>
      <c r="S61" s="188" t="s">
        <v>51</v>
      </c>
      <c r="T61" s="189"/>
      <c r="U61" s="189"/>
      <c r="V61" s="189"/>
      <c r="W61" s="189"/>
      <c r="X61" s="189"/>
      <c r="AJ61" s="133">
        <v>200</v>
      </c>
      <c r="AK61" s="133">
        <v>0.8</v>
      </c>
      <c r="AL61" s="133">
        <v>29</v>
      </c>
      <c r="AM61" s="133">
        <v>61</v>
      </c>
      <c r="AN61" s="133">
        <v>29</v>
      </c>
      <c r="AO61" s="133">
        <v>62</v>
      </c>
      <c r="AP61" s="133">
        <v>30</v>
      </c>
      <c r="AQ61" s="133">
        <v>63</v>
      </c>
      <c r="AR61" s="133">
        <v>104</v>
      </c>
    </row>
    <row r="62" spans="1:44" ht="24" thickTop="1" thickBot="1">
      <c r="A62" s="53" t="s">
        <v>63</v>
      </c>
      <c r="B62" s="54"/>
      <c r="C62" s="54"/>
      <c r="D62" s="79" t="s">
        <v>64</v>
      </c>
      <c r="E62" s="79"/>
      <c r="F62" s="79"/>
      <c r="G62" s="11" t="s">
        <v>7</v>
      </c>
      <c r="H62" s="7" t="s">
        <v>47</v>
      </c>
      <c r="I62" s="9" t="s">
        <v>46</v>
      </c>
      <c r="J62" s="11" t="s">
        <v>35</v>
      </c>
      <c r="K62" s="7" t="s">
        <v>48</v>
      </c>
      <c r="L62" s="18" t="s">
        <v>49</v>
      </c>
      <c r="M62" s="49" t="s">
        <v>40</v>
      </c>
      <c r="N62" s="46" t="s">
        <v>41</v>
      </c>
      <c r="O62" s="47" t="s">
        <v>44</v>
      </c>
      <c r="P62" s="48" t="s">
        <v>8</v>
      </c>
      <c r="Q62" s="42" t="s">
        <v>56</v>
      </c>
      <c r="R62" s="50" t="s">
        <v>57</v>
      </c>
      <c r="S62" s="52" t="s">
        <v>42</v>
      </c>
      <c r="T62" s="44" t="s">
        <v>43</v>
      </c>
      <c r="U62" s="45" t="s">
        <v>45</v>
      </c>
      <c r="V62" s="44" t="s">
        <v>34</v>
      </c>
      <c r="W62" s="43" t="s">
        <v>54</v>
      </c>
      <c r="X62" s="94" t="s">
        <v>55</v>
      </c>
      <c r="Y62" s="97" t="s">
        <v>116</v>
      </c>
      <c r="Z62" s="112" t="s">
        <v>90</v>
      </c>
      <c r="AA62" s="112" t="s">
        <v>123</v>
      </c>
      <c r="AB62" s="20" t="s">
        <v>36</v>
      </c>
      <c r="AC62" s="20" t="s">
        <v>37</v>
      </c>
      <c r="AD62" s="20" t="s">
        <v>14</v>
      </c>
      <c r="AE62" s="20" t="s">
        <v>38</v>
      </c>
      <c r="AJ62" s="133">
        <v>225</v>
      </c>
      <c r="AK62" s="133">
        <v>0.9</v>
      </c>
      <c r="AL62" s="133">
        <v>25</v>
      </c>
      <c r="AM62" s="133">
        <v>54</v>
      </c>
      <c r="AN62" s="133">
        <v>26</v>
      </c>
      <c r="AO62" s="133">
        <v>55</v>
      </c>
      <c r="AP62" s="133">
        <v>27</v>
      </c>
      <c r="AQ62" s="133">
        <v>57</v>
      </c>
      <c r="AR62" s="133">
        <v>103</v>
      </c>
    </row>
    <row r="63" spans="1:44" ht="18" customHeight="1" thickTop="1" thickBot="1">
      <c r="A63" s="57" t="s">
        <v>62</v>
      </c>
      <c r="B63" s="58"/>
      <c r="C63" s="58"/>
      <c r="D63" s="59" t="s">
        <v>70</v>
      </c>
      <c r="E63" s="92" t="s">
        <v>71</v>
      </c>
      <c r="F63" s="60" t="s">
        <v>72</v>
      </c>
      <c r="G63" s="6">
        <f t="shared" ref="G63:G71" si="42">P63*249.082</f>
        <v>0</v>
      </c>
      <c r="H63" s="8">
        <f>PI()*POWER(($T$60/2),2)*3600*$W$60*SQRT((2*G63)/$S$60)</f>
        <v>0</v>
      </c>
      <c r="I63" s="10">
        <f>(293/(273+$P$60))*(($N$60*100)/101325)*H63</f>
        <v>0</v>
      </c>
      <c r="J63" s="6">
        <f t="shared" ref="J63:J71" si="43">V63*249.08200826</f>
        <v>0</v>
      </c>
      <c r="K63" s="8">
        <f>PI()*POWER(($T$60/2),2)*3600*$X$60*SQRT((2*J63)/$S$60)</f>
        <v>0</v>
      </c>
      <c r="L63" s="19">
        <f>(293/(273+$P$60))*(($N$60*100)/101325)*K63</f>
        <v>0</v>
      </c>
      <c r="M63" s="25">
        <v>0.05</v>
      </c>
      <c r="N63" s="25">
        <v>0.05</v>
      </c>
      <c r="O63" s="17">
        <f t="shared" ref="O63:O71" si="44">M63+N63</f>
        <v>0.1</v>
      </c>
      <c r="P63" s="2"/>
      <c r="Q63" s="33">
        <f t="shared" ref="Q63:Q71" si="45">0.5885777786626*H63</f>
        <v>0</v>
      </c>
      <c r="R63" s="29">
        <f t="shared" ref="R63:R71" si="46">0.5885777786626*I63</f>
        <v>0</v>
      </c>
      <c r="S63" s="25">
        <v>0.05</v>
      </c>
      <c r="T63" s="25">
        <v>0.05</v>
      </c>
      <c r="U63" s="17">
        <f t="shared" ref="U63:U65" si="47">S63+T63</f>
        <v>0.1</v>
      </c>
      <c r="V63" s="2"/>
      <c r="W63" s="31">
        <f t="shared" ref="W63:W71" si="48">0.5885777786626*K63</f>
        <v>0</v>
      </c>
      <c r="X63" s="95">
        <f t="shared" ref="X63:X71" si="49">0.5885777786626*L63</f>
        <v>0</v>
      </c>
      <c r="Y63" s="115"/>
      <c r="Z63" s="114"/>
      <c r="AA63" s="132" t="e">
        <f>Z63/Y63</f>
        <v>#DIV/0!</v>
      </c>
      <c r="AB63" s="21" t="e">
        <f>Y63*AA63</f>
        <v>#DIV/0!</v>
      </c>
      <c r="AC63" s="21" t="e">
        <f>R63/AB63</f>
        <v>#DIV/0!</v>
      </c>
      <c r="AD63" s="21"/>
      <c r="AJ63" s="133">
        <v>250</v>
      </c>
      <c r="AK63" s="133">
        <v>1</v>
      </c>
      <c r="AL63" s="133">
        <v>23</v>
      </c>
      <c r="AM63" s="133">
        <v>48</v>
      </c>
      <c r="AN63" s="133">
        <v>23</v>
      </c>
      <c r="AO63" s="133">
        <v>49</v>
      </c>
      <c r="AP63" s="133">
        <v>24</v>
      </c>
      <c r="AQ63" s="133">
        <v>51</v>
      </c>
      <c r="AR63" s="133">
        <v>102</v>
      </c>
    </row>
    <row r="64" spans="1:44" ht="13.5" customHeight="1" thickTop="1" thickBot="1">
      <c r="A64" s="55" t="s">
        <v>74</v>
      </c>
      <c r="B64" s="56" t="s">
        <v>75</v>
      </c>
      <c r="C64" s="64" t="s">
        <v>76</v>
      </c>
      <c r="D64" s="65">
        <f>P60</f>
        <v>26.2</v>
      </c>
      <c r="E64" s="93">
        <v>2</v>
      </c>
      <c r="F64" s="65">
        <f>N60/10</f>
        <v>101</v>
      </c>
      <c r="G64" s="6">
        <f t="shared" si="42"/>
        <v>0</v>
      </c>
      <c r="H64" s="8">
        <f t="shared" ref="H64:H71" si="50">PI()*POWER(($T$60/2),2)*3600*$W$60*SQRT((2*G64)/$S$60)</f>
        <v>0</v>
      </c>
      <c r="I64" s="10">
        <f t="shared" ref="I64:I71" si="51">(293/(273+$P$60))*(($N$60*100)/101325)*H64</f>
        <v>0</v>
      </c>
      <c r="J64" s="6">
        <f t="shared" si="43"/>
        <v>0</v>
      </c>
      <c r="K64" s="8">
        <f t="shared" ref="K64:K71" si="52">PI()*POWER(($T$60/2),2)*3600*$X$60*SQRT((2*J64)/$S$60)</f>
        <v>0</v>
      </c>
      <c r="L64" s="19">
        <f t="shared" ref="L64:L71" si="53">(293/(273+$P$32))*(($N$32*100)/101325)*K64</f>
        <v>0</v>
      </c>
      <c r="M64" s="25">
        <v>0.08</v>
      </c>
      <c r="N64" s="25">
        <v>0.1</v>
      </c>
      <c r="O64" s="17">
        <f t="shared" si="44"/>
        <v>0.18</v>
      </c>
      <c r="P64" s="2"/>
      <c r="Q64" s="33">
        <f t="shared" si="45"/>
        <v>0</v>
      </c>
      <c r="R64" s="29">
        <f t="shared" si="46"/>
        <v>0</v>
      </c>
      <c r="S64" s="25">
        <v>0.1</v>
      </c>
      <c r="T64" s="25">
        <v>0.08</v>
      </c>
      <c r="U64" s="17">
        <f t="shared" si="47"/>
        <v>0.18</v>
      </c>
      <c r="V64" s="2"/>
      <c r="W64" s="31">
        <f t="shared" si="48"/>
        <v>0</v>
      </c>
      <c r="X64" s="95">
        <f t="shared" si="49"/>
        <v>0</v>
      </c>
      <c r="Y64" s="115"/>
      <c r="Z64" s="114"/>
      <c r="AA64" s="132" t="e">
        <f>Z64/Y64</f>
        <v>#DIV/0!</v>
      </c>
      <c r="AB64" s="21" t="e">
        <f t="shared" ref="AB64:AB71" si="54">Y64*AA64</f>
        <v>#DIV/0!</v>
      </c>
      <c r="AC64" s="21" t="e">
        <f t="shared" ref="AC64:AC71" si="55">R64/AB64</f>
        <v>#DIV/0!</v>
      </c>
      <c r="AD64" s="21"/>
    </row>
    <row r="65" spans="1:30" ht="15.75" customHeight="1" thickTop="1" thickBot="1">
      <c r="A65" s="83" t="s">
        <v>78</v>
      </c>
      <c r="B65" s="84" t="b">
        <f>IF($E64&lt;0,EXP((I$9/$E66)+I$10+(I$11*$E66)+(I$12*($E66^2))+(I$13*($E66^3))+(I$14*($E66^4))+(I$15*LN($E66))))</f>
        <v>0</v>
      </c>
      <c r="C65" s="85">
        <f>IF($E64&gt;0,EXP(K$9/$E66+K$10+K$11*$E66+K$12*$E66^2+K$13*$E66^3+K$14*LN($E66)))</f>
        <v>698.4226585925901</v>
      </c>
      <c r="D65" s="59" t="s">
        <v>79</v>
      </c>
      <c r="E65" s="92" t="s">
        <v>80</v>
      </c>
      <c r="F65" s="69"/>
      <c r="G65" s="6">
        <f t="shared" si="42"/>
        <v>0</v>
      </c>
      <c r="H65" s="8">
        <f t="shared" si="50"/>
        <v>0</v>
      </c>
      <c r="I65" s="10">
        <f t="shared" si="51"/>
        <v>0</v>
      </c>
      <c r="J65" s="6">
        <f t="shared" si="43"/>
        <v>0</v>
      </c>
      <c r="K65" s="8">
        <f t="shared" si="52"/>
        <v>0</v>
      </c>
      <c r="L65" s="19">
        <f t="shared" si="53"/>
        <v>0</v>
      </c>
      <c r="M65" s="25">
        <v>0.15</v>
      </c>
      <c r="N65" s="25">
        <v>0.15</v>
      </c>
      <c r="O65" s="17">
        <f t="shared" si="44"/>
        <v>0.3</v>
      </c>
      <c r="P65" s="2"/>
      <c r="Q65" s="33">
        <f t="shared" si="45"/>
        <v>0</v>
      </c>
      <c r="R65" s="29">
        <f t="shared" si="46"/>
        <v>0</v>
      </c>
      <c r="S65" s="25">
        <v>0.15</v>
      </c>
      <c r="T65" s="25">
        <v>0.15</v>
      </c>
      <c r="U65" s="17">
        <f t="shared" si="47"/>
        <v>0.3</v>
      </c>
      <c r="V65" s="2"/>
      <c r="W65" s="31">
        <f t="shared" si="48"/>
        <v>0</v>
      </c>
      <c r="X65" s="95">
        <f t="shared" si="49"/>
        <v>0</v>
      </c>
      <c r="Y65" s="115"/>
      <c r="Z65" s="114"/>
      <c r="AA65" s="132" t="e">
        <f>Z65/Y65</f>
        <v>#DIV/0!</v>
      </c>
      <c r="AB65" s="21" t="e">
        <f t="shared" si="54"/>
        <v>#DIV/0!</v>
      </c>
      <c r="AC65" s="21" t="e">
        <f t="shared" si="55"/>
        <v>#DIV/0!</v>
      </c>
      <c r="AD65" s="21"/>
    </row>
    <row r="66" spans="1:30" ht="14.25" thickTop="1" thickBot="1">
      <c r="A66" s="66" t="s">
        <v>82</v>
      </c>
      <c r="B66" s="67" t="b">
        <f>IF($D64&lt;0,EXP((I$9/$D66)+I$10+(I$11*$D66)+(I$12*($D66^2))+(I$13*($D66^3))+(I$14*($D66^4))+(I$15*LN($D66))))</f>
        <v>0</v>
      </c>
      <c r="C66" s="68">
        <f>IF($D64&gt;0,EXP(K$9/$D66+K$10+K$11*$D66+K$12*$D66^2+K$13*$D66^3+K$14*LN($D66)))</f>
        <v>3373.0939063047426</v>
      </c>
      <c r="D66" s="86">
        <f>D64+273</f>
        <v>299.2</v>
      </c>
      <c r="E66" s="86">
        <f>E64+273</f>
        <v>275</v>
      </c>
      <c r="F66" s="87"/>
      <c r="G66" s="6">
        <f t="shared" si="42"/>
        <v>0</v>
      </c>
      <c r="H66" s="8">
        <f t="shared" si="50"/>
        <v>0</v>
      </c>
      <c r="I66" s="10">
        <f t="shared" si="51"/>
        <v>0</v>
      </c>
      <c r="J66" s="6">
        <f t="shared" si="43"/>
        <v>0</v>
      </c>
      <c r="K66" s="8">
        <f t="shared" si="52"/>
        <v>0</v>
      </c>
      <c r="L66" s="19">
        <f t="shared" si="53"/>
        <v>0</v>
      </c>
      <c r="M66" s="25">
        <v>0.2</v>
      </c>
      <c r="N66" s="25">
        <v>0.2</v>
      </c>
      <c r="O66" s="17">
        <f t="shared" si="44"/>
        <v>0.4</v>
      </c>
      <c r="P66" s="2"/>
      <c r="Q66" s="33">
        <f t="shared" si="45"/>
        <v>0</v>
      </c>
      <c r="R66" s="29">
        <f t="shared" si="46"/>
        <v>0</v>
      </c>
      <c r="S66" s="25">
        <v>0.2</v>
      </c>
      <c r="T66" s="25">
        <v>0.2</v>
      </c>
      <c r="U66" s="17"/>
      <c r="V66" s="2"/>
      <c r="W66" s="31">
        <f t="shared" si="48"/>
        <v>0</v>
      </c>
      <c r="X66" s="95">
        <f t="shared" si="49"/>
        <v>0</v>
      </c>
      <c r="Y66" s="115"/>
      <c r="Z66" s="114"/>
      <c r="AA66" s="132"/>
      <c r="AB66" s="21">
        <f t="shared" si="54"/>
        <v>0</v>
      </c>
      <c r="AC66" s="21" t="e">
        <f t="shared" si="55"/>
        <v>#DIV/0!</v>
      </c>
      <c r="AD66" s="21"/>
    </row>
    <row r="67" spans="1:30" ht="13.5" thickTop="1">
      <c r="A67" s="83" t="s">
        <v>84</v>
      </c>
      <c r="B67" s="88" t="e">
        <f>IF(B65=FALSE,C65/B66,B65/B66)</f>
        <v>#DIV/0!</v>
      </c>
      <c r="C67" s="89">
        <f>IF(C65=FALSE,B65/C66,C65/C66)</f>
        <v>0.2070569862544144</v>
      </c>
      <c r="D67" s="90" t="s">
        <v>85</v>
      </c>
      <c r="E67" s="91"/>
      <c r="F67" s="91"/>
      <c r="G67" s="6">
        <f t="shared" si="42"/>
        <v>0</v>
      </c>
      <c r="H67" s="8">
        <f t="shared" si="50"/>
        <v>0</v>
      </c>
      <c r="I67" s="10">
        <f t="shared" si="51"/>
        <v>0</v>
      </c>
      <c r="J67" s="6">
        <f t="shared" si="43"/>
        <v>0</v>
      </c>
      <c r="K67" s="8">
        <f t="shared" si="52"/>
        <v>0</v>
      </c>
      <c r="L67" s="19">
        <f t="shared" si="53"/>
        <v>0</v>
      </c>
      <c r="M67" s="25">
        <v>0.25</v>
      </c>
      <c r="N67" s="25">
        <v>0.25</v>
      </c>
      <c r="O67" s="17">
        <f t="shared" si="44"/>
        <v>0.5</v>
      </c>
      <c r="P67" s="2"/>
      <c r="Q67" s="33">
        <f t="shared" si="45"/>
        <v>0</v>
      </c>
      <c r="R67" s="29">
        <f t="shared" si="46"/>
        <v>0</v>
      </c>
      <c r="S67" s="25">
        <v>0.25</v>
      </c>
      <c r="T67" s="25">
        <v>0.25</v>
      </c>
      <c r="U67" s="17"/>
      <c r="V67" s="2"/>
      <c r="W67" s="31">
        <f t="shared" si="48"/>
        <v>0</v>
      </c>
      <c r="X67" s="95">
        <f t="shared" si="49"/>
        <v>0</v>
      </c>
      <c r="Y67" s="115"/>
      <c r="Z67" s="114"/>
      <c r="AA67" s="132"/>
      <c r="AB67" s="21">
        <f t="shared" si="54"/>
        <v>0</v>
      </c>
      <c r="AC67" s="21" t="e">
        <f t="shared" si="55"/>
        <v>#DIV/0!</v>
      </c>
      <c r="AD67" s="21"/>
    </row>
    <row r="68" spans="1:30" ht="12.75">
      <c r="A68" s="70"/>
      <c r="B68" s="71" t="s">
        <v>87</v>
      </c>
      <c r="C68" s="72" t="s">
        <v>87</v>
      </c>
      <c r="D68" s="73" t="s">
        <v>88</v>
      </c>
      <c r="E68" s="74">
        <f>(1+R60)/(287.055*(D64+273)*(1+1.6078*R60)/(F64*1000))</f>
        <v>1.1706059705946632</v>
      </c>
      <c r="F68" s="75">
        <f>(1+R60)/(287.055*(D64+273)*(1+1.6078*R60)/(F64*1000))</f>
        <v>1.1706059705946632</v>
      </c>
      <c r="G68" s="6">
        <f t="shared" si="42"/>
        <v>0</v>
      </c>
      <c r="H68" s="8">
        <f t="shared" si="50"/>
        <v>0</v>
      </c>
      <c r="I68" s="10">
        <f t="shared" si="51"/>
        <v>0</v>
      </c>
      <c r="J68" s="6">
        <f t="shared" si="43"/>
        <v>0</v>
      </c>
      <c r="K68" s="8">
        <f t="shared" si="52"/>
        <v>0</v>
      </c>
      <c r="L68" s="19">
        <f t="shared" si="53"/>
        <v>0</v>
      </c>
      <c r="M68" s="25">
        <v>0.3</v>
      </c>
      <c r="N68" s="25">
        <v>0.3</v>
      </c>
      <c r="O68" s="17">
        <f t="shared" si="44"/>
        <v>0.6</v>
      </c>
      <c r="P68" s="2"/>
      <c r="Q68" s="33">
        <f t="shared" si="45"/>
        <v>0</v>
      </c>
      <c r="R68" s="29">
        <f t="shared" si="46"/>
        <v>0</v>
      </c>
      <c r="S68" s="25">
        <v>0.3</v>
      </c>
      <c r="T68" s="25">
        <v>0.3</v>
      </c>
      <c r="U68" s="17"/>
      <c r="V68" s="2"/>
      <c r="W68" s="31">
        <f t="shared" si="48"/>
        <v>0</v>
      </c>
      <c r="X68" s="95">
        <f t="shared" si="49"/>
        <v>0</v>
      </c>
      <c r="Y68" s="115"/>
      <c r="Z68" s="114"/>
      <c r="AA68" s="132"/>
      <c r="AB68" s="21">
        <f t="shared" si="54"/>
        <v>0</v>
      </c>
      <c r="AC68" s="21" t="e">
        <f t="shared" si="55"/>
        <v>#DIV/0!</v>
      </c>
      <c r="AD68" s="21"/>
    </row>
    <row r="69" spans="1:30">
      <c r="G69" s="6">
        <f t="shared" si="42"/>
        <v>0</v>
      </c>
      <c r="H69" s="8">
        <f t="shared" si="50"/>
        <v>0</v>
      </c>
      <c r="I69" s="10">
        <f t="shared" si="51"/>
        <v>0</v>
      </c>
      <c r="J69" s="6">
        <f t="shared" si="43"/>
        <v>0</v>
      </c>
      <c r="K69" s="8">
        <f t="shared" si="52"/>
        <v>0</v>
      </c>
      <c r="L69" s="19">
        <f t="shared" si="53"/>
        <v>0</v>
      </c>
      <c r="M69" s="25">
        <v>0.4</v>
      </c>
      <c r="N69" s="25">
        <v>0.4</v>
      </c>
      <c r="O69" s="17">
        <f t="shared" si="44"/>
        <v>0.8</v>
      </c>
      <c r="P69" s="2"/>
      <c r="Q69" s="33">
        <f t="shared" si="45"/>
        <v>0</v>
      </c>
      <c r="R69" s="29">
        <f t="shared" si="46"/>
        <v>0</v>
      </c>
      <c r="S69" s="25">
        <v>0.4</v>
      </c>
      <c r="T69" s="25">
        <v>0.4</v>
      </c>
      <c r="U69" s="17"/>
      <c r="V69" s="2"/>
      <c r="W69" s="31">
        <f t="shared" si="48"/>
        <v>0</v>
      </c>
      <c r="X69" s="95">
        <f t="shared" si="49"/>
        <v>0</v>
      </c>
      <c r="Y69" s="115"/>
      <c r="Z69" s="114"/>
      <c r="AA69" s="132"/>
      <c r="AB69" s="21">
        <f t="shared" si="54"/>
        <v>0</v>
      </c>
      <c r="AC69" s="21" t="e">
        <f t="shared" si="55"/>
        <v>#DIV/0!</v>
      </c>
      <c r="AD69" s="21"/>
    </row>
    <row r="70" spans="1:30">
      <c r="G70" s="6">
        <f t="shared" si="42"/>
        <v>0</v>
      </c>
      <c r="H70" s="8">
        <f t="shared" si="50"/>
        <v>0</v>
      </c>
      <c r="I70" s="10">
        <f t="shared" si="51"/>
        <v>0</v>
      </c>
      <c r="J70" s="6">
        <f t="shared" si="43"/>
        <v>0</v>
      </c>
      <c r="K70" s="8">
        <f t="shared" si="52"/>
        <v>0</v>
      </c>
      <c r="L70" s="19">
        <f t="shared" si="53"/>
        <v>0</v>
      </c>
      <c r="M70" s="25">
        <v>0.5</v>
      </c>
      <c r="N70" s="25">
        <v>0.5</v>
      </c>
      <c r="O70" s="17">
        <f t="shared" si="44"/>
        <v>1</v>
      </c>
      <c r="P70" s="2"/>
      <c r="Q70" s="33">
        <f t="shared" si="45"/>
        <v>0</v>
      </c>
      <c r="R70" s="29">
        <f t="shared" si="46"/>
        <v>0</v>
      </c>
      <c r="S70" s="25">
        <v>0.5</v>
      </c>
      <c r="T70" s="25">
        <v>0.5</v>
      </c>
      <c r="U70" s="17"/>
      <c r="V70" s="2"/>
      <c r="W70" s="31">
        <f t="shared" si="48"/>
        <v>0</v>
      </c>
      <c r="X70" s="95">
        <f t="shared" si="49"/>
        <v>0</v>
      </c>
      <c r="Y70" s="115"/>
      <c r="Z70" s="114"/>
      <c r="AA70" s="132"/>
      <c r="AB70" s="21">
        <f t="shared" si="54"/>
        <v>0</v>
      </c>
      <c r="AC70" s="21" t="e">
        <f t="shared" si="55"/>
        <v>#DIV/0!</v>
      </c>
      <c r="AD70" s="21"/>
    </row>
    <row r="71" spans="1:30" ht="12" thickBot="1">
      <c r="G71" s="6">
        <f t="shared" si="42"/>
        <v>0</v>
      </c>
      <c r="H71" s="8">
        <f t="shared" si="50"/>
        <v>0</v>
      </c>
      <c r="I71" s="10">
        <f t="shared" si="51"/>
        <v>0</v>
      </c>
      <c r="J71" s="6">
        <f t="shared" si="43"/>
        <v>0</v>
      </c>
      <c r="K71" s="8">
        <f t="shared" si="52"/>
        <v>0</v>
      </c>
      <c r="L71" s="19">
        <f t="shared" si="53"/>
        <v>0</v>
      </c>
      <c r="M71" s="26">
        <v>0.6</v>
      </c>
      <c r="N71" s="26">
        <v>0.6</v>
      </c>
      <c r="O71" s="17">
        <f t="shared" si="44"/>
        <v>1.2</v>
      </c>
      <c r="P71" s="28"/>
      <c r="Q71" s="34">
        <f t="shared" si="45"/>
        <v>0</v>
      </c>
      <c r="R71" s="30">
        <f t="shared" si="46"/>
        <v>0</v>
      </c>
      <c r="S71" s="26">
        <v>0.6</v>
      </c>
      <c r="T71" s="26">
        <v>0.6</v>
      </c>
      <c r="U71" s="27"/>
      <c r="V71" s="28"/>
      <c r="W71" s="32">
        <f t="shared" si="48"/>
        <v>0</v>
      </c>
      <c r="X71" s="96">
        <f t="shared" si="49"/>
        <v>0</v>
      </c>
      <c r="Y71" s="115"/>
      <c r="Z71" s="114"/>
      <c r="AA71" s="132"/>
      <c r="AB71" s="21">
        <f t="shared" si="54"/>
        <v>0</v>
      </c>
      <c r="AC71" s="21" t="e">
        <f t="shared" si="55"/>
        <v>#DIV/0!</v>
      </c>
      <c r="AD71" s="21"/>
    </row>
    <row r="72" spans="1:30" ht="12" thickBot="1">
      <c r="Y72" s="116"/>
      <c r="Z72" s="114"/>
    </row>
  </sheetData>
  <mergeCells count="83">
    <mergeCell ref="Q14:Q15"/>
    <mergeCell ref="N45:O45"/>
    <mergeCell ref="P45:Q45"/>
    <mergeCell ref="M30:U30"/>
    <mergeCell ref="N31:O31"/>
    <mergeCell ref="P31:Q31"/>
    <mergeCell ref="M33:R33"/>
    <mergeCell ref="S33:X33"/>
    <mergeCell ref="M14:N14"/>
    <mergeCell ref="O14:P14"/>
    <mergeCell ref="M15:N15"/>
    <mergeCell ref="O15:P15"/>
    <mergeCell ref="M16:U16"/>
    <mergeCell ref="H7:L7"/>
    <mergeCell ref="M61:R61"/>
    <mergeCell ref="S61:X61"/>
    <mergeCell ref="M47:R47"/>
    <mergeCell ref="S47:X47"/>
    <mergeCell ref="M58:AA58"/>
    <mergeCell ref="M19:R19"/>
    <mergeCell ref="S19:X19"/>
    <mergeCell ref="M44:U44"/>
    <mergeCell ref="N59:O59"/>
    <mergeCell ref="P59:Q59"/>
    <mergeCell ref="N17:O17"/>
    <mergeCell ref="P17:Q17"/>
    <mergeCell ref="M13:N13"/>
    <mergeCell ref="O13:P13"/>
    <mergeCell ref="Q13:T13"/>
    <mergeCell ref="U13:V13"/>
    <mergeCell ref="X9:Y9"/>
    <mergeCell ref="W13:Y13"/>
    <mergeCell ref="AA13:AE13"/>
    <mergeCell ref="AA11:AE11"/>
    <mergeCell ref="AA12:AE12"/>
    <mergeCell ref="X11:Y11"/>
    <mergeCell ref="AA9:AE9"/>
    <mergeCell ref="X10:Y10"/>
    <mergeCell ref="AA10:AE10"/>
    <mergeCell ref="M12:P12"/>
    <mergeCell ref="Q12:R12"/>
    <mergeCell ref="S12:T12"/>
    <mergeCell ref="U12:V12"/>
    <mergeCell ref="W12:Y12"/>
    <mergeCell ref="M11:N11"/>
    <mergeCell ref="O11:P11"/>
    <mergeCell ref="Q11:R11"/>
    <mergeCell ref="S11:T11"/>
    <mergeCell ref="U11:W11"/>
    <mergeCell ref="M10:N10"/>
    <mergeCell ref="O10:P10"/>
    <mergeCell ref="Q10:R10"/>
    <mergeCell ref="S10:T10"/>
    <mergeCell ref="U10:W10"/>
    <mergeCell ref="M9:N9"/>
    <mergeCell ref="O9:P9"/>
    <mergeCell ref="Q9:R9"/>
    <mergeCell ref="S9:T9"/>
    <mergeCell ref="U9:W9"/>
    <mergeCell ref="M2:N2"/>
    <mergeCell ref="O2:Q2"/>
    <mergeCell ref="M3:N3"/>
    <mergeCell ref="O3:Q3"/>
    <mergeCell ref="M4:N4"/>
    <mergeCell ref="O4:Q4"/>
    <mergeCell ref="AA7:AE7"/>
    <mergeCell ref="M8:P8"/>
    <mergeCell ref="Q8:T8"/>
    <mergeCell ref="U8:W8"/>
    <mergeCell ref="M5:N5"/>
    <mergeCell ref="O5:Q5"/>
    <mergeCell ref="M6:N6"/>
    <mergeCell ref="O6:Q6"/>
    <mergeCell ref="M7:T7"/>
    <mergeCell ref="X8:Y8"/>
    <mergeCell ref="AA8:AE8"/>
    <mergeCell ref="U7:Y7"/>
    <mergeCell ref="AK51:AK52"/>
    <mergeCell ref="AN51:AQ51"/>
    <mergeCell ref="AN52:AO52"/>
    <mergeCell ref="AP52:AQ52"/>
    <mergeCell ref="AL52:AM52"/>
    <mergeCell ref="AL51:AM51"/>
  </mergeCells>
  <pageMargins left="0.78740157480314965" right="0.78740157480314965" top="0.98425196850393704" bottom="0.98425196850393704" header="0.51181102362204722" footer="0.51181102362204722"/>
  <pageSetup orientation="landscape" horizontalDpi="4294967295" verticalDpi="300" r:id="rId1"/>
  <headerFooter alignWithMargins="0">
    <oddHeader>&amp;R&amp;G</oddHeader>
    <oddFooter>&amp;Lfeuille : &amp;A
&amp;Z&amp;F&amp;C846, de la Station, #101 - Saint-Léonard d'Aston - Canada - J0C 1M0
 819.399.3400  1.800.262.0916 - F 819.399.4001 - info@air2000.ca - www.air2000.ca
&amp;Rpage &amp;P/&amp;N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C3D5-4F9F-479B-A345-A7712A58E56D}">
  <dimension ref="B1:M12"/>
  <sheetViews>
    <sheetView workbookViewId="0">
      <selection activeCell="P23" sqref="P23"/>
    </sheetView>
  </sheetViews>
  <sheetFormatPr baseColWidth="10" defaultColWidth="11.42578125" defaultRowHeight="12.75"/>
  <cols>
    <col min="2" max="2" width="14.140625" bestFit="1" customWidth="1"/>
    <col min="5" max="5" width="14.140625" bestFit="1" customWidth="1"/>
    <col min="8" max="8" width="13.42578125" bestFit="1" customWidth="1"/>
    <col min="9" max="9" width="5.28515625" bestFit="1" customWidth="1"/>
    <col min="10" max="10" width="6.140625" bestFit="1" customWidth="1"/>
    <col min="11" max="11" width="13.42578125" bestFit="1" customWidth="1"/>
  </cols>
  <sheetData>
    <row r="1" spans="2:13" ht="13.5" thickBot="1">
      <c r="B1" s="119" t="s">
        <v>119</v>
      </c>
      <c r="C1" s="118"/>
      <c r="D1" s="125" t="s">
        <v>123</v>
      </c>
      <c r="E1" s="122" t="s">
        <v>120</v>
      </c>
      <c r="F1" s="121"/>
      <c r="G1" s="128" t="s">
        <v>123</v>
      </c>
      <c r="H1" s="122" t="s">
        <v>121</v>
      </c>
      <c r="I1" s="121"/>
      <c r="J1" t="s">
        <v>123</v>
      </c>
      <c r="K1" s="125" t="s">
        <v>122</v>
      </c>
      <c r="M1" s="125" t="s">
        <v>123</v>
      </c>
    </row>
    <row r="2" spans="2:13">
      <c r="B2" s="117" t="s">
        <v>114</v>
      </c>
      <c r="C2" s="112" t="s">
        <v>90</v>
      </c>
      <c r="D2" s="112"/>
      <c r="E2" s="120" t="s">
        <v>114</v>
      </c>
      <c r="F2" s="112" t="s">
        <v>117</v>
      </c>
      <c r="G2" s="112"/>
      <c r="H2" s="97" t="s">
        <v>116</v>
      </c>
      <c r="I2" s="112" t="s">
        <v>90</v>
      </c>
      <c r="J2" s="112"/>
      <c r="K2" s="97" t="s">
        <v>116</v>
      </c>
      <c r="L2" s="112" t="s">
        <v>90</v>
      </c>
      <c r="M2" s="112"/>
    </row>
    <row r="3" spans="2:13">
      <c r="B3" s="114"/>
      <c r="C3" s="114"/>
      <c r="D3" s="126"/>
      <c r="E3" s="115"/>
      <c r="F3" s="114"/>
      <c r="G3" s="126"/>
      <c r="H3" s="115"/>
      <c r="I3" s="114"/>
      <c r="J3" s="126"/>
      <c r="K3" s="115">
        <v>59.45</v>
      </c>
      <c r="L3" s="114">
        <v>36.4</v>
      </c>
      <c r="M3" s="129">
        <f>L3/K3</f>
        <v>0.61227922624053821</v>
      </c>
    </row>
    <row r="4" spans="2:13">
      <c r="B4" s="114">
        <v>183</v>
      </c>
      <c r="C4" s="114">
        <v>182.4</v>
      </c>
      <c r="D4" s="126">
        <f>C4/B4</f>
        <v>0.99672131147540988</v>
      </c>
      <c r="E4" s="115">
        <v>154.9</v>
      </c>
      <c r="F4" s="114">
        <v>101.53</v>
      </c>
      <c r="G4" s="126">
        <f>F4/E4</f>
        <v>0.65545513234344732</v>
      </c>
      <c r="H4" s="115"/>
      <c r="I4" s="114"/>
      <c r="J4" s="126"/>
      <c r="K4" s="115">
        <v>59.3</v>
      </c>
      <c r="L4" s="114">
        <v>36.39</v>
      </c>
      <c r="M4" s="129">
        <f>L4/K4</f>
        <v>0.61365935919055659</v>
      </c>
    </row>
    <row r="5" spans="2:13">
      <c r="B5" s="114">
        <v>179.55</v>
      </c>
      <c r="C5" s="114">
        <v>179</v>
      </c>
      <c r="D5" s="126">
        <f t="shared" ref="D5:D12" si="0">C5/B5</f>
        <v>0.99693678641047057</v>
      </c>
      <c r="E5" s="115">
        <v>153.26</v>
      </c>
      <c r="F5" s="114">
        <v>100.2</v>
      </c>
      <c r="G5" s="126">
        <f t="shared" ref="G5:G10" si="1">F5/E5</f>
        <v>0.65379094349471489</v>
      </c>
      <c r="H5" s="115">
        <v>69.8</v>
      </c>
      <c r="I5" s="114">
        <v>66.64</v>
      </c>
      <c r="J5" s="126">
        <f>I5/H5</f>
        <v>0.95472779369627514</v>
      </c>
      <c r="K5" s="115"/>
      <c r="L5" s="114"/>
      <c r="M5" s="129"/>
    </row>
    <row r="6" spans="2:13">
      <c r="B6" s="114">
        <v>175.7</v>
      </c>
      <c r="C6" s="114">
        <v>175.2</v>
      </c>
      <c r="D6" s="126">
        <f t="shared" si="0"/>
        <v>0.99715424018212862</v>
      </c>
      <c r="E6" s="115">
        <v>151.69999999999999</v>
      </c>
      <c r="F6" s="114">
        <v>99.8</v>
      </c>
      <c r="G6" s="126">
        <f t="shared" si="1"/>
        <v>0.65787738958470665</v>
      </c>
      <c r="H6" s="115">
        <v>68.8</v>
      </c>
      <c r="I6" s="114">
        <v>65.819999999999993</v>
      </c>
      <c r="J6" s="126">
        <f t="shared" ref="J6:J8" si="2">I6/H6</f>
        <v>0.95668604651162781</v>
      </c>
      <c r="K6" s="115"/>
      <c r="L6" s="114"/>
      <c r="M6" s="129"/>
    </row>
    <row r="7" spans="2:13">
      <c r="B7" s="114">
        <v>172.75</v>
      </c>
      <c r="C7" s="114">
        <v>172.2</v>
      </c>
      <c r="D7" s="126">
        <f t="shared" si="0"/>
        <v>0.99681620839363239</v>
      </c>
      <c r="E7" s="115">
        <v>150.05000000000001</v>
      </c>
      <c r="F7" s="114">
        <v>98.75</v>
      </c>
      <c r="G7" s="126">
        <f t="shared" si="1"/>
        <v>0.65811396201266237</v>
      </c>
      <c r="H7" s="115">
        <v>67.260000000000005</v>
      </c>
      <c r="I7" s="114">
        <v>64.56</v>
      </c>
      <c r="J7" s="126">
        <f t="shared" si="2"/>
        <v>0.95985727029437995</v>
      </c>
      <c r="K7" s="115"/>
      <c r="L7" s="114"/>
      <c r="M7" s="129"/>
    </row>
    <row r="8" spans="2:13">
      <c r="B8" s="114">
        <v>168.8</v>
      </c>
      <c r="C8" s="114">
        <v>168.15</v>
      </c>
      <c r="D8" s="126">
        <f t="shared" si="0"/>
        <v>0.99614928909952605</v>
      </c>
      <c r="E8" s="115">
        <v>148.30000000000001</v>
      </c>
      <c r="F8" s="114">
        <v>97.78</v>
      </c>
      <c r="G8" s="126">
        <f t="shared" si="1"/>
        <v>0.65933917734322312</v>
      </c>
      <c r="H8" s="115">
        <v>66.08</v>
      </c>
      <c r="I8" s="114">
        <v>63.53</v>
      </c>
      <c r="J8" s="126">
        <f t="shared" si="2"/>
        <v>0.96141041162227603</v>
      </c>
      <c r="K8" s="115"/>
      <c r="L8" s="114"/>
      <c r="M8" s="129"/>
    </row>
    <row r="9" spans="2:13">
      <c r="B9" s="114">
        <v>165.45</v>
      </c>
      <c r="C9" s="114">
        <v>165.1</v>
      </c>
      <c r="D9" s="126">
        <f t="shared" si="0"/>
        <v>0.9978845572680568</v>
      </c>
      <c r="E9" s="115">
        <v>144.30000000000001</v>
      </c>
      <c r="F9" s="114">
        <v>96.53</v>
      </c>
      <c r="G9" s="126">
        <f t="shared" si="1"/>
        <v>0.66895356895356894</v>
      </c>
      <c r="H9" s="115"/>
      <c r="I9" s="114"/>
      <c r="J9" s="126"/>
      <c r="K9" s="115"/>
      <c r="L9" s="114"/>
      <c r="M9" s="129"/>
    </row>
    <row r="10" spans="2:13">
      <c r="B10" s="114">
        <v>159.19999999999999</v>
      </c>
      <c r="C10" s="114">
        <v>158.85</v>
      </c>
      <c r="D10" s="126">
        <f t="shared" si="0"/>
        <v>0.99780150753768848</v>
      </c>
      <c r="E10" s="115">
        <v>144</v>
      </c>
      <c r="F10" s="114">
        <v>95.5</v>
      </c>
      <c r="G10" s="126">
        <f t="shared" si="1"/>
        <v>0.66319444444444442</v>
      </c>
      <c r="H10" s="115"/>
      <c r="I10" s="114"/>
      <c r="J10" s="126"/>
      <c r="K10" s="115"/>
      <c r="L10" s="114"/>
      <c r="M10" s="129"/>
    </row>
    <row r="11" spans="2:13">
      <c r="B11" s="114">
        <v>151.21</v>
      </c>
      <c r="C11" s="114">
        <v>150.9</v>
      </c>
      <c r="D11" s="126">
        <f t="shared" si="0"/>
        <v>0.9979498710402751</v>
      </c>
      <c r="E11" s="115"/>
      <c r="F11" s="114"/>
      <c r="G11" s="126"/>
      <c r="H11" s="115"/>
      <c r="I11" s="114"/>
      <c r="J11" s="126"/>
      <c r="K11" s="115"/>
      <c r="L11" s="115"/>
      <c r="M11" s="129"/>
    </row>
    <row r="12" spans="2:13" ht="13.5" thickBot="1">
      <c r="B12" s="114">
        <v>138.9</v>
      </c>
      <c r="C12" s="114">
        <v>138.4</v>
      </c>
      <c r="D12" s="126">
        <f t="shared" si="0"/>
        <v>0.9964002879769619</v>
      </c>
      <c r="E12" s="123"/>
      <c r="F12" s="124"/>
      <c r="G12" s="127"/>
      <c r="H12" s="116"/>
      <c r="I12" s="114"/>
      <c r="J12" s="1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pression débit 5po</vt:lpstr>
      <vt:lpstr>facteur de puissance EBM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Jean-Nicolas Loiselle</cp:lastModifiedBy>
  <cp:lastPrinted>2013-07-17T18:00:14Z</cp:lastPrinted>
  <dcterms:created xsi:type="dcterms:W3CDTF">2010-01-20T13:54:21Z</dcterms:created>
  <dcterms:modified xsi:type="dcterms:W3CDTF">2023-07-04T15:34:10Z</dcterms:modified>
</cp:coreProperties>
</file>