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acob\Documents\UTAT Rocketry\Hybrid Simulations\Rocket Sim Current\Sim\"/>
    </mc:Choice>
  </mc:AlternateContent>
  <xr:revisionPtr revIDLastSave="0" documentId="13_ncr:1_{BA683A79-D2B7-4F47-8B27-3C816FF854FB}" xr6:coauthVersionLast="45" xr6:coauthVersionMax="45" xr10:uidLastSave="{00000000-0000-0000-0000-000000000000}"/>
  <bookViews>
    <workbookView xWindow="-96" yWindow="-96" windowWidth="23232" windowHeight="12552" firstSheet="4" activeTab="6" xr2:uid="{00000000-000D-0000-FFFF-FFFF00000000}"/>
  </bookViews>
  <sheets>
    <sheet name="OF5.4" sheetId="1" r:id="rId1"/>
    <sheet name="OF6.5" sheetId="2" r:id="rId2"/>
    <sheet name="OF4" sheetId="3" r:id="rId3"/>
    <sheet name="OF4.5 - Low Alt" sheetId="7" r:id="rId4"/>
    <sheet name="OF4.5 - High Alt" sheetId="8" r:id="rId5"/>
    <sheet name="OF4 - Recordbreaker" sheetId="4" r:id="rId6"/>
    <sheet name="OF4.5 - Recordbreaker" sheetId="9" r:id="rId7"/>
    <sheet name="Import Data - Deliverance" sheetId="12" r:id="rId8"/>
    <sheet name="Import Data - Recordbreaker" sheetId="10" r:id="rId9"/>
    <sheet name="Export Data" sheetId="11" r:id="rId10"/>
  </sheets>
  <definedNames>
    <definedName name="solver_eng" localSheetId="6" hidden="1">1</definedName>
    <definedName name="solver_neg" localSheetId="6" hidden="1">1</definedName>
    <definedName name="solver_num" localSheetId="6" hidden="1">0</definedName>
    <definedName name="solver_opt" localSheetId="6" hidden="1">'OF4.5 - Recordbreaker'!$L$20</definedName>
    <definedName name="solver_typ" localSheetId="6" hidden="1">1</definedName>
    <definedName name="solver_val" localSheetId="6" hidden="1">0</definedName>
    <definedName name="solver_ver" localSheetId="6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8" i="9" l="1"/>
  <c r="O8" i="9" s="1"/>
  <c r="I36" i="9"/>
  <c r="I26" i="9"/>
  <c r="N14" i="9" s="1"/>
  <c r="I38" i="9"/>
  <c r="I35" i="9"/>
  <c r="I34" i="9"/>
  <c r="I20" i="9"/>
  <c r="J16" i="9"/>
  <c r="I16" i="9"/>
  <c r="I15" i="9"/>
  <c r="I13" i="9"/>
  <c r="B7" i="9"/>
  <c r="B3" i="9"/>
  <c r="E6" i="9"/>
  <c r="B1" i="9"/>
  <c r="E4" i="4"/>
  <c r="B1" i="10"/>
  <c r="B27" i="10"/>
  <c r="L4" i="9"/>
  <c r="B26" i="10"/>
  <c r="N15" i="9" l="1"/>
  <c r="B18" i="10"/>
  <c r="E4" i="9" l="1"/>
  <c r="E1" i="9" l="1"/>
  <c r="I21" i="9" s="1"/>
  <c r="B25" i="10"/>
  <c r="B23" i="10"/>
  <c r="E1" i="8"/>
  <c r="B23" i="12"/>
  <c r="B24" i="12"/>
  <c r="B14" i="12"/>
  <c r="E6" i="8"/>
  <c r="E4" i="8"/>
  <c r="B4" i="12" s="1"/>
  <c r="E10" i="9"/>
  <c r="B6" i="10"/>
  <c r="A190" i="9"/>
  <c r="C10" i="9"/>
  <c r="N9" i="9"/>
  <c r="O9" i="9" s="1"/>
  <c r="C1" i="9"/>
  <c r="B17" i="9"/>
  <c r="C17" i="9" s="1"/>
  <c r="B37" i="9"/>
  <c r="C37" i="9" s="1"/>
  <c r="B16" i="9"/>
  <c r="C16" i="9" s="1"/>
  <c r="B35" i="9"/>
  <c r="C35" i="9" s="1"/>
  <c r="B190" i="9"/>
  <c r="C190" i="9" s="1"/>
  <c r="B22" i="9"/>
  <c r="C22" i="9" s="1"/>
  <c r="B36" i="9"/>
  <c r="C36" i="9" s="1"/>
  <c r="B315" i="9"/>
  <c r="C315" i="9" s="1"/>
  <c r="B311" i="9"/>
  <c r="C311" i="9" s="1"/>
  <c r="B307" i="9"/>
  <c r="C307" i="9" s="1"/>
  <c r="B303" i="9"/>
  <c r="C303" i="9" s="1"/>
  <c r="B299" i="9"/>
  <c r="C299" i="9" s="1"/>
  <c r="B295" i="9"/>
  <c r="C295" i="9" s="1"/>
  <c r="B291" i="9"/>
  <c r="C291" i="9" s="1"/>
  <c r="B287" i="9"/>
  <c r="C287" i="9"/>
  <c r="B283" i="9"/>
  <c r="C283" i="9" s="1"/>
  <c r="B279" i="9"/>
  <c r="C279" i="9" s="1"/>
  <c r="B275" i="9"/>
  <c r="C275" i="9" s="1"/>
  <c r="B271" i="9"/>
  <c r="C271" i="9" s="1"/>
  <c r="B267" i="9"/>
  <c r="C267" i="9" s="1"/>
  <c r="B263" i="9"/>
  <c r="C263" i="9" s="1"/>
  <c r="B259" i="9"/>
  <c r="C259" i="9" s="1"/>
  <c r="B255" i="9"/>
  <c r="C255" i="9" s="1"/>
  <c r="B251" i="9"/>
  <c r="C251" i="9" s="1"/>
  <c r="B247" i="9"/>
  <c r="C247" i="9" s="1"/>
  <c r="B243" i="9"/>
  <c r="C243" i="9" s="1"/>
  <c r="B239" i="9"/>
  <c r="C239" i="9" s="1"/>
  <c r="B235" i="9"/>
  <c r="C235" i="9" s="1"/>
  <c r="B231" i="9"/>
  <c r="C231" i="9" s="1"/>
  <c r="B227" i="9"/>
  <c r="C227" i="9" s="1"/>
  <c r="B223" i="9"/>
  <c r="C223" i="9" s="1"/>
  <c r="B219" i="9"/>
  <c r="C219" i="9" s="1"/>
  <c r="B215" i="9"/>
  <c r="C215" i="9" s="1"/>
  <c r="B211" i="9"/>
  <c r="C211" i="9" s="1"/>
  <c r="B207" i="9"/>
  <c r="C207" i="9" s="1"/>
  <c r="B203" i="9"/>
  <c r="C203" i="9" s="1"/>
  <c r="B199" i="9"/>
  <c r="C199" i="9" s="1"/>
  <c r="B195" i="9"/>
  <c r="C195" i="9" s="1"/>
  <c r="B191" i="9"/>
  <c r="C191" i="9" s="1"/>
  <c r="B186" i="9"/>
  <c r="C186" i="9" s="1"/>
  <c r="B182" i="9"/>
  <c r="C182" i="9" s="1"/>
  <c r="B178" i="9"/>
  <c r="C178" i="9" s="1"/>
  <c r="B314" i="9"/>
  <c r="C314" i="9" s="1"/>
  <c r="B282" i="9"/>
  <c r="C282" i="9" s="1"/>
  <c r="B300" i="9"/>
  <c r="C300" i="9" s="1"/>
  <c r="B268" i="9"/>
  <c r="C268" i="9" s="1"/>
  <c r="B236" i="9"/>
  <c r="C236" i="9" s="1"/>
  <c r="B204" i="9"/>
  <c r="C204" i="9" s="1"/>
  <c r="B170" i="9"/>
  <c r="C170" i="9"/>
  <c r="B154" i="9"/>
  <c r="C154" i="9" s="1"/>
  <c r="B302" i="9"/>
  <c r="C302" i="9" s="1"/>
  <c r="B306" i="9"/>
  <c r="C306" i="9" s="1"/>
  <c r="B274" i="9"/>
  <c r="C274" i="9" s="1"/>
  <c r="B242" i="9"/>
  <c r="C242" i="9" s="1"/>
  <c r="B210" i="9"/>
  <c r="C210" i="9" s="1"/>
  <c r="B177" i="9"/>
  <c r="C177" i="9" s="1"/>
  <c r="B160" i="9"/>
  <c r="C160" i="9" s="1"/>
  <c r="B308" i="9"/>
  <c r="C308" i="9" s="1"/>
  <c r="B276" i="9"/>
  <c r="C276" i="9" s="1"/>
  <c r="B244" i="9"/>
  <c r="C244" i="9" s="1"/>
  <c r="B212" i="9"/>
  <c r="C212" i="9" s="1"/>
  <c r="B179" i="9"/>
  <c r="C179" i="9" s="1"/>
  <c r="B162" i="9"/>
  <c r="C162" i="9" s="1"/>
  <c r="B294" i="9"/>
  <c r="C294" i="9" s="1"/>
  <c r="B256" i="9"/>
  <c r="C256" i="9"/>
  <c r="B230" i="9"/>
  <c r="C230" i="9" s="1"/>
  <c r="B312" i="9"/>
  <c r="C312" i="9" s="1"/>
  <c r="B248" i="9"/>
  <c r="C248" i="9" s="1"/>
  <c r="B266" i="9"/>
  <c r="C266" i="9" s="1"/>
  <c r="B222" i="9"/>
  <c r="C222" i="9" s="1"/>
  <c r="B310" i="9"/>
  <c r="C310" i="9" s="1"/>
  <c r="B280" i="9"/>
  <c r="C280" i="9" s="1"/>
  <c r="B218" i="9"/>
  <c r="C218" i="9" s="1"/>
  <c r="B214" i="9"/>
  <c r="C214" i="9" s="1"/>
  <c r="B167" i="9"/>
  <c r="C167" i="9"/>
  <c r="B156" i="9"/>
  <c r="C156" i="9" s="1"/>
  <c r="B142" i="9"/>
  <c r="C142" i="9" s="1"/>
  <c r="B134" i="9"/>
  <c r="C134" i="9" s="1"/>
  <c r="B254" i="9"/>
  <c r="C254" i="9" s="1"/>
  <c r="B232" i="9"/>
  <c r="C232" i="9" s="1"/>
  <c r="B192" i="9"/>
  <c r="C192" i="9" s="1"/>
  <c r="B174" i="9"/>
  <c r="C174" i="9" s="1"/>
  <c r="B278" i="9"/>
  <c r="C278" i="9" s="1"/>
  <c r="B250" i="9"/>
  <c r="C250" i="9" s="1"/>
  <c r="B246" i="9"/>
  <c r="C246" i="9" s="1"/>
  <c r="B206" i="9"/>
  <c r="C206" i="9" s="1"/>
  <c r="B183" i="9"/>
  <c r="C183" i="9" s="1"/>
  <c r="B173" i="9"/>
  <c r="C173" i="9" s="1"/>
  <c r="B166" i="9"/>
  <c r="C166" i="9" s="1"/>
  <c r="B136" i="9"/>
  <c r="C136" i="9" s="1"/>
  <c r="B128" i="9"/>
  <c r="C128" i="9"/>
  <c r="B126" i="9"/>
  <c r="C126" i="9" s="1"/>
  <c r="B124" i="9"/>
  <c r="C124" i="9" s="1"/>
  <c r="B122" i="9"/>
  <c r="C122" i="9" s="1"/>
  <c r="B120" i="9"/>
  <c r="C120" i="9" s="1"/>
  <c r="B118" i="9"/>
  <c r="C118" i="9" s="1"/>
  <c r="B116" i="9"/>
  <c r="C116" i="9" s="1"/>
  <c r="B114" i="9"/>
  <c r="C114" i="9" s="1"/>
  <c r="B112" i="9"/>
  <c r="C112" i="9" s="1"/>
  <c r="B110" i="9"/>
  <c r="C110" i="9" s="1"/>
  <c r="B108" i="9"/>
  <c r="C108" i="9" s="1"/>
  <c r="B106" i="9"/>
  <c r="C106" i="9" s="1"/>
  <c r="B104" i="9"/>
  <c r="C104" i="9" s="1"/>
  <c r="B102" i="9"/>
  <c r="C102" i="9" s="1"/>
  <c r="B100" i="9"/>
  <c r="C100" i="9"/>
  <c r="B98" i="9"/>
  <c r="C98" i="9" s="1"/>
  <c r="B96" i="9"/>
  <c r="C96" i="9" s="1"/>
  <c r="B94" i="9"/>
  <c r="C94" i="9" s="1"/>
  <c r="B92" i="9"/>
  <c r="C92" i="9" s="1"/>
  <c r="B90" i="9"/>
  <c r="C90" i="9" s="1"/>
  <c r="B88" i="9"/>
  <c r="C88" i="9" s="1"/>
  <c r="B86" i="9"/>
  <c r="C86" i="9" s="1"/>
  <c r="B84" i="9"/>
  <c r="C84" i="9" s="1"/>
  <c r="B82" i="9"/>
  <c r="C82" i="9" s="1"/>
  <c r="B80" i="9"/>
  <c r="C80" i="9" s="1"/>
  <c r="B296" i="9"/>
  <c r="C296" i="9" s="1"/>
  <c r="B272" i="9"/>
  <c r="C272" i="9" s="1"/>
  <c r="B264" i="9"/>
  <c r="C264" i="9" s="1"/>
  <c r="B224" i="9"/>
  <c r="C224" i="9" s="1"/>
  <c r="B202" i="9"/>
  <c r="C202" i="9" s="1"/>
  <c r="B198" i="9"/>
  <c r="C198" i="9"/>
  <c r="B151" i="9"/>
  <c r="C151" i="9" s="1"/>
  <c r="B144" i="9"/>
  <c r="C144" i="9" s="1"/>
  <c r="B141" i="9"/>
  <c r="C141" i="9" s="1"/>
  <c r="B133" i="9"/>
  <c r="C133" i="9" s="1"/>
  <c r="B238" i="9"/>
  <c r="C238" i="9" s="1"/>
  <c r="B159" i="9"/>
  <c r="C159" i="9" s="1"/>
  <c r="B147" i="9"/>
  <c r="C147" i="9" s="1"/>
  <c r="B113" i="9"/>
  <c r="C113" i="9" s="1"/>
  <c r="B97" i="9"/>
  <c r="C97" i="9" s="1"/>
  <c r="B81" i="9"/>
  <c r="C81" i="9" s="1"/>
  <c r="B78" i="9"/>
  <c r="C78" i="9" s="1"/>
  <c r="B70" i="9"/>
  <c r="C70" i="9" s="1"/>
  <c r="B62" i="9"/>
  <c r="C62" i="9" s="1"/>
  <c r="B164" i="9"/>
  <c r="C164" i="9" s="1"/>
  <c r="B158" i="9"/>
  <c r="C158" i="9" s="1"/>
  <c r="B129" i="9"/>
  <c r="C129" i="9" s="1"/>
  <c r="B119" i="9"/>
  <c r="C119" i="9" s="1"/>
  <c r="B103" i="9"/>
  <c r="C103" i="9" s="1"/>
  <c r="B87" i="9"/>
  <c r="C87" i="9" s="1"/>
  <c r="B75" i="9"/>
  <c r="C75" i="9" s="1"/>
  <c r="B67" i="9"/>
  <c r="C67" i="9" s="1"/>
  <c r="B59" i="9"/>
  <c r="C59" i="9" s="1"/>
  <c r="B54" i="9"/>
  <c r="C54" i="9" s="1"/>
  <c r="B52" i="9"/>
  <c r="C52" i="9" s="1"/>
  <c r="B50" i="9"/>
  <c r="C50" i="9" s="1"/>
  <c r="B48" i="9"/>
  <c r="C48" i="9" s="1"/>
  <c r="B46" i="9"/>
  <c r="C46" i="9" s="1"/>
  <c r="B185" i="9"/>
  <c r="C185" i="9" s="1"/>
  <c r="B157" i="9"/>
  <c r="C157" i="9" s="1"/>
  <c r="B152" i="9"/>
  <c r="C152" i="9" s="1"/>
  <c r="B146" i="9"/>
  <c r="C146" i="9" s="1"/>
  <c r="B137" i="9"/>
  <c r="C137" i="9" s="1"/>
  <c r="B125" i="9"/>
  <c r="C125" i="9" s="1"/>
  <c r="B109" i="9"/>
  <c r="C109" i="9" s="1"/>
  <c r="B93" i="9"/>
  <c r="C93" i="9" s="1"/>
  <c r="B72" i="9"/>
  <c r="C72" i="9" s="1"/>
  <c r="B64" i="9"/>
  <c r="C64" i="9" s="1"/>
  <c r="B56" i="9"/>
  <c r="C56" i="9" s="1"/>
  <c r="B175" i="9"/>
  <c r="C175" i="9" s="1"/>
  <c r="B132" i="9"/>
  <c r="C132" i="9" s="1"/>
  <c r="B115" i="9"/>
  <c r="C115" i="9" s="1"/>
  <c r="B99" i="9"/>
  <c r="C99" i="9" s="1"/>
  <c r="B83" i="9"/>
  <c r="C83" i="9" s="1"/>
  <c r="B77" i="9"/>
  <c r="C77" i="9" s="1"/>
  <c r="B69" i="9"/>
  <c r="C69" i="9" s="1"/>
  <c r="B61" i="9"/>
  <c r="C61" i="9" s="1"/>
  <c r="B40" i="9"/>
  <c r="C40" i="9" s="1"/>
  <c r="B39" i="9"/>
  <c r="C39" i="9" s="1"/>
  <c r="B38" i="9"/>
  <c r="C38" i="9" s="1"/>
  <c r="B33" i="9"/>
  <c r="C33" i="9" s="1"/>
  <c r="B31" i="9"/>
  <c r="C31" i="9" s="1"/>
  <c r="B29" i="9"/>
  <c r="C29" i="9" s="1"/>
  <c r="B74" i="9"/>
  <c r="C74" i="9" s="1"/>
  <c r="B168" i="9"/>
  <c r="C168" i="9" s="1"/>
  <c r="B150" i="9"/>
  <c r="C150" i="9" s="1"/>
  <c r="B145" i="9"/>
  <c r="C145" i="9" s="1"/>
  <c r="B140" i="9"/>
  <c r="C140" i="9" s="1"/>
  <c r="B121" i="9"/>
  <c r="C121" i="9" s="1"/>
  <c r="B105" i="9"/>
  <c r="C105" i="9" s="1"/>
  <c r="B89" i="9"/>
  <c r="C89" i="9" s="1"/>
  <c r="B66" i="9"/>
  <c r="C66" i="9" s="1"/>
  <c r="B58" i="9"/>
  <c r="C58" i="9" s="1"/>
  <c r="B181" i="9"/>
  <c r="C181" i="9" s="1"/>
  <c r="B161" i="9"/>
  <c r="C161" i="9" s="1"/>
  <c r="B135" i="9"/>
  <c r="C135" i="9" s="1"/>
  <c r="B131" i="9"/>
  <c r="C131" i="9" s="1"/>
  <c r="B127" i="9"/>
  <c r="C127" i="9" s="1"/>
  <c r="B111" i="9"/>
  <c r="C111" i="9" s="1"/>
  <c r="B95" i="9"/>
  <c r="C95" i="9" s="1"/>
  <c r="B79" i="9"/>
  <c r="C79" i="9" s="1"/>
  <c r="B71" i="9"/>
  <c r="C71" i="9" s="1"/>
  <c r="B63" i="9"/>
  <c r="C63" i="9" s="1"/>
  <c r="B55" i="9"/>
  <c r="C55" i="9" s="1"/>
  <c r="B53" i="9"/>
  <c r="C53" i="9" s="1"/>
  <c r="B51" i="9"/>
  <c r="C51" i="9" s="1"/>
  <c r="B49" i="9"/>
  <c r="C49" i="9" s="1"/>
  <c r="B47" i="9"/>
  <c r="C47" i="9" s="1"/>
  <c r="B45" i="9"/>
  <c r="C45" i="9" s="1"/>
  <c r="B43" i="9"/>
  <c r="C43" i="9" s="1"/>
  <c r="B27" i="9"/>
  <c r="C27" i="9" s="1"/>
  <c r="B26" i="9"/>
  <c r="C26" i="9" s="1"/>
  <c r="B25" i="9"/>
  <c r="C25" i="9" s="1"/>
  <c r="B24" i="9"/>
  <c r="C24" i="9" s="1"/>
  <c r="B23" i="9"/>
  <c r="C23" i="9" s="1"/>
  <c r="B18" i="9"/>
  <c r="C18" i="9" s="1"/>
  <c r="B143" i="9"/>
  <c r="C143" i="9" s="1"/>
  <c r="B107" i="9"/>
  <c r="C107" i="9" s="1"/>
  <c r="B91" i="9"/>
  <c r="C91" i="9" s="1"/>
  <c r="B65" i="9"/>
  <c r="C65" i="9" s="1"/>
  <c r="B30" i="9"/>
  <c r="C30" i="9" s="1"/>
  <c r="B216" i="9"/>
  <c r="C216" i="9" s="1"/>
  <c r="B172" i="9"/>
  <c r="C172" i="9" s="1"/>
  <c r="B149" i="9"/>
  <c r="C149" i="9" s="1"/>
  <c r="B139" i="9"/>
  <c r="C139" i="9" s="1"/>
  <c r="B130" i="9"/>
  <c r="C130" i="9" s="1"/>
  <c r="B117" i="9"/>
  <c r="C117" i="9" s="1"/>
  <c r="B101" i="9"/>
  <c r="C101" i="9" s="1"/>
  <c r="B85" i="9"/>
  <c r="C85" i="9" s="1"/>
  <c r="B76" i="9"/>
  <c r="C76" i="9" s="1"/>
  <c r="B68" i="9"/>
  <c r="C68" i="9" s="1"/>
  <c r="B60" i="9"/>
  <c r="C60" i="9" s="1"/>
  <c r="B41" i="9"/>
  <c r="C41" i="9" s="1"/>
  <c r="B34" i="9"/>
  <c r="C34" i="9" s="1"/>
  <c r="B20" i="9"/>
  <c r="C20" i="9" s="1"/>
  <c r="B165" i="9"/>
  <c r="C165" i="9" s="1"/>
  <c r="B148" i="9"/>
  <c r="C148" i="9" s="1"/>
  <c r="B138" i="9"/>
  <c r="C138" i="9" s="1"/>
  <c r="B123" i="9"/>
  <c r="C123" i="9" s="1"/>
  <c r="B73" i="9"/>
  <c r="C73" i="9" s="1"/>
  <c r="B57" i="9"/>
  <c r="C57" i="9" s="1"/>
  <c r="B32" i="9"/>
  <c r="C32" i="9" s="1"/>
  <c r="B21" i="9"/>
  <c r="C21" i="9" s="1"/>
  <c r="B42" i="9"/>
  <c r="C42" i="9" s="1"/>
  <c r="K3" i="8"/>
  <c r="I36" i="8"/>
  <c r="N9" i="8"/>
  <c r="O9" i="8"/>
  <c r="B19" i="12" s="1"/>
  <c r="N8" i="8"/>
  <c r="O8" i="8" s="1"/>
  <c r="B18" i="12" s="1"/>
  <c r="B3" i="8"/>
  <c r="B240" i="8"/>
  <c r="C240" i="8" s="1"/>
  <c r="B3" i="7"/>
  <c r="B1" i="7"/>
  <c r="E5" i="7"/>
  <c r="B7" i="8"/>
  <c r="I35" i="8"/>
  <c r="I20" i="8"/>
  <c r="E10" i="8"/>
  <c r="B12" i="8"/>
  <c r="C10" i="8"/>
  <c r="C1" i="8"/>
  <c r="A176" i="8"/>
  <c r="B29" i="8"/>
  <c r="C29" i="8" s="1"/>
  <c r="B31" i="8"/>
  <c r="C31" i="8" s="1"/>
  <c r="E31" i="8" s="1"/>
  <c r="B137" i="8"/>
  <c r="C137" i="8" s="1"/>
  <c r="E137" i="8" s="1"/>
  <c r="B22" i="8"/>
  <c r="C22" i="8" s="1"/>
  <c r="B34" i="8"/>
  <c r="C34" i="8" s="1"/>
  <c r="B254" i="8"/>
  <c r="C254" i="8" s="1"/>
  <c r="B246" i="8"/>
  <c r="C246" i="8" s="1"/>
  <c r="D246" i="8" s="1"/>
  <c r="B228" i="8"/>
  <c r="C228" i="8" s="1"/>
  <c r="B226" i="8"/>
  <c r="C226" i="8" s="1"/>
  <c r="B222" i="8"/>
  <c r="C222" i="8" s="1"/>
  <c r="B212" i="8"/>
  <c r="C212" i="8" s="1"/>
  <c r="D212" i="8" s="1"/>
  <c r="B283" i="8"/>
  <c r="C283" i="8" s="1"/>
  <c r="E283" i="8" s="1"/>
  <c r="B251" i="8"/>
  <c r="C251" i="8" s="1"/>
  <c r="B236" i="8"/>
  <c r="C236" i="8" s="1"/>
  <c r="E236" i="8" s="1"/>
  <c r="B249" i="8"/>
  <c r="C249" i="8" s="1"/>
  <c r="B192" i="8"/>
  <c r="C192" i="8" s="1"/>
  <c r="D192" i="8" s="1"/>
  <c r="B186" i="8"/>
  <c r="C186" i="8" s="1"/>
  <c r="B178" i="8"/>
  <c r="C178" i="8" s="1"/>
  <c r="B311" i="8"/>
  <c r="C311" i="8" s="1"/>
  <c r="E311" i="8" s="1"/>
  <c r="B269" i="8"/>
  <c r="C269" i="8" s="1"/>
  <c r="E269" i="8" s="1"/>
  <c r="B201" i="8"/>
  <c r="C201" i="8" s="1"/>
  <c r="E201" i="8" s="1"/>
  <c r="B169" i="8"/>
  <c r="C169" i="8" s="1"/>
  <c r="B159" i="8"/>
  <c r="C159" i="8" s="1"/>
  <c r="B157" i="8"/>
  <c r="C157" i="8" s="1"/>
  <c r="D157" i="8" s="1"/>
  <c r="B155" i="8"/>
  <c r="C155" i="8"/>
  <c r="E155" i="8" s="1"/>
  <c r="B150" i="8"/>
  <c r="C150" i="8"/>
  <c r="E150" i="8" s="1"/>
  <c r="B148" i="8"/>
  <c r="C148" i="8" s="1"/>
  <c r="B145" i="8"/>
  <c r="C145" i="8" s="1"/>
  <c r="E145" i="8" s="1"/>
  <c r="B143" i="8"/>
  <c r="C143" i="8" s="1"/>
  <c r="B273" i="8"/>
  <c r="C273" i="8" s="1"/>
  <c r="B241" i="8"/>
  <c r="C241" i="8"/>
  <c r="E241" i="8" s="1"/>
  <c r="B44" i="8"/>
  <c r="C44" i="8" s="1"/>
  <c r="B46" i="8"/>
  <c r="C46" i="8" s="1"/>
  <c r="D46" i="8" s="1"/>
  <c r="B48" i="8"/>
  <c r="C48" i="8"/>
  <c r="B50" i="8"/>
  <c r="C50" i="8"/>
  <c r="B52" i="8"/>
  <c r="C52" i="8"/>
  <c r="D52" i="8" s="1"/>
  <c r="B53" i="8"/>
  <c r="C53" i="8" s="1"/>
  <c r="E53" i="8" s="1"/>
  <c r="B57" i="8"/>
  <c r="C57" i="8"/>
  <c r="B59" i="8"/>
  <c r="C59" i="8" s="1"/>
  <c r="B61" i="8"/>
  <c r="C61" i="8"/>
  <c r="D61" i="8"/>
  <c r="B63" i="8"/>
  <c r="C63" i="8"/>
  <c r="B66" i="8"/>
  <c r="C66" i="8" s="1"/>
  <c r="D66" i="8" s="1"/>
  <c r="B70" i="8"/>
  <c r="C70" i="8"/>
  <c r="D70" i="8" s="1"/>
  <c r="B72" i="8"/>
  <c r="C72" i="8" s="1"/>
  <c r="B74" i="8"/>
  <c r="C74" i="8"/>
  <c r="D74" i="8"/>
  <c r="B76" i="8"/>
  <c r="C76" i="8"/>
  <c r="D76" i="8" s="1"/>
  <c r="B78" i="8"/>
  <c r="C78" i="8"/>
  <c r="E78" i="8"/>
  <c r="B79" i="8"/>
  <c r="C79" i="8" s="1"/>
  <c r="D79" i="8" s="1"/>
  <c r="B80" i="8"/>
  <c r="C80" i="8" s="1"/>
  <c r="B81" i="8"/>
  <c r="C81" i="8"/>
  <c r="E81" i="8" s="1"/>
  <c r="B83" i="8"/>
  <c r="C83" i="8" s="1"/>
  <c r="D83" i="8" s="1"/>
  <c r="B85" i="8"/>
  <c r="C85" i="8"/>
  <c r="B89" i="8"/>
  <c r="C89" i="8" s="1"/>
  <c r="B91" i="8"/>
  <c r="C91" i="8"/>
  <c r="B92" i="8"/>
  <c r="C92" i="8" s="1"/>
  <c r="D92" i="8" s="1"/>
  <c r="B96" i="8"/>
  <c r="C96" i="8"/>
  <c r="D96" i="8" s="1"/>
  <c r="B98" i="8"/>
  <c r="C98" i="8"/>
  <c r="D98" i="8" s="1"/>
  <c r="E98" i="8"/>
  <c r="B99" i="8"/>
  <c r="C99" i="8" s="1"/>
  <c r="D99" i="8" s="1"/>
  <c r="B103" i="8"/>
  <c r="C103" i="8"/>
  <c r="E103" i="8" s="1"/>
  <c r="B106" i="8"/>
  <c r="C106" i="8" s="1"/>
  <c r="B109" i="8"/>
  <c r="C109" i="8" s="1"/>
  <c r="B110" i="8"/>
  <c r="C110" i="8" s="1"/>
  <c r="B113" i="8"/>
  <c r="C113" i="8"/>
  <c r="B116" i="8"/>
  <c r="C116" i="8" s="1"/>
  <c r="E116" i="8" s="1"/>
  <c r="B118" i="8"/>
  <c r="C118" i="8" s="1"/>
  <c r="B120" i="8"/>
  <c r="C120" i="8"/>
  <c r="B121" i="8"/>
  <c r="C121" i="8" s="1"/>
  <c r="B122" i="8"/>
  <c r="C122" i="8" s="1"/>
  <c r="D122" i="8" s="1"/>
  <c r="B123" i="8"/>
  <c r="C123" i="8" s="1"/>
  <c r="B128" i="8"/>
  <c r="C128" i="8"/>
  <c r="D128" i="8" s="1"/>
  <c r="B136" i="8"/>
  <c r="C136" i="8"/>
  <c r="B303" i="8"/>
  <c r="C303" i="8"/>
  <c r="E74" i="8"/>
  <c r="D228" i="8"/>
  <c r="D22" i="8"/>
  <c r="E91" i="8"/>
  <c r="D91" i="8"/>
  <c r="D303" i="8"/>
  <c r="D63" i="8"/>
  <c r="E96" i="8"/>
  <c r="E76" i="8"/>
  <c r="E52" i="8"/>
  <c r="E249" i="8"/>
  <c r="D249" i="8"/>
  <c r="D31" i="8"/>
  <c r="D123" i="8"/>
  <c r="E123" i="8"/>
  <c r="D241" i="8"/>
  <c r="E178" i="8"/>
  <c r="D254" i="8"/>
  <c r="E29" i="8"/>
  <c r="E251" i="8"/>
  <c r="I20" i="7"/>
  <c r="I33" i="7" s="1"/>
  <c r="I36" i="7"/>
  <c r="I35" i="7"/>
  <c r="E10" i="7"/>
  <c r="I15" i="7" s="1"/>
  <c r="B12" i="7"/>
  <c r="C10" i="7"/>
  <c r="B7" i="7"/>
  <c r="E4" i="7"/>
  <c r="B287" i="7"/>
  <c r="C287" i="7"/>
  <c r="C1" i="7"/>
  <c r="E1" i="7"/>
  <c r="B1" i="3"/>
  <c r="E1" i="3" s="1"/>
  <c r="B49" i="7"/>
  <c r="C49" i="7"/>
  <c r="B56" i="7"/>
  <c r="C56" i="7"/>
  <c r="B68" i="7"/>
  <c r="C68" i="7" s="1"/>
  <c r="B76" i="7"/>
  <c r="C76" i="7" s="1"/>
  <c r="B84" i="7"/>
  <c r="C84" i="7" s="1"/>
  <c r="B92" i="7"/>
  <c r="C92" i="7" s="1"/>
  <c r="B100" i="7"/>
  <c r="C100" i="7"/>
  <c r="B112" i="7"/>
  <c r="C112" i="7"/>
  <c r="B120" i="7"/>
  <c r="C120" i="7" s="1"/>
  <c r="B128" i="7"/>
  <c r="C128" i="7"/>
  <c r="B160" i="7"/>
  <c r="C160" i="7" s="1"/>
  <c r="B15" i="7"/>
  <c r="C15" i="7" s="1"/>
  <c r="B29" i="7"/>
  <c r="C29" i="7"/>
  <c r="B30" i="7"/>
  <c r="C30" i="7" s="1"/>
  <c r="E30" i="7" s="1"/>
  <c r="B31" i="7"/>
  <c r="C31" i="7"/>
  <c r="B32" i="7"/>
  <c r="C32" i="7" s="1"/>
  <c r="B33" i="7"/>
  <c r="C33" i="7" s="1"/>
  <c r="B35" i="7"/>
  <c r="C35" i="7" s="1"/>
  <c r="B36" i="7"/>
  <c r="C36" i="7" s="1"/>
  <c r="B37" i="7"/>
  <c r="C37" i="7"/>
  <c r="B40" i="7"/>
  <c r="C40" i="7" s="1"/>
  <c r="B44" i="7"/>
  <c r="C44" i="7"/>
  <c r="B48" i="7"/>
  <c r="C48" i="7" s="1"/>
  <c r="B52" i="7"/>
  <c r="C52" i="7"/>
  <c r="B57" i="7"/>
  <c r="C57" i="7" s="1"/>
  <c r="B61" i="7"/>
  <c r="C61" i="7" s="1"/>
  <c r="B65" i="7"/>
  <c r="C65" i="7"/>
  <c r="B69" i="7"/>
  <c r="C69" i="7" s="1"/>
  <c r="B73" i="7"/>
  <c r="C73" i="7" s="1"/>
  <c r="B77" i="7"/>
  <c r="C77" i="7"/>
  <c r="B81" i="7"/>
  <c r="C81" i="7" s="1"/>
  <c r="B85" i="7"/>
  <c r="C85" i="7" s="1"/>
  <c r="B89" i="7"/>
  <c r="C89" i="7"/>
  <c r="B93" i="7"/>
  <c r="C93" i="7" s="1"/>
  <c r="B97" i="7"/>
  <c r="C97" i="7" s="1"/>
  <c r="B101" i="7"/>
  <c r="C101" i="7"/>
  <c r="B105" i="7"/>
  <c r="C105" i="7" s="1"/>
  <c r="B109" i="7"/>
  <c r="C109" i="7" s="1"/>
  <c r="B113" i="7"/>
  <c r="C113" i="7"/>
  <c r="B117" i="7"/>
  <c r="C117" i="7" s="1"/>
  <c r="B121" i="7"/>
  <c r="C121" i="7" s="1"/>
  <c r="B125" i="7"/>
  <c r="C125" i="7"/>
  <c r="B129" i="7"/>
  <c r="C129" i="7" s="1"/>
  <c r="B133" i="7"/>
  <c r="C133" i="7" s="1"/>
  <c r="B137" i="7"/>
  <c r="C137" i="7"/>
  <c r="B141" i="7"/>
  <c r="C141" i="7" s="1"/>
  <c r="B145" i="7"/>
  <c r="C145" i="7" s="1"/>
  <c r="B149" i="7"/>
  <c r="C149" i="7"/>
  <c r="B153" i="7"/>
  <c r="C153" i="7" s="1"/>
  <c r="B157" i="7"/>
  <c r="C157" i="7" s="1"/>
  <c r="B161" i="7"/>
  <c r="C161" i="7"/>
  <c r="B165" i="7"/>
  <c r="C165" i="7" s="1"/>
  <c r="B170" i="7"/>
  <c r="C170" i="7" s="1"/>
  <c r="B239" i="7"/>
  <c r="C239" i="7"/>
  <c r="E239" i="7"/>
  <c r="B303" i="7"/>
  <c r="C303" i="7"/>
  <c r="B22" i="7"/>
  <c r="C22" i="7"/>
  <c r="B23" i="7"/>
  <c r="C23" i="7" s="1"/>
  <c r="B24" i="7"/>
  <c r="C24" i="7" s="1"/>
  <c r="B25" i="7"/>
  <c r="C25" i="7"/>
  <c r="B26" i="7"/>
  <c r="C26" i="7" s="1"/>
  <c r="E26" i="7"/>
  <c r="B34" i="7"/>
  <c r="C34" i="7"/>
  <c r="B41" i="7"/>
  <c r="C41" i="7" s="1"/>
  <c r="E41" i="7" s="1"/>
  <c r="B43" i="7"/>
  <c r="C43" i="7"/>
  <c r="B47" i="7"/>
  <c r="C47" i="7"/>
  <c r="B51" i="7"/>
  <c r="C51" i="7" s="1"/>
  <c r="B54" i="7"/>
  <c r="C54" i="7"/>
  <c r="B58" i="7"/>
  <c r="C58" i="7" s="1"/>
  <c r="B62" i="7"/>
  <c r="C62" i="7"/>
  <c r="B66" i="7"/>
  <c r="C66" i="7" s="1"/>
  <c r="B70" i="7"/>
  <c r="C70" i="7"/>
  <c r="B74" i="7"/>
  <c r="C74" i="7" s="1"/>
  <c r="B78" i="7"/>
  <c r="C78" i="7"/>
  <c r="B82" i="7"/>
  <c r="C82" i="7" s="1"/>
  <c r="B86" i="7"/>
  <c r="C86" i="7"/>
  <c r="B90" i="7"/>
  <c r="C90" i="7" s="1"/>
  <c r="B94" i="7"/>
  <c r="C94" i="7"/>
  <c r="B98" i="7"/>
  <c r="C98" i="7" s="1"/>
  <c r="B102" i="7"/>
  <c r="C102" i="7"/>
  <c r="B106" i="7"/>
  <c r="C106" i="7" s="1"/>
  <c r="B110" i="7"/>
  <c r="C110" i="7"/>
  <c r="B114" i="7"/>
  <c r="C114" i="7" s="1"/>
  <c r="B118" i="7"/>
  <c r="C118" i="7"/>
  <c r="B122" i="7"/>
  <c r="C122" i="7" s="1"/>
  <c r="B126" i="7"/>
  <c r="C126" i="7"/>
  <c r="B130" i="7"/>
  <c r="C130" i="7" s="1"/>
  <c r="B134" i="7"/>
  <c r="C134" i="7"/>
  <c r="B138" i="7"/>
  <c r="C138" i="7" s="1"/>
  <c r="B142" i="7"/>
  <c r="C142" i="7"/>
  <c r="B146" i="7"/>
  <c r="C146" i="7" s="1"/>
  <c r="B150" i="7"/>
  <c r="C150" i="7"/>
  <c r="B154" i="7"/>
  <c r="C154" i="7" s="1"/>
  <c r="B158" i="7"/>
  <c r="C158" i="7"/>
  <c r="B162" i="7"/>
  <c r="C162" i="7" s="1"/>
  <c r="B166" i="7"/>
  <c r="C166" i="7"/>
  <c r="B316" i="7"/>
  <c r="C316" i="7" s="1"/>
  <c r="B312" i="7"/>
  <c r="C312" i="7"/>
  <c r="B308" i="7"/>
  <c r="C308" i="7" s="1"/>
  <c r="B304" i="7"/>
  <c r="C304" i="7" s="1"/>
  <c r="B300" i="7"/>
  <c r="C300" i="7"/>
  <c r="E300" i="7" s="1"/>
  <c r="B296" i="7"/>
  <c r="C296" i="7"/>
  <c r="B292" i="7"/>
  <c r="C292" i="7"/>
  <c r="E292" i="7"/>
  <c r="B288" i="7"/>
  <c r="C288" i="7" s="1"/>
  <c r="B284" i="7"/>
  <c r="C284" i="7" s="1"/>
  <c r="B280" i="7"/>
  <c r="C280" i="7"/>
  <c r="B276" i="7"/>
  <c r="C276" i="7" s="1"/>
  <c r="E276" i="7"/>
  <c r="B272" i="7"/>
  <c r="C272" i="7"/>
  <c r="B268" i="7"/>
  <c r="C268" i="7" s="1"/>
  <c r="B264" i="7"/>
  <c r="C264" i="7" s="1"/>
  <c r="B260" i="7"/>
  <c r="C260" i="7"/>
  <c r="E260" i="7"/>
  <c r="B256" i="7"/>
  <c r="C256" i="7"/>
  <c r="B252" i="7"/>
  <c r="C252" i="7"/>
  <c r="B248" i="7"/>
  <c r="C248" i="7"/>
  <c r="B244" i="7"/>
  <c r="C244" i="7"/>
  <c r="B240" i="7"/>
  <c r="C240" i="7"/>
  <c r="N13" i="7"/>
  <c r="B236" i="7"/>
  <c r="C236" i="7" s="1"/>
  <c r="E236" i="7"/>
  <c r="B317" i="7"/>
  <c r="C317" i="7"/>
  <c r="E317" i="7"/>
  <c r="B313" i="7"/>
  <c r="C313" i="7" s="1"/>
  <c r="B309" i="7"/>
  <c r="C309" i="7" s="1"/>
  <c r="B305" i="7"/>
  <c r="C305" i="7"/>
  <c r="B301" i="7"/>
  <c r="C301" i="7" s="1"/>
  <c r="E301" i="7"/>
  <c r="B297" i="7"/>
  <c r="C297" i="7"/>
  <c r="B293" i="7"/>
  <c r="C293" i="7" s="1"/>
  <c r="B289" i="7"/>
  <c r="C289" i="7"/>
  <c r="B285" i="7"/>
  <c r="C285" i="7"/>
  <c r="E285" i="7"/>
  <c r="B281" i="7"/>
  <c r="C281" i="7" s="1"/>
  <c r="B277" i="7"/>
  <c r="C277" i="7" s="1"/>
  <c r="B273" i="7"/>
  <c r="C273" i="7"/>
  <c r="B269" i="7"/>
  <c r="C269" i="7" s="1"/>
  <c r="E269" i="7"/>
  <c r="B265" i="7"/>
  <c r="C265" i="7"/>
  <c r="B261" i="7"/>
  <c r="C261" i="7" s="1"/>
  <c r="B257" i="7"/>
  <c r="C257" i="7"/>
  <c r="B253" i="7"/>
  <c r="C253" i="7"/>
  <c r="E253" i="7"/>
  <c r="B249" i="7"/>
  <c r="C249" i="7" s="1"/>
  <c r="B245" i="7"/>
  <c r="C245" i="7" s="1"/>
  <c r="B241" i="7"/>
  <c r="C241" i="7"/>
  <c r="B237" i="7"/>
  <c r="C237" i="7" s="1"/>
  <c r="E237" i="7"/>
  <c r="B318" i="7"/>
  <c r="C318" i="7"/>
  <c r="E318" i="7"/>
  <c r="B310" i="7"/>
  <c r="C310" i="7" s="1"/>
  <c r="B302" i="7"/>
  <c r="C302" i="7" s="1"/>
  <c r="B294" i="7"/>
  <c r="C294" i="7" s="1"/>
  <c r="B286" i="7"/>
  <c r="C286" i="7" s="1"/>
  <c r="B278" i="7"/>
  <c r="C278" i="7" s="1"/>
  <c r="B270" i="7"/>
  <c r="C270" i="7"/>
  <c r="B262" i="7"/>
  <c r="C262" i="7"/>
  <c r="E262" i="7"/>
  <c r="B254" i="7"/>
  <c r="C254" i="7"/>
  <c r="B246" i="7"/>
  <c r="C246" i="7"/>
  <c r="B238" i="7"/>
  <c r="C238" i="7" s="1"/>
  <c r="E238" i="7"/>
  <c r="B233" i="7"/>
  <c r="C233" i="7"/>
  <c r="B231" i="7"/>
  <c r="C231" i="7" s="1"/>
  <c r="B229" i="7"/>
  <c r="C229" i="7" s="1"/>
  <c r="B227" i="7"/>
  <c r="C227" i="7"/>
  <c r="E227" i="7"/>
  <c r="B225" i="7"/>
  <c r="C225" i="7"/>
  <c r="B223" i="7"/>
  <c r="C223" i="7"/>
  <c r="B221" i="7"/>
  <c r="C221" i="7" s="1"/>
  <c r="B219" i="7"/>
  <c r="C219" i="7" s="1"/>
  <c r="B217" i="7"/>
  <c r="C217" i="7"/>
  <c r="B215" i="7"/>
  <c r="C215" i="7" s="1"/>
  <c r="E215" i="7"/>
  <c r="B315" i="7"/>
  <c r="C315" i="7"/>
  <c r="B307" i="7"/>
  <c r="C307" i="7" s="1"/>
  <c r="B299" i="7"/>
  <c r="C299" i="7" s="1"/>
  <c r="B291" i="7"/>
  <c r="C291" i="7"/>
  <c r="E291" i="7"/>
  <c r="B283" i="7"/>
  <c r="C283" i="7"/>
  <c r="B275" i="7"/>
  <c r="C275" i="7"/>
  <c r="E275" i="7"/>
  <c r="B267" i="7"/>
  <c r="C267" i="7" s="1"/>
  <c r="B259" i="7"/>
  <c r="C259" i="7" s="1"/>
  <c r="B251" i="7"/>
  <c r="C251" i="7"/>
  <c r="B243" i="7"/>
  <c r="C243" i="7"/>
  <c r="B235" i="7"/>
  <c r="C235" i="7"/>
  <c r="B213" i="7"/>
  <c r="C213" i="7" s="1"/>
  <c r="B212" i="7"/>
  <c r="C212" i="7" s="1"/>
  <c r="B211" i="7"/>
  <c r="C211" i="7"/>
  <c r="B210" i="7"/>
  <c r="C210" i="7" s="1"/>
  <c r="E210" i="7"/>
  <c r="B209" i="7"/>
  <c r="C209" i="7"/>
  <c r="E209" i="7"/>
  <c r="B208" i="7"/>
  <c r="C208" i="7" s="1"/>
  <c r="E208" i="7"/>
  <c r="B207" i="7"/>
  <c r="C207" i="7"/>
  <c r="E207" i="7"/>
  <c r="B206" i="7"/>
  <c r="C206" i="7" s="1"/>
  <c r="E206" i="7" s="1"/>
  <c r="B205" i="7"/>
  <c r="C205" i="7"/>
  <c r="E205" i="7"/>
  <c r="B204" i="7"/>
  <c r="C204" i="7" s="1"/>
  <c r="B203" i="7"/>
  <c r="C203" i="7" s="1"/>
  <c r="B202" i="7"/>
  <c r="C202" i="7"/>
  <c r="E202" i="7"/>
  <c r="B201" i="7"/>
  <c r="C201" i="7"/>
  <c r="B200" i="7"/>
  <c r="C200" i="7"/>
  <c r="E200" i="7"/>
  <c r="B199" i="7"/>
  <c r="C199" i="7"/>
  <c r="B198" i="7"/>
  <c r="C198" i="7"/>
  <c r="E198" i="7" s="1"/>
  <c r="B197" i="7"/>
  <c r="C197" i="7"/>
  <c r="B196" i="7"/>
  <c r="C196" i="7"/>
  <c r="B195" i="7"/>
  <c r="C195" i="7" s="1"/>
  <c r="B194" i="7"/>
  <c r="C194" i="7"/>
  <c r="B193" i="7"/>
  <c r="C193" i="7"/>
  <c r="E193" i="7"/>
  <c r="B192" i="7"/>
  <c r="C192" i="7"/>
  <c r="B191" i="7"/>
  <c r="C191" i="7"/>
  <c r="B190" i="7"/>
  <c r="C190" i="7" s="1"/>
  <c r="E190" i="7"/>
  <c r="B189" i="7"/>
  <c r="C189" i="7"/>
  <c r="B188" i="7"/>
  <c r="C188" i="7" s="1"/>
  <c r="B187" i="7"/>
  <c r="C187" i="7"/>
  <c r="B186" i="7"/>
  <c r="C186" i="7"/>
  <c r="E186" i="7"/>
  <c r="B185" i="7"/>
  <c r="C185" i="7" s="1"/>
  <c r="B184" i="7"/>
  <c r="C184" i="7" s="1"/>
  <c r="B183" i="7"/>
  <c r="C183" i="7" s="1"/>
  <c r="B182" i="7"/>
  <c r="C182" i="7" s="1"/>
  <c r="B181" i="7"/>
  <c r="C181" i="7" s="1"/>
  <c r="B180" i="7"/>
  <c r="C180" i="7" s="1"/>
  <c r="B179" i="7"/>
  <c r="C179" i="7"/>
  <c r="B178" i="7"/>
  <c r="C178" i="7" s="1"/>
  <c r="E178" i="7"/>
  <c r="B177" i="7"/>
  <c r="C177" i="7"/>
  <c r="E177" i="7"/>
  <c r="B306" i="7"/>
  <c r="C306" i="7" s="1"/>
  <c r="B290" i="7"/>
  <c r="C290" i="7" s="1"/>
  <c r="E290" i="7"/>
  <c r="B274" i="7"/>
  <c r="C274" i="7"/>
  <c r="B258" i="7"/>
  <c r="C258" i="7" s="1"/>
  <c r="E258" i="7" s="1"/>
  <c r="B242" i="7"/>
  <c r="C242" i="7"/>
  <c r="B232" i="7"/>
  <c r="C232" i="7"/>
  <c r="B228" i="7"/>
  <c r="C228" i="7" s="1"/>
  <c r="B224" i="7"/>
  <c r="C224" i="7" s="1"/>
  <c r="E224" i="7"/>
  <c r="B220" i="7"/>
  <c r="C220" i="7"/>
  <c r="B216" i="7"/>
  <c r="C216" i="7" s="1"/>
  <c r="B175" i="7"/>
  <c r="C175" i="7" s="1"/>
  <c r="B173" i="7"/>
  <c r="C173" i="7" s="1"/>
  <c r="E173" i="7" s="1"/>
  <c r="B171" i="7"/>
  <c r="C171" i="7"/>
  <c r="B167" i="7"/>
  <c r="C167" i="7"/>
  <c r="B311" i="7"/>
  <c r="C311" i="7"/>
  <c r="B295" i="7"/>
  <c r="C295" i="7" s="1"/>
  <c r="E295" i="7" s="1"/>
  <c r="B279" i="7"/>
  <c r="C279" i="7"/>
  <c r="B263" i="7"/>
  <c r="C263" i="7"/>
  <c r="B247" i="7"/>
  <c r="C247" i="7" s="1"/>
  <c r="E247" i="7" s="1"/>
  <c r="B168" i="7"/>
  <c r="C168" i="7"/>
  <c r="B314" i="7"/>
  <c r="C314" i="7"/>
  <c r="B298" i="7"/>
  <c r="C298" i="7" s="1"/>
  <c r="E298" i="7"/>
  <c r="B282" i="7"/>
  <c r="C282" i="7"/>
  <c r="E282" i="7"/>
  <c r="B266" i="7"/>
  <c r="C266" i="7" s="1"/>
  <c r="E266" i="7" s="1"/>
  <c r="B250" i="7"/>
  <c r="C250" i="7"/>
  <c r="B234" i="7"/>
  <c r="C234" i="7"/>
  <c r="B230" i="7"/>
  <c r="C230" i="7" s="1"/>
  <c r="E230" i="7" s="1"/>
  <c r="B226" i="7"/>
  <c r="C226" i="7"/>
  <c r="B222" i="7"/>
  <c r="C222" i="7" s="1"/>
  <c r="B218" i="7"/>
  <c r="C218" i="7"/>
  <c r="E218" i="7" s="1"/>
  <c r="B214" i="7"/>
  <c r="C214" i="7"/>
  <c r="B174" i="7"/>
  <c r="C174" i="7"/>
  <c r="E174" i="7"/>
  <c r="B172" i="7"/>
  <c r="C172" i="7"/>
  <c r="B169" i="7"/>
  <c r="C169" i="7"/>
  <c r="E169" i="7"/>
  <c r="I13" i="7"/>
  <c r="J13" i="7" s="1"/>
  <c r="B16" i="7"/>
  <c r="C16" i="7" s="1"/>
  <c r="E16" i="7"/>
  <c r="B28" i="7"/>
  <c r="C28" i="7" s="1"/>
  <c r="B38" i="7"/>
  <c r="C38" i="7"/>
  <c r="B39" i="7"/>
  <c r="C39" i="7"/>
  <c r="E39" i="7"/>
  <c r="B45" i="7"/>
  <c r="C45" i="7"/>
  <c r="B53" i="7"/>
  <c r="C53" i="7" s="1"/>
  <c r="B60" i="7"/>
  <c r="C60" i="7" s="1"/>
  <c r="D60" i="7"/>
  <c r="B64" i="7"/>
  <c r="C64" i="7"/>
  <c r="B72" i="7"/>
  <c r="C72" i="7" s="1"/>
  <c r="B80" i="7"/>
  <c r="C80" i="7"/>
  <c r="B88" i="7"/>
  <c r="C88" i="7"/>
  <c r="D88" i="7"/>
  <c r="B96" i="7"/>
  <c r="C96" i="7" s="1"/>
  <c r="B104" i="7"/>
  <c r="C104" i="7" s="1"/>
  <c r="B108" i="7"/>
  <c r="C108" i="7" s="1"/>
  <c r="B116" i="7"/>
  <c r="C116" i="7" s="1"/>
  <c r="D116" i="7"/>
  <c r="B124" i="7"/>
  <c r="C124" i="7"/>
  <c r="B132" i="7"/>
  <c r="C132" i="7" s="1"/>
  <c r="B136" i="7"/>
  <c r="C136" i="7"/>
  <c r="B140" i="7"/>
  <c r="C140" i="7"/>
  <c r="D140" i="7"/>
  <c r="B144" i="7"/>
  <c r="C144" i="7" s="1"/>
  <c r="B148" i="7"/>
  <c r="C148" i="7" s="1"/>
  <c r="B152" i="7"/>
  <c r="C152" i="7" s="1"/>
  <c r="B156" i="7"/>
  <c r="C156" i="7" s="1"/>
  <c r="D156" i="7"/>
  <c r="B164" i="7"/>
  <c r="C164" i="7"/>
  <c r="B255" i="7"/>
  <c r="C255" i="7" s="1"/>
  <c r="B17" i="7"/>
  <c r="C17" i="7" s="1"/>
  <c r="E17" i="7"/>
  <c r="B18" i="7"/>
  <c r="C18" i="7"/>
  <c r="B19" i="7"/>
  <c r="C19" i="7" s="1"/>
  <c r="B20" i="7"/>
  <c r="C20" i="7"/>
  <c r="B21" i="7"/>
  <c r="C21" i="7" s="1"/>
  <c r="E21" i="7" s="1"/>
  <c r="B27" i="7"/>
  <c r="C27" i="7"/>
  <c r="E27" i="7" s="1"/>
  <c r="B42" i="7"/>
  <c r="C42" i="7" s="1"/>
  <c r="E42" i="7"/>
  <c r="B46" i="7"/>
  <c r="C46" i="7"/>
  <c r="B50" i="7"/>
  <c r="C50" i="7" s="1"/>
  <c r="E50" i="7" s="1"/>
  <c r="B55" i="7"/>
  <c r="C55" i="7" s="1"/>
  <c r="E55" i="7" s="1"/>
  <c r="B59" i="7"/>
  <c r="C59" i="7"/>
  <c r="E59" i="7" s="1"/>
  <c r="B63" i="7"/>
  <c r="C63" i="7" s="1"/>
  <c r="D63" i="7"/>
  <c r="B67" i="7"/>
  <c r="C67" i="7"/>
  <c r="D67" i="7"/>
  <c r="B71" i="7"/>
  <c r="C71" i="7" s="1"/>
  <c r="E71" i="7"/>
  <c r="B75" i="7"/>
  <c r="C75" i="7" s="1"/>
  <c r="E75" i="7" s="1"/>
  <c r="B79" i="7"/>
  <c r="C79" i="7" s="1"/>
  <c r="D79" i="7" s="1"/>
  <c r="B83" i="7"/>
  <c r="C83" i="7"/>
  <c r="D83" i="7" s="1"/>
  <c r="B87" i="7"/>
  <c r="C87" i="7" s="1"/>
  <c r="E87" i="7"/>
  <c r="B91" i="7"/>
  <c r="C91" i="7"/>
  <c r="E91" i="7"/>
  <c r="B95" i="7"/>
  <c r="C95" i="7" s="1"/>
  <c r="D95" i="7"/>
  <c r="B99" i="7"/>
  <c r="C99" i="7" s="1"/>
  <c r="D99" i="7" s="1"/>
  <c r="B103" i="7"/>
  <c r="C103" i="7" s="1"/>
  <c r="E103" i="7" s="1"/>
  <c r="B107" i="7"/>
  <c r="C107" i="7"/>
  <c r="E107" i="7" s="1"/>
  <c r="B111" i="7"/>
  <c r="C111" i="7" s="1"/>
  <c r="D111" i="7"/>
  <c r="B115" i="7"/>
  <c r="C115" i="7"/>
  <c r="D115" i="7"/>
  <c r="B119" i="7"/>
  <c r="C119" i="7" s="1"/>
  <c r="E119" i="7"/>
  <c r="B123" i="7"/>
  <c r="C123" i="7" s="1"/>
  <c r="E123" i="7" s="1"/>
  <c r="B127" i="7"/>
  <c r="C127" i="7" s="1"/>
  <c r="B131" i="7"/>
  <c r="C131" i="7"/>
  <c r="D131" i="7"/>
  <c r="B135" i="7"/>
  <c r="C135" i="7"/>
  <c r="B139" i="7"/>
  <c r="C139" i="7" s="1"/>
  <c r="E139" i="7" s="1"/>
  <c r="B143" i="7"/>
  <c r="C143" i="7" s="1"/>
  <c r="B147" i="7"/>
  <c r="C147" i="7"/>
  <c r="D147" i="7" s="1"/>
  <c r="B151" i="7"/>
  <c r="C151" i="7"/>
  <c r="E151" i="7" s="1"/>
  <c r="B155" i="7"/>
  <c r="C155" i="7"/>
  <c r="E155" i="7" s="1"/>
  <c r="B159" i="7"/>
  <c r="C159" i="7"/>
  <c r="B163" i="7"/>
  <c r="C163" i="7" s="1"/>
  <c r="D163" i="7"/>
  <c r="B271" i="7"/>
  <c r="C271" i="7" s="1"/>
  <c r="E271" i="7" s="1"/>
  <c r="I20" i="4"/>
  <c r="I33" i="4"/>
  <c r="B1" i="4"/>
  <c r="E5" i="4" s="1"/>
  <c r="A176" i="4" s="1"/>
  <c r="E10" i="4"/>
  <c r="B3" i="4"/>
  <c r="B40" i="4" s="1"/>
  <c r="B17" i="4"/>
  <c r="C17" i="4" s="1"/>
  <c r="I36" i="3"/>
  <c r="I35" i="3"/>
  <c r="I20" i="3"/>
  <c r="I33" i="3"/>
  <c r="E10" i="3"/>
  <c r="B12" i="3"/>
  <c r="B3" i="3"/>
  <c r="B244" i="3"/>
  <c r="C244" i="3" s="1"/>
  <c r="N13" i="3" s="1"/>
  <c r="E4" i="3"/>
  <c r="B7" i="4"/>
  <c r="I36" i="4"/>
  <c r="I35" i="4"/>
  <c r="C10" i="4"/>
  <c r="C1" i="4"/>
  <c r="C10" i="3"/>
  <c r="B7" i="3"/>
  <c r="C1" i="3"/>
  <c r="E5" i="3"/>
  <c r="A176" i="3" s="1"/>
  <c r="I20" i="2"/>
  <c r="I33" i="2" s="1"/>
  <c r="B1" i="2"/>
  <c r="E10" i="2"/>
  <c r="B12" i="2"/>
  <c r="E184" i="2" s="1"/>
  <c r="B3" i="2"/>
  <c r="B59" i="2" s="1"/>
  <c r="C59" i="2" s="1"/>
  <c r="E4" i="2"/>
  <c r="I36" i="2"/>
  <c r="I35" i="2" s="1"/>
  <c r="C10" i="2"/>
  <c r="B7" i="2"/>
  <c r="C1" i="2"/>
  <c r="O24" i="1"/>
  <c r="E4" i="1"/>
  <c r="B1" i="1"/>
  <c r="E1" i="1"/>
  <c r="B3" i="1"/>
  <c r="B241" i="1" s="1"/>
  <c r="C241" i="1" s="1"/>
  <c r="B7" i="1"/>
  <c r="C1" i="1"/>
  <c r="E10" i="1"/>
  <c r="B12" i="1"/>
  <c r="C10" i="1"/>
  <c r="B143" i="3"/>
  <c r="C143" i="3" s="1"/>
  <c r="B262" i="3"/>
  <c r="C262" i="3" s="1"/>
  <c r="B101" i="3"/>
  <c r="C101" i="3"/>
  <c r="B238" i="3"/>
  <c r="C238" i="3"/>
  <c r="B314" i="3"/>
  <c r="C314" i="3"/>
  <c r="B142" i="3"/>
  <c r="C142" i="3"/>
  <c r="B68" i="3"/>
  <c r="C68" i="3" s="1"/>
  <c r="B98" i="3"/>
  <c r="C98" i="3"/>
  <c r="B141" i="3"/>
  <c r="C141" i="3"/>
  <c r="D141" i="3" s="1"/>
  <c r="B19" i="3"/>
  <c r="C19" i="3" s="1"/>
  <c r="D19" i="3" s="1"/>
  <c r="B21" i="3"/>
  <c r="C21" i="3"/>
  <c r="B222" i="3"/>
  <c r="C222" i="3" s="1"/>
  <c r="B217" i="3"/>
  <c r="C217" i="3" s="1"/>
  <c r="B27" i="3"/>
  <c r="C27" i="3" s="1"/>
  <c r="B237" i="3"/>
  <c r="C237" i="3"/>
  <c r="B196" i="3"/>
  <c r="C196" i="3" s="1"/>
  <c r="B113" i="3"/>
  <c r="C113" i="3"/>
  <c r="B200" i="3"/>
  <c r="C200" i="3"/>
  <c r="C40" i="4"/>
  <c r="B94" i="3"/>
  <c r="C94" i="3"/>
  <c r="B252" i="3"/>
  <c r="C252" i="3" s="1"/>
  <c r="B40" i="3"/>
  <c r="C40" i="3" s="1"/>
  <c r="D40" i="3" s="1"/>
  <c r="B161" i="3"/>
  <c r="C161" i="3" s="1"/>
  <c r="B201" i="3"/>
  <c r="C201" i="3" s="1"/>
  <c r="D201" i="3" s="1"/>
  <c r="B261" i="3"/>
  <c r="C261" i="3" s="1"/>
  <c r="B67" i="3"/>
  <c r="C67" i="3" s="1"/>
  <c r="B83" i="3"/>
  <c r="C83" i="3"/>
  <c r="B169" i="3"/>
  <c r="C169" i="3"/>
  <c r="B55" i="3"/>
  <c r="C55" i="3"/>
  <c r="B93" i="3"/>
  <c r="C93" i="3" s="1"/>
  <c r="B84" i="3"/>
  <c r="C84" i="3" s="1"/>
  <c r="B175" i="3"/>
  <c r="C175" i="3" s="1"/>
  <c r="B227" i="3"/>
  <c r="C227" i="3" s="1"/>
  <c r="B309" i="3"/>
  <c r="C309" i="3"/>
  <c r="B125" i="3"/>
  <c r="C125" i="3" s="1"/>
  <c r="D125" i="3" s="1"/>
  <c r="B73" i="3"/>
  <c r="C73" i="3" s="1"/>
  <c r="D73" i="3" s="1"/>
  <c r="B119" i="3"/>
  <c r="C119" i="3" s="1"/>
  <c r="B124" i="3"/>
  <c r="C124" i="3"/>
  <c r="B272" i="3"/>
  <c r="C272" i="3" s="1"/>
  <c r="B278" i="3"/>
  <c r="C278" i="3"/>
  <c r="D278" i="3" s="1"/>
  <c r="B133" i="3"/>
  <c r="C133" i="3" s="1"/>
  <c r="B79" i="3"/>
  <c r="C79" i="3"/>
  <c r="B127" i="3"/>
  <c r="C127" i="3" s="1"/>
  <c r="D127" i="3" s="1"/>
  <c r="B174" i="3"/>
  <c r="C174" i="3" s="1"/>
  <c r="B156" i="3"/>
  <c r="C156" i="3"/>
  <c r="B284" i="3"/>
  <c r="C284" i="3" s="1"/>
  <c r="D284" i="3" s="1"/>
  <c r="B286" i="3"/>
  <c r="C286" i="3" s="1"/>
  <c r="B91" i="2"/>
  <c r="C91" i="2" s="1"/>
  <c r="I34" i="2"/>
  <c r="I38" i="2"/>
  <c r="B163" i="2"/>
  <c r="C163" i="2" s="1"/>
  <c r="B48" i="2"/>
  <c r="C48" i="2"/>
  <c r="B59" i="3"/>
  <c r="C59" i="3" s="1"/>
  <c r="B54" i="3"/>
  <c r="C54" i="3"/>
  <c r="B166" i="3"/>
  <c r="C166" i="3" s="1"/>
  <c r="B132" i="3"/>
  <c r="C132" i="3"/>
  <c r="B187" i="3"/>
  <c r="C187" i="3" s="1"/>
  <c r="D187" i="3" s="1"/>
  <c r="B231" i="3"/>
  <c r="C231" i="3" s="1"/>
  <c r="B293" i="3"/>
  <c r="C293" i="3"/>
  <c r="D293" i="3" s="1"/>
  <c r="B294" i="2"/>
  <c r="C294" i="2" s="1"/>
  <c r="B254" i="2"/>
  <c r="C254" i="2" s="1"/>
  <c r="B107" i="2"/>
  <c r="C107" i="2" s="1"/>
  <c r="B117" i="2"/>
  <c r="C117" i="2" s="1"/>
  <c r="B63" i="3"/>
  <c r="C63" i="3"/>
  <c r="B99" i="3"/>
  <c r="C99" i="3" s="1"/>
  <c r="B134" i="3"/>
  <c r="C134" i="3"/>
  <c r="B39" i="3"/>
  <c r="C39" i="3" s="1"/>
  <c r="D39" i="3" s="1"/>
  <c r="B96" i="3"/>
  <c r="C96" i="3" s="1"/>
  <c r="D96" i="3" s="1"/>
  <c r="B162" i="3"/>
  <c r="C162" i="3" s="1"/>
  <c r="B165" i="3"/>
  <c r="C165" i="3"/>
  <c r="B148" i="3"/>
  <c r="C148" i="3" s="1"/>
  <c r="E148" i="3" s="1"/>
  <c r="B139" i="3"/>
  <c r="C139" i="3" s="1"/>
  <c r="B251" i="3"/>
  <c r="C251" i="3"/>
  <c r="B232" i="3"/>
  <c r="C232" i="3" s="1"/>
  <c r="D232" i="3" s="1"/>
  <c r="B280" i="3"/>
  <c r="C280" i="3" s="1"/>
  <c r="D280" i="3" s="1"/>
  <c r="B313" i="3"/>
  <c r="C313" i="3" s="1"/>
  <c r="B282" i="3"/>
  <c r="C282" i="3"/>
  <c r="B20" i="3"/>
  <c r="C20" i="3" s="1"/>
  <c r="B292" i="2"/>
  <c r="C292" i="2" s="1"/>
  <c r="B197" i="2"/>
  <c r="C197" i="2"/>
  <c r="E197" i="2" s="1"/>
  <c r="B102" i="2"/>
  <c r="C102" i="2" s="1"/>
  <c r="B74" i="3"/>
  <c r="C74" i="3" s="1"/>
  <c r="D74" i="3" s="1"/>
  <c r="B106" i="3"/>
  <c r="C106" i="3" s="1"/>
  <c r="B271" i="3"/>
  <c r="C271" i="3"/>
  <c r="E271" i="3" s="1"/>
  <c r="B164" i="3"/>
  <c r="C164" i="3" s="1"/>
  <c r="B155" i="3"/>
  <c r="C155" i="3"/>
  <c r="B193" i="3"/>
  <c r="C193" i="3"/>
  <c r="B223" i="3"/>
  <c r="C223" i="3" s="1"/>
  <c r="B242" i="3"/>
  <c r="C242" i="3"/>
  <c r="E242" i="3" s="1"/>
  <c r="B265" i="3"/>
  <c r="C265" i="3" s="1"/>
  <c r="B240" i="3"/>
  <c r="C240" i="3"/>
  <c r="B204" i="2"/>
  <c r="C204" i="2" s="1"/>
  <c r="B266" i="2"/>
  <c r="C266" i="2" s="1"/>
  <c r="B170" i="3"/>
  <c r="C170" i="3"/>
  <c r="B180" i="3"/>
  <c r="C180" i="3" s="1"/>
  <c r="D180" i="3" s="1"/>
  <c r="B163" i="3"/>
  <c r="C163" i="3" s="1"/>
  <c r="B300" i="3"/>
  <c r="C300" i="3"/>
  <c r="B21" i="2"/>
  <c r="C21" i="2" s="1"/>
  <c r="E21" i="2" s="1"/>
  <c r="B227" i="2"/>
  <c r="C227" i="2" s="1"/>
  <c r="B258" i="2"/>
  <c r="C258" i="2" s="1"/>
  <c r="B107" i="3"/>
  <c r="C107" i="3" s="1"/>
  <c r="B53" i="3"/>
  <c r="C53" i="3"/>
  <c r="B287" i="3"/>
  <c r="C287" i="3" s="1"/>
  <c r="B206" i="3"/>
  <c r="C206" i="3"/>
  <c r="D206" i="3" s="1"/>
  <c r="B168" i="3"/>
  <c r="C168" i="3"/>
  <c r="B224" i="3"/>
  <c r="C224" i="3" s="1"/>
  <c r="B246" i="3"/>
  <c r="C246" i="3"/>
  <c r="B277" i="3"/>
  <c r="C277" i="3"/>
  <c r="B302" i="3"/>
  <c r="C302" i="3" s="1"/>
  <c r="D302" i="3" s="1"/>
  <c r="B176" i="3"/>
  <c r="C176" i="3" s="1"/>
  <c r="B88" i="2"/>
  <c r="C88" i="2" s="1"/>
  <c r="E88" i="2" s="1"/>
  <c r="B184" i="2"/>
  <c r="C184" i="2"/>
  <c r="B43" i="3"/>
  <c r="C43" i="3" s="1"/>
  <c r="D43" i="3" s="1"/>
  <c r="B129" i="3"/>
  <c r="C129" i="3" s="1"/>
  <c r="B62" i="3"/>
  <c r="C62" i="3"/>
  <c r="B109" i="3"/>
  <c r="C109" i="3" s="1"/>
  <c r="B30" i="3"/>
  <c r="C30" i="3"/>
  <c r="B26" i="3"/>
  <c r="C26" i="3" s="1"/>
  <c r="D26" i="3" s="1"/>
  <c r="B82" i="3"/>
  <c r="C82" i="3"/>
  <c r="B112" i="3"/>
  <c r="C112" i="3"/>
  <c r="D112" i="3" s="1"/>
  <c r="B182" i="3"/>
  <c r="C182" i="3" s="1"/>
  <c r="E182" i="3" s="1"/>
  <c r="B208" i="3"/>
  <c r="C208" i="3"/>
  <c r="B199" i="3"/>
  <c r="C199" i="3" s="1"/>
  <c r="B212" i="3"/>
  <c r="C212" i="3"/>
  <c r="B225" i="3"/>
  <c r="C225" i="3"/>
  <c r="B304" i="3"/>
  <c r="C304" i="3" s="1"/>
  <c r="B285" i="3"/>
  <c r="C285" i="3"/>
  <c r="B128" i="3"/>
  <c r="C128" i="3" s="1"/>
  <c r="B267" i="4"/>
  <c r="C267" i="4"/>
  <c r="B306" i="2"/>
  <c r="C306" i="2" s="1"/>
  <c r="B52" i="3"/>
  <c r="C52" i="3" s="1"/>
  <c r="B90" i="3"/>
  <c r="C90" i="3"/>
  <c r="B145" i="3"/>
  <c r="C145" i="3"/>
  <c r="B307" i="3"/>
  <c r="C307" i="3" s="1"/>
  <c r="B295" i="3"/>
  <c r="C295" i="3"/>
  <c r="B203" i="3"/>
  <c r="C203" i="3" s="1"/>
  <c r="B215" i="3"/>
  <c r="C215" i="3"/>
  <c r="B241" i="3"/>
  <c r="C241" i="3" s="1"/>
  <c r="B301" i="3"/>
  <c r="C301" i="3"/>
  <c r="B318" i="3"/>
  <c r="C318" i="3" s="1"/>
  <c r="D318" i="3" s="1"/>
  <c r="D132" i="3"/>
  <c r="B38" i="4"/>
  <c r="C38" i="4" s="1"/>
  <c r="B65" i="2"/>
  <c r="C65" i="2"/>
  <c r="B223" i="2"/>
  <c r="C223" i="2" s="1"/>
  <c r="E223" i="2" s="1"/>
  <c r="B283" i="2"/>
  <c r="C283" i="2" s="1"/>
  <c r="E283" i="2" s="1"/>
  <c r="B74" i="2"/>
  <c r="C74" i="2" s="1"/>
  <c r="B255" i="2"/>
  <c r="C255" i="2"/>
  <c r="B135" i="2"/>
  <c r="C135" i="2" s="1"/>
  <c r="E135" i="2" s="1"/>
  <c r="B140" i="2"/>
  <c r="C140" i="2" s="1"/>
  <c r="E140" i="2" s="1"/>
  <c r="B242" i="2"/>
  <c r="C242" i="2"/>
  <c r="B216" i="2"/>
  <c r="C216" i="2"/>
  <c r="B46" i="2"/>
  <c r="C46" i="2" s="1"/>
  <c r="B25" i="2"/>
  <c r="C25" i="2"/>
  <c r="B147" i="2"/>
  <c r="C147" i="2" s="1"/>
  <c r="B172" i="2"/>
  <c r="C172" i="2"/>
  <c r="E241" i="1"/>
  <c r="B126" i="2"/>
  <c r="C126" i="2" s="1"/>
  <c r="E126" i="2" s="1"/>
  <c r="B124" i="2"/>
  <c r="C124" i="2"/>
  <c r="I13" i="2"/>
  <c r="J13" i="2"/>
  <c r="B178" i="2"/>
  <c r="C178" i="2" s="1"/>
  <c r="E178" i="2" s="1"/>
  <c r="B233" i="2"/>
  <c r="C233" i="2" s="1"/>
  <c r="B106" i="2"/>
  <c r="C106" i="2"/>
  <c r="B33" i="2"/>
  <c r="C33" i="2" s="1"/>
  <c r="B316" i="2"/>
  <c r="C316" i="2"/>
  <c r="B47" i="2"/>
  <c r="C47" i="2" s="1"/>
  <c r="B78" i="2"/>
  <c r="C78" i="2"/>
  <c r="B278" i="2"/>
  <c r="C278" i="2" s="1"/>
  <c r="B206" i="2"/>
  <c r="C206" i="2"/>
  <c r="B86" i="4"/>
  <c r="C86" i="4"/>
  <c r="B277" i="2"/>
  <c r="C277" i="2" s="1"/>
  <c r="B146" i="2"/>
  <c r="C146" i="2"/>
  <c r="B185" i="2"/>
  <c r="C185" i="2"/>
  <c r="B218" i="2"/>
  <c r="C218" i="2" s="1"/>
  <c r="B202" i="2"/>
  <c r="C202" i="2"/>
  <c r="B152" i="2"/>
  <c r="C152" i="2"/>
  <c r="B175" i="2"/>
  <c r="C175" i="2"/>
  <c r="B49" i="2"/>
  <c r="C49" i="2"/>
  <c r="B195" i="2"/>
  <c r="C195" i="2"/>
  <c r="B284" i="2"/>
  <c r="C284" i="2" s="1"/>
  <c r="B23" i="2"/>
  <c r="C23" i="2"/>
  <c r="B98" i="2"/>
  <c r="C98" i="2" s="1"/>
  <c r="B103" i="2"/>
  <c r="C103" i="2"/>
  <c r="B93" i="2"/>
  <c r="C93" i="2" s="1"/>
  <c r="E93" i="2" s="1"/>
  <c r="B189" i="2"/>
  <c r="C189" i="2"/>
  <c r="B303" i="2"/>
  <c r="C303" i="2" s="1"/>
  <c r="B22" i="2"/>
  <c r="C22" i="2"/>
  <c r="B44" i="2"/>
  <c r="C44" i="2"/>
  <c r="B64" i="2"/>
  <c r="C64" i="2"/>
  <c r="E64" i="2" s="1"/>
  <c r="B57" i="2"/>
  <c r="C57" i="2" s="1"/>
  <c r="B34" i="2"/>
  <c r="C34" i="2"/>
  <c r="B257" i="2"/>
  <c r="C257" i="2"/>
  <c r="E257" i="2" s="1"/>
  <c r="B45" i="2"/>
  <c r="C45" i="2" s="1"/>
  <c r="B110" i="2"/>
  <c r="C110" i="2"/>
  <c r="B198" i="2"/>
  <c r="C198" i="2" s="1"/>
  <c r="E198" i="2" s="1"/>
  <c r="B267" i="2"/>
  <c r="C267" i="2"/>
  <c r="B38" i="3"/>
  <c r="C38" i="3" s="1"/>
  <c r="B117" i="3"/>
  <c r="C117" i="3"/>
  <c r="D117" i="3" s="1"/>
  <c r="B50" i="3"/>
  <c r="C50" i="3"/>
  <c r="E50" i="3" s="1"/>
  <c r="B77" i="3"/>
  <c r="C77" i="3"/>
  <c r="B97" i="3"/>
  <c r="C97" i="3"/>
  <c r="B122" i="3"/>
  <c r="C122" i="3" s="1"/>
  <c r="B32" i="3"/>
  <c r="C32" i="3" s="1"/>
  <c r="B65" i="3"/>
  <c r="C65" i="3" s="1"/>
  <c r="B25" i="3"/>
  <c r="C25" i="3"/>
  <c r="B76" i="3"/>
  <c r="C76" i="3" s="1"/>
  <c r="D76" i="3" s="1"/>
  <c r="B102" i="3"/>
  <c r="C102" i="3" s="1"/>
  <c r="B146" i="3"/>
  <c r="C146" i="3"/>
  <c r="B153" i="3"/>
  <c r="C153" i="3"/>
  <c r="B188" i="3"/>
  <c r="C188" i="3" s="1"/>
  <c r="B275" i="3"/>
  <c r="C275" i="3" s="1"/>
  <c r="E275" i="3" s="1"/>
  <c r="B172" i="3"/>
  <c r="C172" i="3" s="1"/>
  <c r="B159" i="3"/>
  <c r="C159" i="3"/>
  <c r="B191" i="3"/>
  <c r="C191" i="3" s="1"/>
  <c r="D191" i="3" s="1"/>
  <c r="B267" i="3"/>
  <c r="C267" i="3" s="1"/>
  <c r="B218" i="3"/>
  <c r="C218" i="3"/>
  <c r="E218" i="3" s="1"/>
  <c r="B230" i="3"/>
  <c r="C230" i="3"/>
  <c r="B256" i="3"/>
  <c r="C256" i="3"/>
  <c r="B308" i="3"/>
  <c r="C308" i="3" s="1"/>
  <c r="E308" i="3" s="1"/>
  <c r="B281" i="3"/>
  <c r="C281" i="3" s="1"/>
  <c r="D281" i="3" s="1"/>
  <c r="B248" i="3"/>
  <c r="C248" i="3"/>
  <c r="E248" i="3" s="1"/>
  <c r="B294" i="3"/>
  <c r="C294" i="3"/>
  <c r="E294" i="3" s="1"/>
  <c r="B18" i="3"/>
  <c r="C18" i="3"/>
  <c r="B98" i="4"/>
  <c r="C98" i="4"/>
  <c r="B136" i="4"/>
  <c r="C136" i="4" s="1"/>
  <c r="B19" i="2"/>
  <c r="C19" i="2" s="1"/>
  <c r="B26" i="2"/>
  <c r="C26" i="2" s="1"/>
  <c r="E26" i="2" s="1"/>
  <c r="B132" i="2"/>
  <c r="C132" i="2" s="1"/>
  <c r="E132" i="2"/>
  <c r="B272" i="2"/>
  <c r="C272" i="2" s="1"/>
  <c r="E272" i="2"/>
  <c r="B76" i="2"/>
  <c r="C76" i="2" s="1"/>
  <c r="E76" i="2"/>
  <c r="B226" i="2"/>
  <c r="C226" i="2" s="1"/>
  <c r="B211" i="2"/>
  <c r="C211" i="2" s="1"/>
  <c r="E211" i="2" s="1"/>
  <c r="B228" i="2"/>
  <c r="C228" i="2" s="1"/>
  <c r="B109" i="2"/>
  <c r="C109" i="2" s="1"/>
  <c r="B137" i="2"/>
  <c r="C137" i="2" s="1"/>
  <c r="E137" i="2" s="1"/>
  <c r="B160" i="2"/>
  <c r="C160" i="2" s="1"/>
  <c r="E160" i="2"/>
  <c r="E217" i="3"/>
  <c r="D314" i="3"/>
  <c r="B105" i="2"/>
  <c r="C105" i="2" s="1"/>
  <c r="B287" i="2"/>
  <c r="C287" i="2" s="1"/>
  <c r="B84" i="2"/>
  <c r="C84" i="2" s="1"/>
  <c r="D84" i="2" s="1"/>
  <c r="B39" i="2"/>
  <c r="C39" i="2" s="1"/>
  <c r="B94" i="2"/>
  <c r="C94" i="2" s="1"/>
  <c r="B186" i="2"/>
  <c r="C186" i="2" s="1"/>
  <c r="B307" i="2"/>
  <c r="C307" i="2" s="1"/>
  <c r="B279" i="2"/>
  <c r="C279" i="2"/>
  <c r="B170" i="2"/>
  <c r="C170" i="2"/>
  <c r="B104" i="2"/>
  <c r="C104" i="2"/>
  <c r="D261" i="3"/>
  <c r="D193" i="3"/>
  <c r="B193" i="2"/>
  <c r="C193" i="2" s="1"/>
  <c r="E193" i="2"/>
  <c r="B31" i="2"/>
  <c r="C31" i="2"/>
  <c r="B134" i="2"/>
  <c r="C134" i="2"/>
  <c r="E134" i="2" s="1"/>
  <c r="B305" i="2"/>
  <c r="C305" i="2" s="1"/>
  <c r="B116" i="2"/>
  <c r="C116" i="2" s="1"/>
  <c r="E116" i="2" s="1"/>
  <c r="B71" i="2"/>
  <c r="C71" i="2"/>
  <c r="B196" i="2"/>
  <c r="C196" i="2"/>
  <c r="B37" i="2"/>
  <c r="C37" i="2"/>
  <c r="B180" i="2"/>
  <c r="C180" i="2"/>
  <c r="E180" i="2" s="1"/>
  <c r="B112" i="2"/>
  <c r="C112" i="2" s="1"/>
  <c r="B269" i="2"/>
  <c r="C269" i="2" s="1"/>
  <c r="E269" i="2" s="1"/>
  <c r="B220" i="2"/>
  <c r="C220" i="2"/>
  <c r="E220" i="2" s="1"/>
  <c r="B120" i="2"/>
  <c r="C120" i="2" s="1"/>
  <c r="E120" i="2"/>
  <c r="B260" i="2"/>
  <c r="C260" i="2"/>
  <c r="B125" i="2"/>
  <c r="C125" i="2"/>
  <c r="E125" i="2" s="1"/>
  <c r="B190" i="2"/>
  <c r="C190" i="2" s="1"/>
  <c r="E190" i="2" s="1"/>
  <c r="B314" i="2"/>
  <c r="C314" i="2" s="1"/>
  <c r="B158" i="2"/>
  <c r="C158" i="2"/>
  <c r="E158" i="2" s="1"/>
  <c r="B282" i="2"/>
  <c r="C282" i="2" s="1"/>
  <c r="E282" i="2" s="1"/>
  <c r="B199" i="2"/>
  <c r="C199" i="2"/>
  <c r="E199" i="2" s="1"/>
  <c r="B133" i="2"/>
  <c r="C133" i="2" s="1"/>
  <c r="B111" i="2"/>
  <c r="C111" i="2" s="1"/>
  <c r="B249" i="2"/>
  <c r="C249" i="2" s="1"/>
  <c r="E249" i="2" s="1"/>
  <c r="B155" i="2"/>
  <c r="C155" i="2"/>
  <c r="B252" i="2"/>
  <c r="C252" i="2"/>
  <c r="E252" i="2" s="1"/>
  <c r="B173" i="2"/>
  <c r="C173" i="2" s="1"/>
  <c r="E173" i="2" s="1"/>
  <c r="B251" i="2"/>
  <c r="C251" i="2"/>
  <c r="E251" i="2" s="1"/>
  <c r="B144" i="2"/>
  <c r="C144" i="2" s="1"/>
  <c r="B209" i="2"/>
  <c r="C209" i="2" s="1"/>
  <c r="B85" i="2"/>
  <c r="C85" i="2" s="1"/>
  <c r="B308" i="2"/>
  <c r="C308" i="2" s="1"/>
  <c r="E308" i="2" s="1"/>
  <c r="B213" i="2"/>
  <c r="C213" i="2"/>
  <c r="E213" i="2" s="1"/>
  <c r="B100" i="2"/>
  <c r="C100" i="2"/>
  <c r="E100" i="2" s="1"/>
  <c r="B276" i="2"/>
  <c r="C276" i="2" s="1"/>
  <c r="E276" i="2" s="1"/>
  <c r="B99" i="2"/>
  <c r="C99" i="2" s="1"/>
  <c r="E99" i="2" s="1"/>
  <c r="B18" i="2"/>
  <c r="C18" i="2"/>
  <c r="E18" i="2" s="1"/>
  <c r="B219" i="2"/>
  <c r="C219" i="2" s="1"/>
  <c r="E219" i="2" s="1"/>
  <c r="B86" i="2"/>
  <c r="C86" i="2"/>
  <c r="E86" i="2" s="1"/>
  <c r="B27" i="2"/>
  <c r="C27" i="2" s="1"/>
  <c r="B101" i="2"/>
  <c r="C101" i="2" s="1"/>
  <c r="B56" i="2"/>
  <c r="C56" i="2" s="1"/>
  <c r="B43" i="2"/>
  <c r="C43" i="2" s="1"/>
  <c r="B17" i="2"/>
  <c r="C17" i="2" s="1"/>
  <c r="B171" i="2"/>
  <c r="C171" i="2" s="1"/>
  <c r="B20" i="2"/>
  <c r="C20" i="2" s="1"/>
  <c r="B82" i="2"/>
  <c r="C82" i="2" s="1"/>
  <c r="B265" i="2"/>
  <c r="C265" i="2" s="1"/>
  <c r="E265" i="2"/>
  <c r="B81" i="2"/>
  <c r="C81" i="2"/>
  <c r="E81" i="2" s="1"/>
  <c r="B32" i="2"/>
  <c r="C32" i="2" s="1"/>
  <c r="E32" i="2" s="1"/>
  <c r="B208" i="2"/>
  <c r="C208" i="2"/>
  <c r="B154" i="2"/>
  <c r="C154" i="2"/>
  <c r="E154" i="2" s="1"/>
  <c r="B58" i="2"/>
  <c r="C58" i="2" s="1"/>
  <c r="B309" i="2"/>
  <c r="C309" i="2" s="1"/>
  <c r="E309" i="2" s="1"/>
  <c r="B238" i="2"/>
  <c r="C238" i="2"/>
  <c r="E238" i="2" s="1"/>
  <c r="B143" i="2"/>
  <c r="C143" i="2" s="1"/>
  <c r="B123" i="2"/>
  <c r="C123" i="2" s="1"/>
  <c r="E123" i="2" s="1"/>
  <c r="B293" i="2"/>
  <c r="C293" i="2" s="1"/>
  <c r="E293" i="2" s="1"/>
  <c r="B207" i="2"/>
  <c r="C207" i="2"/>
  <c r="E207" i="2" s="1"/>
  <c r="B296" i="2"/>
  <c r="C296" i="2" s="1"/>
  <c r="E296" i="2" s="1"/>
  <c r="B212" i="2"/>
  <c r="C212" i="2"/>
  <c r="B280" i="2"/>
  <c r="C280" i="2"/>
  <c r="E280" i="2" s="1"/>
  <c r="B203" i="2"/>
  <c r="C203" i="2" s="1"/>
  <c r="B24" i="2"/>
  <c r="C24" i="2" s="1"/>
  <c r="E24" i="2"/>
  <c r="B114" i="2"/>
  <c r="C114" i="2"/>
  <c r="E114" i="2" s="1"/>
  <c r="B261" i="2"/>
  <c r="C261" i="2" s="1"/>
  <c r="E261" i="2"/>
  <c r="B188" i="2"/>
  <c r="C188" i="2"/>
  <c r="E188" i="2" s="1"/>
  <c r="B62" i="2"/>
  <c r="C62" i="2" s="1"/>
  <c r="B157" i="2"/>
  <c r="C157" i="2"/>
  <c r="B52" i="2"/>
  <c r="C52" i="2"/>
  <c r="B281" i="2"/>
  <c r="C281" i="2"/>
  <c r="B130" i="2"/>
  <c r="C130" i="2"/>
  <c r="B54" i="2"/>
  <c r="C54" i="2"/>
  <c r="E54" i="2" s="1"/>
  <c r="B51" i="2"/>
  <c r="C51" i="2" s="1"/>
  <c r="B268" i="2"/>
  <c r="C268" i="2"/>
  <c r="E268" i="2" s="1"/>
  <c r="B235" i="2"/>
  <c r="C235" i="2" s="1"/>
  <c r="E235" i="2" s="1"/>
  <c r="B259" i="2"/>
  <c r="C259" i="2"/>
  <c r="B90" i="2"/>
  <c r="C90" i="2"/>
  <c r="B229" i="2"/>
  <c r="C229" i="2"/>
  <c r="B28" i="2"/>
  <c r="C28" i="2"/>
  <c r="B142" i="2"/>
  <c r="C142" i="2"/>
  <c r="E142" i="2" s="1"/>
  <c r="B239" i="2"/>
  <c r="C239" i="2" s="1"/>
  <c r="B87" i="2"/>
  <c r="C87" i="2" s="1"/>
  <c r="B161" i="2"/>
  <c r="C161" i="2" s="1"/>
  <c r="E161" i="2" s="1"/>
  <c r="B36" i="2"/>
  <c r="C36" i="2"/>
  <c r="E36" i="2" s="1"/>
  <c r="B241" i="2"/>
  <c r="C241" i="2" s="1"/>
  <c r="B97" i="2"/>
  <c r="C97" i="2" s="1"/>
  <c r="E97" i="2" s="1"/>
  <c r="B243" i="2"/>
  <c r="C243" i="2"/>
  <c r="E243" i="2" s="1"/>
  <c r="B53" i="2"/>
  <c r="C53" i="2" s="1"/>
  <c r="B205" i="2"/>
  <c r="C205" i="2" s="1"/>
  <c r="B177" i="2"/>
  <c r="C177" i="2" s="1"/>
  <c r="E177" i="2" s="1"/>
  <c r="B291" i="2"/>
  <c r="C291" i="2"/>
  <c r="E291" i="2" s="1"/>
  <c r="B245" i="2"/>
  <c r="C245" i="2" s="1"/>
  <c r="B181" i="2"/>
  <c r="C181" i="2" s="1"/>
  <c r="E181" i="2" s="1"/>
  <c r="B300" i="2"/>
  <c r="C300" i="2" s="1"/>
  <c r="E300" i="2" s="1"/>
  <c r="B129" i="2"/>
  <c r="C129" i="2"/>
  <c r="B215" i="2"/>
  <c r="C215" i="2"/>
  <c r="E215" i="2" s="1"/>
  <c r="B312" i="2"/>
  <c r="C312" i="2" s="1"/>
  <c r="E312" i="2" s="1"/>
  <c r="D98" i="3"/>
  <c r="B95" i="3"/>
  <c r="C95" i="3"/>
  <c r="D95" i="3" s="1"/>
  <c r="B111" i="3"/>
  <c r="C111" i="3" s="1"/>
  <c r="D111" i="3"/>
  <c r="B154" i="3"/>
  <c r="C154" i="3"/>
  <c r="B33" i="3"/>
  <c r="C33" i="3"/>
  <c r="D33" i="3" s="1"/>
  <c r="B49" i="3"/>
  <c r="C49" i="3" s="1"/>
  <c r="E49" i="3" s="1"/>
  <c r="B131" i="3"/>
  <c r="C131" i="3"/>
  <c r="B34" i="3"/>
  <c r="C34" i="3"/>
  <c r="D34" i="3" s="1"/>
  <c r="B72" i="3"/>
  <c r="C72" i="3" s="1"/>
  <c r="B92" i="3"/>
  <c r="C92" i="3" s="1"/>
  <c r="E92" i="3"/>
  <c r="B108" i="3"/>
  <c r="C108" i="3"/>
  <c r="B136" i="3"/>
  <c r="C136" i="3"/>
  <c r="D136" i="3" s="1"/>
  <c r="B192" i="3"/>
  <c r="C192" i="3" s="1"/>
  <c r="D192" i="3" s="1"/>
  <c r="B259" i="3"/>
  <c r="C259" i="3"/>
  <c r="E259" i="3" s="1"/>
  <c r="B160" i="3"/>
  <c r="C160" i="3" s="1"/>
  <c r="D160" i="3" s="1"/>
  <c r="B167" i="3"/>
  <c r="C167" i="3"/>
  <c r="D167" i="3" s="1"/>
  <c r="B189" i="3"/>
  <c r="C189" i="3" s="1"/>
  <c r="B205" i="3"/>
  <c r="C205" i="3" s="1"/>
  <c r="D205" i="3" s="1"/>
  <c r="B210" i="3"/>
  <c r="C210" i="3"/>
  <c r="D210" i="3" s="1"/>
  <c r="B221" i="3"/>
  <c r="C221" i="3" s="1"/>
  <c r="D221" i="3" s="1"/>
  <c r="B229" i="3"/>
  <c r="C229" i="3"/>
  <c r="E229" i="3" s="1"/>
  <c r="B276" i="3"/>
  <c r="C276" i="3" s="1"/>
  <c r="E276" i="3" s="1"/>
  <c r="B312" i="3"/>
  <c r="C312" i="3"/>
  <c r="D312" i="3" s="1"/>
  <c r="B273" i="3"/>
  <c r="C273" i="3"/>
  <c r="D273" i="3" s="1"/>
  <c r="B305" i="3"/>
  <c r="C305" i="3" s="1"/>
  <c r="E305" i="3" s="1"/>
  <c r="B254" i="3"/>
  <c r="C254" i="3" s="1"/>
  <c r="B290" i="3"/>
  <c r="C290" i="3"/>
  <c r="D290" i="3" s="1"/>
  <c r="I13" i="3"/>
  <c r="J13" i="3" s="1"/>
  <c r="B88" i="3"/>
  <c r="C88" i="3" s="1"/>
  <c r="B208" i="4"/>
  <c r="C208" i="4" s="1"/>
  <c r="I34" i="4"/>
  <c r="D101" i="3"/>
  <c r="B34" i="4"/>
  <c r="C34" i="4" s="1"/>
  <c r="B106" i="4"/>
  <c r="C106" i="4" s="1"/>
  <c r="E122" i="3"/>
  <c r="B47" i="3"/>
  <c r="C47" i="3"/>
  <c r="B121" i="3"/>
  <c r="C121" i="3"/>
  <c r="D121" i="3" s="1"/>
  <c r="B42" i="3"/>
  <c r="C42" i="3" s="1"/>
  <c r="E42" i="3"/>
  <c r="B71" i="3"/>
  <c r="C71" i="3"/>
  <c r="D71" i="3" s="1"/>
  <c r="B87" i="3"/>
  <c r="C87" i="3" s="1"/>
  <c r="D87" i="3" s="1"/>
  <c r="B103" i="3"/>
  <c r="C103" i="3"/>
  <c r="D103" i="3" s="1"/>
  <c r="B126" i="3"/>
  <c r="C126" i="3" s="1"/>
  <c r="D126" i="3"/>
  <c r="B29" i="3"/>
  <c r="C29" i="3"/>
  <c r="E29" i="3" s="1"/>
  <c r="B37" i="3"/>
  <c r="C37" i="3" s="1"/>
  <c r="D37" i="3" s="1"/>
  <c r="B115" i="3"/>
  <c r="C115" i="3" s="1"/>
  <c r="D115" i="3" s="1"/>
  <c r="B23" i="3"/>
  <c r="C23" i="3"/>
  <c r="E23" i="3" s="1"/>
  <c r="B56" i="3"/>
  <c r="C56" i="3" s="1"/>
  <c r="B80" i="3"/>
  <c r="C80" i="3" s="1"/>
  <c r="B100" i="3"/>
  <c r="C100" i="3" s="1"/>
  <c r="D100" i="3"/>
  <c r="B116" i="3"/>
  <c r="C116" i="3"/>
  <c r="E116" i="3" s="1"/>
  <c r="B255" i="3"/>
  <c r="C255" i="3" s="1"/>
  <c r="E255" i="3" s="1"/>
  <c r="B157" i="3"/>
  <c r="C157" i="3"/>
  <c r="B184" i="3"/>
  <c r="C184" i="3"/>
  <c r="B202" i="3"/>
  <c r="C202" i="3"/>
  <c r="E202" i="3" s="1"/>
  <c r="B140" i="3"/>
  <c r="C140" i="3" s="1"/>
  <c r="B177" i="3"/>
  <c r="C177" i="3" s="1"/>
  <c r="D177" i="3"/>
  <c r="B147" i="3"/>
  <c r="C147" i="3"/>
  <c r="B183" i="3"/>
  <c r="C183" i="3"/>
  <c r="E183" i="3" s="1"/>
  <c r="B283" i="3"/>
  <c r="C283" i="3" s="1"/>
  <c r="D283" i="3" s="1"/>
  <c r="B216" i="3"/>
  <c r="C216" i="3"/>
  <c r="B233" i="3"/>
  <c r="C233" i="3"/>
  <c r="D233" i="3" s="1"/>
  <c r="B264" i="3"/>
  <c r="C264" i="3" s="1"/>
  <c r="D264" i="3"/>
  <c r="B296" i="3"/>
  <c r="C296" i="3"/>
  <c r="B253" i="3"/>
  <c r="C253" i="3" s="1"/>
  <c r="D253" i="3" s="1"/>
  <c r="B289" i="3"/>
  <c r="C289" i="3"/>
  <c r="D289" i="3" s="1"/>
  <c r="B236" i="3"/>
  <c r="C236" i="3"/>
  <c r="D236" i="3" s="1"/>
  <c r="B274" i="3"/>
  <c r="C274" i="3" s="1"/>
  <c r="B306" i="3"/>
  <c r="C306" i="3" s="1"/>
  <c r="D306" i="3" s="1"/>
  <c r="B17" i="3"/>
  <c r="C17" i="3"/>
  <c r="D17" i="3" s="1"/>
  <c r="B213" i="3"/>
  <c r="C213" i="3" s="1"/>
  <c r="D213" i="3" s="1"/>
  <c r="B193" i="4"/>
  <c r="C193" i="4"/>
  <c r="B127" i="4"/>
  <c r="C127" i="4"/>
  <c r="E141" i="3"/>
  <c r="D265" i="3"/>
  <c r="D305" i="3"/>
  <c r="D139" i="3"/>
  <c r="D122" i="3"/>
  <c r="D159" i="3"/>
  <c r="E300" i="3"/>
  <c r="E78" i="2"/>
  <c r="E267" i="2"/>
  <c r="E206" i="2"/>
  <c r="D107" i="3"/>
  <c r="D59" i="3"/>
  <c r="D286" i="3"/>
  <c r="D94" i="3"/>
  <c r="D272" i="3"/>
  <c r="D244" i="3"/>
  <c r="E94" i="3"/>
  <c r="E186" i="2"/>
  <c r="D99" i="3"/>
  <c r="D72" i="3"/>
  <c r="D50" i="3"/>
  <c r="E107" i="3"/>
  <c r="E98" i="3"/>
  <c r="D174" i="3"/>
  <c r="D182" i="3"/>
  <c r="D143" i="3"/>
  <c r="I15" i="2"/>
  <c r="E103" i="2"/>
  <c r="E292" i="2"/>
  <c r="E110" i="2"/>
  <c r="D131" i="3"/>
  <c r="D154" i="3"/>
  <c r="E215" i="3"/>
  <c r="D301" i="3"/>
  <c r="D242" i="3"/>
  <c r="E59" i="3"/>
  <c r="D215" i="3"/>
  <c r="E226" i="2"/>
  <c r="E233" i="2"/>
  <c r="E254" i="2"/>
  <c r="E228" i="2"/>
  <c r="D262" i="3"/>
  <c r="D304" i="3"/>
  <c r="D271" i="3"/>
  <c r="D161" i="3"/>
  <c r="E46" i="2"/>
  <c r="E316" i="2"/>
  <c r="E147" i="2"/>
  <c r="E58" i="2"/>
  <c r="D67" i="3"/>
  <c r="D142" i="3"/>
  <c r="E97" i="3"/>
  <c r="D84" i="3"/>
  <c r="D165" i="3"/>
  <c r="D188" i="3"/>
  <c r="E212" i="2"/>
  <c r="E102" i="2"/>
  <c r="E37" i="2"/>
  <c r="E144" i="2"/>
  <c r="D106" i="3"/>
  <c r="B168" i="2"/>
  <c r="C168" i="2" s="1"/>
  <c r="E168" i="2"/>
  <c r="B15" i="2"/>
  <c r="C15" i="2"/>
  <c r="E15" i="2" s="1"/>
  <c r="B162" i="2"/>
  <c r="C162" i="2" s="1"/>
  <c r="B318" i="2"/>
  <c r="C318" i="2" s="1"/>
  <c r="E318" i="2"/>
  <c r="B250" i="2"/>
  <c r="C250" i="2"/>
  <c r="D250" i="2" s="1"/>
  <c r="B165" i="2"/>
  <c r="C165" i="2"/>
  <c r="E165" i="2" s="1"/>
  <c r="B131" i="2"/>
  <c r="C131" i="2" s="1"/>
  <c r="E131" i="2"/>
  <c r="B115" i="2"/>
  <c r="C115" i="2"/>
  <c r="E115" i="2" s="1"/>
  <c r="B194" i="2"/>
  <c r="C194" i="2" s="1"/>
  <c r="E194" i="2" s="1"/>
  <c r="B289" i="2"/>
  <c r="C289" i="2"/>
  <c r="E289" i="2" s="1"/>
  <c r="B217" i="2"/>
  <c r="C217" i="2" s="1"/>
  <c r="E217" i="2" s="1"/>
  <c r="B302" i="2"/>
  <c r="C302" i="2" s="1"/>
  <c r="B237" i="2"/>
  <c r="C237" i="2"/>
  <c r="E237" i="2" s="1"/>
  <c r="B151" i="2"/>
  <c r="C151" i="2" s="1"/>
  <c r="B297" i="2"/>
  <c r="C297" i="2" s="1"/>
  <c r="E297" i="2"/>
  <c r="B118" i="2"/>
  <c r="C118" i="2"/>
  <c r="E118" i="2" s="1"/>
  <c r="B60" i="2"/>
  <c r="C60" i="2" s="1"/>
  <c r="B290" i="2"/>
  <c r="C290" i="2" s="1"/>
  <c r="E290" i="2"/>
  <c r="B221" i="2"/>
  <c r="C221" i="2"/>
  <c r="E221" i="2" s="1"/>
  <c r="B167" i="2"/>
  <c r="C167" i="2" s="1"/>
  <c r="B55" i="2"/>
  <c r="C55" i="2" s="1"/>
  <c r="E55" i="2"/>
  <c r="B182" i="2"/>
  <c r="C182" i="2"/>
  <c r="B68" i="2"/>
  <c r="C68" i="2"/>
  <c r="B169" i="2"/>
  <c r="C169" i="2"/>
  <c r="B92" i="2"/>
  <c r="C92" i="2"/>
  <c r="B38" i="2"/>
  <c r="C38" i="2" s="1"/>
  <c r="B42" i="2"/>
  <c r="C42" i="2" s="1"/>
  <c r="B210" i="2"/>
  <c r="C210" i="2" s="1"/>
  <c r="B95" i="2"/>
  <c r="C95" i="2" s="1"/>
  <c r="E95" i="2"/>
  <c r="B66" i="2"/>
  <c r="C66" i="2"/>
  <c r="E66" i="2" s="1"/>
  <c r="D53" i="3"/>
  <c r="E26" i="3"/>
  <c r="D68" i="3"/>
  <c r="D169" i="3"/>
  <c r="D295" i="3"/>
  <c r="E272" i="3"/>
  <c r="D313" i="3"/>
  <c r="D128" i="3"/>
  <c r="D217" i="3"/>
  <c r="E232" i="3"/>
  <c r="D252" i="3"/>
  <c r="E293" i="3"/>
  <c r="D218" i="3"/>
  <c r="E284" i="3"/>
  <c r="B44" i="4"/>
  <c r="C44" i="4" s="1"/>
  <c r="B226" i="4"/>
  <c r="C226" i="4" s="1"/>
  <c r="B149" i="4"/>
  <c r="C149" i="4" s="1"/>
  <c r="B150" i="3"/>
  <c r="C150" i="3" s="1"/>
  <c r="E150" i="3"/>
  <c r="B44" i="3"/>
  <c r="C44" i="3"/>
  <c r="E44" i="3" s="1"/>
  <c r="B70" i="3"/>
  <c r="C70" i="3" s="1"/>
  <c r="D70" i="3"/>
  <c r="B86" i="3"/>
  <c r="C86" i="3"/>
  <c r="B104" i="3"/>
  <c r="C104" i="3"/>
  <c r="D104" i="3" s="1"/>
  <c r="B120" i="3"/>
  <c r="C120" i="3" s="1"/>
  <c r="D120" i="3"/>
  <c r="B235" i="3"/>
  <c r="C235" i="3"/>
  <c r="B149" i="3"/>
  <c r="C149" i="3" s="1"/>
  <c r="B178" i="3"/>
  <c r="C178" i="3" s="1"/>
  <c r="D178" i="3" s="1"/>
  <c r="B247" i="3"/>
  <c r="C247" i="3"/>
  <c r="D247" i="3" s="1"/>
  <c r="B152" i="3"/>
  <c r="C152" i="3" s="1"/>
  <c r="B263" i="3"/>
  <c r="C263" i="3" s="1"/>
  <c r="D263" i="3" s="1"/>
  <c r="B151" i="3"/>
  <c r="C151" i="3"/>
  <c r="D151" i="3" s="1"/>
  <c r="B181" i="3"/>
  <c r="C181" i="3" s="1"/>
  <c r="D181" i="3"/>
  <c r="B195" i="3"/>
  <c r="C195" i="3"/>
  <c r="B239" i="3"/>
  <c r="C239" i="3"/>
  <c r="B211" i="3"/>
  <c r="C211" i="3"/>
  <c r="E211" i="3" s="1"/>
  <c r="B219" i="3"/>
  <c r="C219" i="3"/>
  <c r="D219" i="3" s="1"/>
  <c r="B226" i="3"/>
  <c r="C226" i="3" s="1"/>
  <c r="D226" i="3"/>
  <c r="B234" i="3"/>
  <c r="C234" i="3"/>
  <c r="B260" i="3"/>
  <c r="C260" i="3" s="1"/>
  <c r="D260" i="3" s="1"/>
  <c r="B288" i="3"/>
  <c r="C288" i="3"/>
  <c r="E288" i="3" s="1"/>
  <c r="B316" i="3"/>
  <c r="C316" i="3" s="1"/>
  <c r="B269" i="3"/>
  <c r="C269" i="3" s="1"/>
  <c r="E269" i="3" s="1"/>
  <c r="B297" i="3"/>
  <c r="C297" i="3"/>
  <c r="D297" i="3" s="1"/>
  <c r="B270" i="3"/>
  <c r="C270" i="3" s="1"/>
  <c r="I15" i="3"/>
  <c r="B61" i="3"/>
  <c r="C61" i="3"/>
  <c r="E61" i="3" s="1"/>
  <c r="B51" i="4"/>
  <c r="C51" i="4" s="1"/>
  <c r="B257" i="4"/>
  <c r="C257" i="4" s="1"/>
  <c r="B274" i="4"/>
  <c r="C274" i="4" s="1"/>
  <c r="E301" i="3"/>
  <c r="D248" i="3"/>
  <c r="B75" i="4"/>
  <c r="C75" i="4"/>
  <c r="B289" i="4"/>
  <c r="C289" i="4"/>
  <c r="B165" i="4"/>
  <c r="C165" i="4"/>
  <c r="E87" i="2"/>
  <c r="E255" i="2"/>
  <c r="B202" i="1"/>
  <c r="C202" i="1" s="1"/>
  <c r="E202" i="1" s="1"/>
  <c r="B130" i="1"/>
  <c r="C130" i="1"/>
  <c r="E130" i="1" s="1"/>
  <c r="B238" i="1"/>
  <c r="C238" i="1" s="1"/>
  <c r="E238" i="1"/>
  <c r="B46" i="1"/>
  <c r="C46" i="1"/>
  <c r="E46" i="1" s="1"/>
  <c r="B306" i="1"/>
  <c r="C306" i="1" s="1"/>
  <c r="E306" i="1" s="1"/>
  <c r="B303" i="1"/>
  <c r="C303" i="1"/>
  <c r="E303" i="1" s="1"/>
  <c r="B187" i="1"/>
  <c r="C187" i="1" s="1"/>
  <c r="E187" i="1" s="1"/>
  <c r="B218" i="1"/>
  <c r="C218" i="1"/>
  <c r="E218" i="1" s="1"/>
  <c r="B296" i="1"/>
  <c r="C296" i="1" s="1"/>
  <c r="E296" i="1"/>
  <c r="B67" i="1"/>
  <c r="C67" i="1"/>
  <c r="E67" i="1" s="1"/>
  <c r="B199" i="1"/>
  <c r="C199" i="1" s="1"/>
  <c r="E199" i="1"/>
  <c r="B194" i="1"/>
  <c r="C194" i="1"/>
  <c r="E194" i="1" s="1"/>
  <c r="B148" i="1"/>
  <c r="C148" i="1"/>
  <c r="E148" i="1" s="1"/>
  <c r="B78" i="1"/>
  <c r="C78" i="1" s="1"/>
  <c r="E78" i="1"/>
  <c r="B147" i="1"/>
  <c r="C147" i="1"/>
  <c r="E147" i="1" s="1"/>
  <c r="B157" i="1"/>
  <c r="C157" i="1" s="1"/>
  <c r="E157" i="1" s="1"/>
  <c r="B79" i="1"/>
  <c r="C79" i="1"/>
  <c r="E79" i="1" s="1"/>
  <c r="B76" i="1"/>
  <c r="C76" i="1" s="1"/>
  <c r="B145" i="1"/>
  <c r="C145" i="1" s="1"/>
  <c r="E145" i="1" s="1"/>
  <c r="B106" i="1"/>
  <c r="C106" i="1" s="1"/>
  <c r="B40" i="1"/>
  <c r="C40" i="1"/>
  <c r="E40" i="1" s="1"/>
  <c r="B134" i="1"/>
  <c r="C134" i="1" s="1"/>
  <c r="B179" i="1"/>
  <c r="C179" i="1" s="1"/>
  <c r="E179" i="1" s="1"/>
  <c r="B128" i="1"/>
  <c r="C128" i="1"/>
  <c r="B210" i="1"/>
  <c r="C210" i="1" s="1"/>
  <c r="B105" i="1"/>
  <c r="C105" i="1" s="1"/>
  <c r="E105" i="1" s="1"/>
  <c r="B30" i="1"/>
  <c r="C30" i="1"/>
  <c r="E30" i="1" s="1"/>
  <c r="B53" i="1"/>
  <c r="C53" i="1" s="1"/>
  <c r="B304" i="1"/>
  <c r="C304" i="1" s="1"/>
  <c r="B285" i="1"/>
  <c r="C285" i="1" s="1"/>
  <c r="E285" i="1"/>
  <c r="B253" i="1"/>
  <c r="C253" i="1" s="1"/>
  <c r="E253" i="1" s="1"/>
  <c r="E119" i="3"/>
  <c r="D119" i="3"/>
  <c r="B123" i="1"/>
  <c r="C123" i="1"/>
  <c r="E123" i="1"/>
  <c r="B172" i="1"/>
  <c r="C172" i="1"/>
  <c r="B109" i="1"/>
  <c r="C109" i="1"/>
  <c r="E109" i="1"/>
  <c r="B81" i="1"/>
  <c r="C81" i="1" s="1"/>
  <c r="B182" i="1"/>
  <c r="C182" i="1"/>
  <c r="E182" i="1"/>
  <c r="B168" i="1"/>
  <c r="C168" i="1" s="1"/>
  <c r="E168" i="1"/>
  <c r="B132" i="1"/>
  <c r="C132" i="1"/>
  <c r="B92" i="1"/>
  <c r="C92" i="1"/>
  <c r="I15" i="1"/>
  <c r="B191" i="1"/>
  <c r="C191" i="1" s="1"/>
  <c r="B141" i="1"/>
  <c r="C141" i="1" s="1"/>
  <c r="B39" i="1"/>
  <c r="C39" i="1"/>
  <c r="E39" i="1" s="1"/>
  <c r="B66" i="1"/>
  <c r="C66" i="1" s="1"/>
  <c r="B126" i="1"/>
  <c r="C126" i="1"/>
  <c r="E126" i="1" s="1"/>
  <c r="B193" i="1"/>
  <c r="C193" i="1"/>
  <c r="E193" i="1" s="1"/>
  <c r="B23" i="1"/>
  <c r="C23" i="1"/>
  <c r="B82" i="1"/>
  <c r="C82" i="1"/>
  <c r="E82" i="1"/>
  <c r="B60" i="1"/>
  <c r="C60" i="1" s="1"/>
  <c r="B26" i="1"/>
  <c r="C26" i="1" s="1"/>
  <c r="E26" i="1" s="1"/>
  <c r="B25" i="1"/>
  <c r="C25" i="1"/>
  <c r="E25" i="1" s="1"/>
  <c r="B281" i="1"/>
  <c r="C281" i="1" s="1"/>
  <c r="E281" i="1" s="1"/>
  <c r="E306" i="2"/>
  <c r="B138" i="1"/>
  <c r="C138" i="1" s="1"/>
  <c r="B80" i="1"/>
  <c r="C80" i="1" s="1"/>
  <c r="E80" i="1"/>
  <c r="B299" i="1"/>
  <c r="C299" i="1" s="1"/>
  <c r="E299" i="1" s="1"/>
  <c r="B190" i="1"/>
  <c r="C190" i="1" s="1"/>
  <c r="E190" i="1" s="1"/>
  <c r="B144" i="1"/>
  <c r="C144" i="1"/>
  <c r="E144" i="1" s="1"/>
  <c r="B98" i="1"/>
  <c r="C98" i="1" s="1"/>
  <c r="B227" i="1"/>
  <c r="C227" i="1" s="1"/>
  <c r="E227" i="1" s="1"/>
  <c r="B150" i="1"/>
  <c r="C150" i="1" s="1"/>
  <c r="B197" i="1"/>
  <c r="C197" i="1"/>
  <c r="E197" i="1" s="1"/>
  <c r="B68" i="1"/>
  <c r="C68" i="1" s="1"/>
  <c r="E68" i="1" s="1"/>
  <c r="B57" i="1"/>
  <c r="C57" i="1"/>
  <c r="E57" i="1"/>
  <c r="B269" i="1"/>
  <c r="C269" i="1" s="1"/>
  <c r="B291" i="1"/>
  <c r="C291" i="1"/>
  <c r="B180" i="1"/>
  <c r="C180" i="1"/>
  <c r="E180" i="1" s="1"/>
  <c r="B178" i="1"/>
  <c r="C178" i="1" s="1"/>
  <c r="B175" i="1"/>
  <c r="C175" i="1" s="1"/>
  <c r="E175" i="1" s="1"/>
  <c r="B86" i="1"/>
  <c r="C86" i="1"/>
  <c r="E86" i="1" s="1"/>
  <c r="B183" i="1"/>
  <c r="C183" i="1"/>
  <c r="E183" i="1" s="1"/>
  <c r="B173" i="1"/>
  <c r="C173" i="1" s="1"/>
  <c r="B137" i="1"/>
  <c r="C137" i="1" s="1"/>
  <c r="E137" i="1"/>
  <c r="B154" i="1"/>
  <c r="C154" i="1" s="1"/>
  <c r="B160" i="1"/>
  <c r="C160" i="1"/>
  <c r="E160" i="1" s="1"/>
  <c r="B120" i="1"/>
  <c r="C120" i="1"/>
  <c r="E120" i="1"/>
  <c r="B59" i="1"/>
  <c r="C59" i="1"/>
  <c r="E59" i="1" s="1"/>
  <c r="B206" i="1"/>
  <c r="C206" i="1"/>
  <c r="E206" i="1"/>
  <c r="B268" i="1"/>
  <c r="C268" i="1"/>
  <c r="E268" i="1" s="1"/>
  <c r="B301" i="1"/>
  <c r="C301" i="1" s="1"/>
  <c r="B174" i="1"/>
  <c r="C174" i="1"/>
  <c r="E174" i="1" s="1"/>
  <c r="B198" i="1"/>
  <c r="C198" i="1" s="1"/>
  <c r="E198" i="1" s="1"/>
  <c r="B165" i="1"/>
  <c r="C165" i="1" s="1"/>
  <c r="E165" i="1"/>
  <c r="B133" i="1"/>
  <c r="C133" i="1"/>
  <c r="B146" i="1"/>
  <c r="C146" i="1" s="1"/>
  <c r="B185" i="1"/>
  <c r="C185" i="1" s="1"/>
  <c r="E185" i="1"/>
  <c r="B156" i="1"/>
  <c r="C156" i="1"/>
  <c r="E156" i="1" s="1"/>
  <c r="B167" i="1"/>
  <c r="C167" i="1" s="1"/>
  <c r="E167" i="1" s="1"/>
  <c r="B51" i="1"/>
  <c r="C51" i="1"/>
  <c r="E51" i="1" s="1"/>
  <c r="B19" i="1"/>
  <c r="C19" i="1" s="1"/>
  <c r="B116" i="1"/>
  <c r="C116" i="1" s="1"/>
  <c r="B104" i="1"/>
  <c r="C104" i="1"/>
  <c r="E104" i="1" s="1"/>
  <c r="B58" i="1"/>
  <c r="C58" i="1"/>
  <c r="B221" i="1"/>
  <c r="C221" i="1"/>
  <c r="E221" i="1" s="1"/>
  <c r="B28" i="1"/>
  <c r="C28" i="1"/>
  <c r="E28" i="1"/>
  <c r="B256" i="1"/>
  <c r="C256" i="1"/>
  <c r="E256" i="1" s="1"/>
  <c r="B244" i="1"/>
  <c r="C244" i="1"/>
  <c r="E244" i="1"/>
  <c r="H10" i="1" s="1"/>
  <c r="I21" i="1"/>
  <c r="I26" i="1" s="1"/>
  <c r="B297" i="1"/>
  <c r="C297" i="1"/>
  <c r="D287" i="3"/>
  <c r="E287" i="3"/>
  <c r="B125" i="1"/>
  <c r="C125" i="1"/>
  <c r="E125" i="1" s="1"/>
  <c r="B112" i="1"/>
  <c r="C112" i="1" s="1"/>
  <c r="E112" i="1" s="1"/>
  <c r="B274" i="1"/>
  <c r="C274" i="1" s="1"/>
  <c r="E274" i="1"/>
  <c r="E62" i="3"/>
  <c r="D62" i="3"/>
  <c r="D223" i="3"/>
  <c r="E223" i="3"/>
  <c r="B184" i="1"/>
  <c r="C184" i="1"/>
  <c r="E184" i="1"/>
  <c r="B52" i="1"/>
  <c r="C52" i="1" s="1"/>
  <c r="E52" i="1" s="1"/>
  <c r="B166" i="1"/>
  <c r="C166" i="1"/>
  <c r="E166" i="1"/>
  <c r="B177" i="1"/>
  <c r="C177" i="1" s="1"/>
  <c r="E177" i="1" s="1"/>
  <c r="B48" i="1"/>
  <c r="C48" i="1"/>
  <c r="E48" i="1"/>
  <c r="B196" i="1"/>
  <c r="C196" i="1" s="1"/>
  <c r="E196" i="1" s="1"/>
  <c r="B152" i="1"/>
  <c r="C152" i="1"/>
  <c r="B217" i="1"/>
  <c r="C217" i="1" s="1"/>
  <c r="E217" i="1" s="1"/>
  <c r="B121" i="1"/>
  <c r="C121" i="1" s="1"/>
  <c r="E121" i="1" s="1"/>
  <c r="B192" i="1"/>
  <c r="C192" i="1"/>
  <c r="B111" i="1"/>
  <c r="C111" i="1"/>
  <c r="B89" i="1"/>
  <c r="C89" i="1"/>
  <c r="E89" i="1"/>
  <c r="B290" i="1"/>
  <c r="C290" i="1" s="1"/>
  <c r="B171" i="1"/>
  <c r="C171" i="1" s="1"/>
  <c r="B254" i="1"/>
  <c r="C254" i="1" s="1"/>
  <c r="E254" i="1"/>
  <c r="E260" i="2"/>
  <c r="E1" i="2"/>
  <c r="E5" i="2"/>
  <c r="D255" i="2"/>
  <c r="E37" i="3"/>
  <c r="B161" i="1"/>
  <c r="C161" i="1" s="1"/>
  <c r="B101" i="1"/>
  <c r="C101" i="1" s="1"/>
  <c r="E101" i="1"/>
  <c r="B131" i="1"/>
  <c r="C131" i="1"/>
  <c r="E131" i="1" s="1"/>
  <c r="B95" i="1"/>
  <c r="C95" i="1" s="1"/>
  <c r="E95" i="1" s="1"/>
  <c r="B100" i="1"/>
  <c r="C100" i="1"/>
  <c r="E100" i="1"/>
  <c r="B235" i="1"/>
  <c r="C235" i="1" s="1"/>
  <c r="B245" i="1"/>
  <c r="C245" i="1" s="1"/>
  <c r="B271" i="1"/>
  <c r="C271" i="1"/>
  <c r="E132" i="1"/>
  <c r="B139" i="1"/>
  <c r="C139" i="1" s="1"/>
  <c r="B163" i="1"/>
  <c r="C163" i="1"/>
  <c r="B117" i="1"/>
  <c r="C117" i="1"/>
  <c r="E117" i="1" s="1"/>
  <c r="B158" i="1"/>
  <c r="C158" i="1"/>
  <c r="E158" i="1"/>
  <c r="B186" i="1"/>
  <c r="C186" i="1"/>
  <c r="E186" i="1" s="1"/>
  <c r="B149" i="1"/>
  <c r="C149" i="1"/>
  <c r="B127" i="1"/>
  <c r="C127" i="1" s="1"/>
  <c r="E127" i="1"/>
  <c r="B136" i="1"/>
  <c r="C136" i="1" s="1"/>
  <c r="B188" i="1"/>
  <c r="C188" i="1"/>
  <c r="B43" i="1"/>
  <c r="C43" i="1" s="1"/>
  <c r="B222" i="1"/>
  <c r="C222" i="1"/>
  <c r="E222" i="1" s="1"/>
  <c r="B70" i="1"/>
  <c r="C70" i="1" s="1"/>
  <c r="B42" i="1"/>
  <c r="C42" i="1"/>
  <c r="E42" i="1" s="1"/>
  <c r="B77" i="1"/>
  <c r="C77" i="1" s="1"/>
  <c r="B219" i="1"/>
  <c r="C219" i="1"/>
  <c r="E219" i="1" s="1"/>
  <c r="B288" i="1"/>
  <c r="C288" i="1" s="1"/>
  <c r="B314" i="1"/>
  <c r="C314" i="1"/>
  <c r="E314" i="1" s="1"/>
  <c r="B255" i="1"/>
  <c r="C255" i="1" s="1"/>
  <c r="E255" i="1" s="1"/>
  <c r="D240" i="3"/>
  <c r="E240" i="3"/>
  <c r="B37" i="4"/>
  <c r="C37" i="4" s="1"/>
  <c r="I13" i="4"/>
  <c r="J13" i="4"/>
  <c r="B229" i="4"/>
  <c r="C229" i="4"/>
  <c r="B41" i="4"/>
  <c r="C41" i="4" s="1"/>
  <c r="B243" i="4"/>
  <c r="C243" i="4"/>
  <c r="B45" i="4"/>
  <c r="C45" i="4"/>
  <c r="B52" i="4"/>
  <c r="C52" i="4" s="1"/>
  <c r="B59" i="4"/>
  <c r="C59" i="4"/>
  <c r="B67" i="4"/>
  <c r="C67" i="4"/>
  <c r="E67" i="4" s="1"/>
  <c r="B201" i="4"/>
  <c r="C201" i="4"/>
  <c r="B263" i="4"/>
  <c r="C263" i="4"/>
  <c r="B39" i="4"/>
  <c r="C39" i="4"/>
  <c r="B299" i="4"/>
  <c r="C299" i="4"/>
  <c r="B194" i="4"/>
  <c r="C194" i="4"/>
  <c r="B212" i="4"/>
  <c r="C212" i="4"/>
  <c r="B228" i="4"/>
  <c r="C228" i="4"/>
  <c r="B293" i="4"/>
  <c r="C293" i="4"/>
  <c r="B87" i="4"/>
  <c r="C87" i="4"/>
  <c r="B107" i="4"/>
  <c r="C107" i="4"/>
  <c r="B116" i="4"/>
  <c r="C116" i="4"/>
  <c r="B138" i="4"/>
  <c r="C138" i="4"/>
  <c r="B152" i="4"/>
  <c r="C152" i="4"/>
  <c r="B187" i="4"/>
  <c r="C187" i="4"/>
  <c r="B254" i="4"/>
  <c r="C254" i="4"/>
  <c r="E254" i="4" s="1"/>
  <c r="B276" i="4"/>
  <c r="C276" i="4"/>
  <c r="B294" i="4"/>
  <c r="C294" i="4"/>
  <c r="B167" i="4"/>
  <c r="C167" i="4"/>
  <c r="B112" i="4"/>
  <c r="C112" i="4"/>
  <c r="B18" i="4"/>
  <c r="C18" i="4"/>
  <c r="B33" i="4"/>
  <c r="C33" i="4"/>
  <c r="B190" i="4"/>
  <c r="C190" i="4"/>
  <c r="B239" i="4"/>
  <c r="C239" i="4"/>
  <c r="B22" i="4"/>
  <c r="C22" i="4"/>
  <c r="D22" i="4" s="1"/>
  <c r="B186" i="4"/>
  <c r="C186" i="4"/>
  <c r="B259" i="4"/>
  <c r="C259" i="4"/>
  <c r="B53" i="4"/>
  <c r="C53" i="4"/>
  <c r="D53" i="4" s="1"/>
  <c r="B60" i="4"/>
  <c r="C60" i="4"/>
  <c r="B76" i="4"/>
  <c r="C76" i="4"/>
  <c r="B209" i="4"/>
  <c r="C209" i="4"/>
  <c r="B279" i="4"/>
  <c r="C279" i="4"/>
  <c r="B203" i="4"/>
  <c r="C203" i="4"/>
  <c r="B315" i="4"/>
  <c r="C315" i="4"/>
  <c r="B196" i="4"/>
  <c r="C196" i="4"/>
  <c r="B214" i="4"/>
  <c r="C214" i="4"/>
  <c r="B230" i="4"/>
  <c r="C230" i="4"/>
  <c r="D230" i="4" s="1"/>
  <c r="B261" i="4"/>
  <c r="C261" i="4"/>
  <c r="B297" i="4"/>
  <c r="C297" i="4"/>
  <c r="B88" i="4"/>
  <c r="C88" i="4"/>
  <c r="E88" i="4" s="1"/>
  <c r="B99" i="4"/>
  <c r="C99" i="4"/>
  <c r="B109" i="4"/>
  <c r="C109" i="4"/>
  <c r="B117" i="4"/>
  <c r="C117" i="4"/>
  <c r="E117" i="4" s="1"/>
  <c r="B129" i="4"/>
  <c r="C129" i="4"/>
  <c r="B139" i="4"/>
  <c r="C139" i="4"/>
  <c r="B153" i="4"/>
  <c r="C153" i="4"/>
  <c r="B191" i="4"/>
  <c r="C191" i="4"/>
  <c r="B256" i="4"/>
  <c r="C256" i="4"/>
  <c r="B170" i="4"/>
  <c r="C170" i="4"/>
  <c r="E170" i="4" s="1"/>
  <c r="B128" i="4"/>
  <c r="C128" i="4"/>
  <c r="B176" i="4"/>
  <c r="C176" i="4"/>
  <c r="B230" i="2"/>
  <c r="C230" i="2" s="1"/>
  <c r="B128" i="2"/>
  <c r="C128" i="2" s="1"/>
  <c r="D128" i="2" s="1"/>
  <c r="B122" i="2"/>
  <c r="C122" i="2"/>
  <c r="B136" i="2"/>
  <c r="C136" i="2" s="1"/>
  <c r="E136" i="2" s="1"/>
  <c r="B271" i="2"/>
  <c r="C271" i="2"/>
  <c r="E271" i="2"/>
  <c r="B113" i="2"/>
  <c r="C113" i="2" s="1"/>
  <c r="B139" i="2"/>
  <c r="C139" i="2"/>
  <c r="D139" i="2"/>
  <c r="B149" i="2"/>
  <c r="C149" i="2" s="1"/>
  <c r="D149" i="2" s="1"/>
  <c r="B231" i="2"/>
  <c r="C231" i="2" s="1"/>
  <c r="E231" i="2" s="1"/>
  <c r="B311" i="2"/>
  <c r="C311" i="2"/>
  <c r="B150" i="2"/>
  <c r="C150" i="2" s="1"/>
  <c r="E169" i="3"/>
  <c r="B29" i="4"/>
  <c r="C29" i="4"/>
  <c r="B197" i="4"/>
  <c r="C197" i="4"/>
  <c r="E197" i="4" s="1"/>
  <c r="B23" i="4"/>
  <c r="C23" i="4"/>
  <c r="B199" i="4"/>
  <c r="C199" i="4"/>
  <c r="B275" i="4"/>
  <c r="C275" i="4"/>
  <c r="E275" i="4" s="1"/>
  <c r="B46" i="4"/>
  <c r="C46" i="4"/>
  <c r="B54" i="4"/>
  <c r="C54" i="4"/>
  <c r="B61" i="4"/>
  <c r="C61" i="4"/>
  <c r="B68" i="4"/>
  <c r="C68" i="4"/>
  <c r="B78" i="4"/>
  <c r="C78" i="4"/>
  <c r="B217" i="4"/>
  <c r="C217" i="4"/>
  <c r="E217" i="4" s="1"/>
  <c r="B211" i="4"/>
  <c r="C211" i="4"/>
  <c r="B181" i="4"/>
  <c r="C181" i="4"/>
  <c r="B198" i="4"/>
  <c r="C198" i="4"/>
  <c r="D198" i="4" s="1"/>
  <c r="B218" i="4"/>
  <c r="C218" i="4"/>
  <c r="B232" i="4"/>
  <c r="C232" i="4"/>
  <c r="B265" i="4"/>
  <c r="C265" i="4"/>
  <c r="B89" i="4"/>
  <c r="C89" i="4"/>
  <c r="B100" i="4"/>
  <c r="C100" i="4"/>
  <c r="B119" i="4"/>
  <c r="C119" i="4"/>
  <c r="E119" i="4" s="1"/>
  <c r="B130" i="4"/>
  <c r="C130" i="4"/>
  <c r="B141" i="4"/>
  <c r="C141" i="4"/>
  <c r="B155" i="4"/>
  <c r="C155" i="4"/>
  <c r="B238" i="4"/>
  <c r="C238" i="4"/>
  <c r="B260" i="4"/>
  <c r="C260" i="4"/>
  <c r="B280" i="4"/>
  <c r="C280" i="4"/>
  <c r="E280" i="4" s="1"/>
  <c r="B300" i="4"/>
  <c r="C300" i="4"/>
  <c r="B173" i="4"/>
  <c r="C173" i="4"/>
  <c r="B108" i="4"/>
  <c r="C108" i="4"/>
  <c r="D108" i="4" s="1"/>
  <c r="B19" i="4"/>
  <c r="C19" i="4"/>
  <c r="D165" i="2"/>
  <c r="B35" i="4"/>
  <c r="C35" i="4"/>
  <c r="B28" i="4"/>
  <c r="C28" i="4" s="1"/>
  <c r="E28" i="4" s="1"/>
  <c r="B205" i="4"/>
  <c r="C205" i="4"/>
  <c r="B255" i="4"/>
  <c r="C255" i="4"/>
  <c r="B24" i="4"/>
  <c r="C24" i="4" s="1"/>
  <c r="B291" i="4"/>
  <c r="C291" i="4"/>
  <c r="B55" i="4"/>
  <c r="C55" i="4"/>
  <c r="B62" i="4"/>
  <c r="C62" i="4" s="1"/>
  <c r="E62" i="4" s="1"/>
  <c r="B70" i="4"/>
  <c r="C70" i="4"/>
  <c r="B79" i="4"/>
  <c r="C79" i="4"/>
  <c r="B295" i="4"/>
  <c r="C295" i="4" s="1"/>
  <c r="E295" i="4" s="1"/>
  <c r="B219" i="4"/>
  <c r="C219" i="4"/>
  <c r="B185" i="4"/>
  <c r="C185" i="4"/>
  <c r="B200" i="4"/>
  <c r="C200" i="4" s="1"/>
  <c r="B234" i="4"/>
  <c r="C234" i="4" s="1"/>
  <c r="E234" i="4" s="1"/>
  <c r="B305" i="4"/>
  <c r="C305" i="4"/>
  <c r="B91" i="4"/>
  <c r="C91" i="4" s="1"/>
  <c r="B111" i="4"/>
  <c r="C111" i="4" s="1"/>
  <c r="D111" i="4" s="1"/>
  <c r="B120" i="4"/>
  <c r="C120" i="4"/>
  <c r="B131" i="4"/>
  <c r="C131" i="4" s="1"/>
  <c r="B157" i="4"/>
  <c r="C157" i="4" s="1"/>
  <c r="B240" i="4"/>
  <c r="C240" i="4"/>
  <c r="B282" i="4"/>
  <c r="C282" i="4" s="1"/>
  <c r="B312" i="4"/>
  <c r="C312" i="4" s="1"/>
  <c r="B175" i="4"/>
  <c r="C175" i="4"/>
  <c r="B140" i="4"/>
  <c r="C140" i="4" s="1"/>
  <c r="B21" i="4"/>
  <c r="C21" i="4" s="1"/>
  <c r="D21" i="4" s="1"/>
  <c r="E244" i="3"/>
  <c r="H10" i="3"/>
  <c r="I21" i="3"/>
  <c r="B15" i="4"/>
  <c r="C15" i="4"/>
  <c r="B27" i="4"/>
  <c r="C27" i="4"/>
  <c r="B213" i="4"/>
  <c r="C213" i="4"/>
  <c r="B25" i="4"/>
  <c r="C25" i="4"/>
  <c r="B215" i="4"/>
  <c r="C215" i="4"/>
  <c r="B307" i="4"/>
  <c r="C307" i="4"/>
  <c r="B47" i="4"/>
  <c r="C47" i="4"/>
  <c r="B63" i="4"/>
  <c r="C63" i="4"/>
  <c r="B71" i="4"/>
  <c r="C71" i="4"/>
  <c r="E71" i="4" s="1"/>
  <c r="B80" i="4"/>
  <c r="C80" i="4"/>
  <c r="B225" i="4"/>
  <c r="C225" i="4"/>
  <c r="B180" i="4"/>
  <c r="C180" i="4"/>
  <c r="D180" i="4" s="1"/>
  <c r="B202" i="4"/>
  <c r="C202" i="4"/>
  <c r="B220" i="4"/>
  <c r="C220" i="4"/>
  <c r="B241" i="4"/>
  <c r="C241" i="4"/>
  <c r="D241" i="4" s="1"/>
  <c r="B273" i="4"/>
  <c r="C273" i="4"/>
  <c r="B309" i="4"/>
  <c r="C309" i="4"/>
  <c r="B93" i="4"/>
  <c r="C93" i="4"/>
  <c r="B102" i="4"/>
  <c r="C102" i="4"/>
  <c r="B113" i="4"/>
  <c r="C113" i="4"/>
  <c r="B122" i="4"/>
  <c r="C122" i="4"/>
  <c r="B132" i="4"/>
  <c r="C132" i="4"/>
  <c r="B143" i="4"/>
  <c r="C143" i="4"/>
  <c r="B158" i="4"/>
  <c r="C158" i="4"/>
  <c r="E158" i="4" s="1"/>
  <c r="B242" i="4"/>
  <c r="C242" i="4"/>
  <c r="B262" i="4"/>
  <c r="C262" i="4"/>
  <c r="B286" i="4"/>
  <c r="C286" i="4"/>
  <c r="E286" i="4" s="1"/>
  <c r="B69" i="4"/>
  <c r="C69" i="4"/>
  <c r="B235" i="4"/>
  <c r="C235" i="4"/>
  <c r="B30" i="4"/>
  <c r="C30" i="4"/>
  <c r="D30" i="4" s="1"/>
  <c r="B32" i="4"/>
  <c r="C32" i="4"/>
  <c r="B271" i="4"/>
  <c r="C271" i="4"/>
  <c r="B26" i="4"/>
  <c r="C26" i="4"/>
  <c r="B223" i="4"/>
  <c r="C223" i="4"/>
  <c r="B42" i="4"/>
  <c r="C42" i="4"/>
  <c r="B48" i="4"/>
  <c r="C48" i="4"/>
  <c r="B56" i="4"/>
  <c r="C56" i="4"/>
  <c r="B64" i="4"/>
  <c r="C64" i="4"/>
  <c r="B72" i="4"/>
  <c r="C72" i="4"/>
  <c r="E72" i="4" s="1"/>
  <c r="B82" i="4"/>
  <c r="C82" i="4"/>
  <c r="B233" i="4"/>
  <c r="C233" i="4"/>
  <c r="B311" i="4"/>
  <c r="C311" i="4"/>
  <c r="B227" i="4"/>
  <c r="C227" i="4"/>
  <c r="B184" i="4"/>
  <c r="C184" i="4"/>
  <c r="B224" i="4"/>
  <c r="C224" i="4"/>
  <c r="B245" i="4"/>
  <c r="C245" i="4"/>
  <c r="B281" i="4"/>
  <c r="C281" i="4"/>
  <c r="B84" i="4"/>
  <c r="C84" i="4"/>
  <c r="B103" i="4"/>
  <c r="C103" i="4"/>
  <c r="B114" i="4"/>
  <c r="C114" i="4"/>
  <c r="B123" i="4"/>
  <c r="C123" i="4"/>
  <c r="B133" i="4"/>
  <c r="C133" i="4"/>
  <c r="B144" i="4"/>
  <c r="C144" i="4"/>
  <c r="B161" i="4"/>
  <c r="C161" i="4"/>
  <c r="B248" i="4"/>
  <c r="C248" i="4"/>
  <c r="B264" i="4"/>
  <c r="C264" i="4"/>
  <c r="B288" i="4"/>
  <c r="C288" i="4"/>
  <c r="B318" i="4"/>
  <c r="C318" i="4"/>
  <c r="B148" i="4"/>
  <c r="C148" i="4"/>
  <c r="B317" i="4"/>
  <c r="C317" i="4"/>
  <c r="B31" i="4"/>
  <c r="C31" i="4"/>
  <c r="I34" i="3"/>
  <c r="D291" i="2"/>
  <c r="B16" i="4"/>
  <c r="C16" i="4" s="1"/>
  <c r="B221" i="4"/>
  <c r="C221" i="4" s="1"/>
  <c r="D221" i="4" s="1"/>
  <c r="B287" i="4"/>
  <c r="C287" i="4"/>
  <c r="B231" i="4"/>
  <c r="C231" i="4" s="1"/>
  <c r="B43" i="4"/>
  <c r="C43" i="4" s="1"/>
  <c r="B50" i="4"/>
  <c r="C50" i="4"/>
  <c r="B58" i="4"/>
  <c r="C58" i="4" s="1"/>
  <c r="B66" i="4"/>
  <c r="C66" i="4" s="1"/>
  <c r="E66" i="4" s="1"/>
  <c r="B74" i="4"/>
  <c r="C74" i="4"/>
  <c r="B182" i="4"/>
  <c r="C182" i="4" s="1"/>
  <c r="B247" i="4"/>
  <c r="C247" i="4" s="1"/>
  <c r="E247" i="4" s="1"/>
  <c r="B251" i="4"/>
  <c r="C251" i="4"/>
  <c r="B206" i="4"/>
  <c r="C206" i="4" s="1"/>
  <c r="B285" i="4"/>
  <c r="C285" i="4" s="1"/>
  <c r="D285" i="4" s="1"/>
  <c r="B85" i="4"/>
  <c r="C85" i="4"/>
  <c r="B94" i="4"/>
  <c r="C94" i="4" s="1"/>
  <c r="D94" i="4" s="1"/>
  <c r="B105" i="4"/>
  <c r="C105" i="4" s="1"/>
  <c r="E105" i="4" s="1"/>
  <c r="B115" i="4"/>
  <c r="C115" i="4"/>
  <c r="B125" i="4"/>
  <c r="C125" i="4" s="1"/>
  <c r="B135" i="4"/>
  <c r="C135" i="4" s="1"/>
  <c r="B147" i="4"/>
  <c r="C147" i="4"/>
  <c r="B179" i="4"/>
  <c r="C179" i="4" s="1"/>
  <c r="E179" i="4" s="1"/>
  <c r="B250" i="4"/>
  <c r="C250" i="4" s="1"/>
  <c r="D250" i="4" s="1"/>
  <c r="B268" i="4"/>
  <c r="C268" i="4"/>
  <c r="B292" i="4"/>
  <c r="C292" i="4" s="1"/>
  <c r="D292" i="4" s="1"/>
  <c r="B164" i="4"/>
  <c r="C164" i="4" s="1"/>
  <c r="B65" i="4"/>
  <c r="C65" i="4"/>
  <c r="E25" i="3"/>
  <c r="D25" i="3"/>
  <c r="E297" i="1"/>
  <c r="D216" i="2"/>
  <c r="E216" i="2"/>
  <c r="E57" i="2"/>
  <c r="E25" i="2"/>
  <c r="D25" i="2"/>
  <c r="D203" i="3"/>
  <c r="E203" i="3"/>
  <c r="E303" i="2"/>
  <c r="E280" i="3"/>
  <c r="B97" i="1"/>
  <c r="C97" i="1" s="1"/>
  <c r="E97" i="1" s="1"/>
  <c r="B73" i="1"/>
  <c r="C73" i="1"/>
  <c r="B21" i="1"/>
  <c r="C21" i="1" s="1"/>
  <c r="B228" i="1"/>
  <c r="C228" i="1" s="1"/>
  <c r="E228" i="1" s="1"/>
  <c r="B20" i="1"/>
  <c r="C20" i="1"/>
  <c r="E20" i="1" s="1"/>
  <c r="B263" i="1"/>
  <c r="C263" i="1"/>
  <c r="B316" i="1"/>
  <c r="C316" i="1"/>
  <c r="B278" i="1"/>
  <c r="C278" i="1"/>
  <c r="D278" i="1" s="1"/>
  <c r="B318" i="1"/>
  <c r="C318" i="1"/>
  <c r="E318" i="1" s="1"/>
  <c r="B248" i="1"/>
  <c r="C248" i="1"/>
  <c r="E248" i="1"/>
  <c r="B279" i="1"/>
  <c r="C279" i="1"/>
  <c r="B307" i="1"/>
  <c r="C307" i="1"/>
  <c r="E307" i="1"/>
  <c r="B264" i="1"/>
  <c r="C264" i="1" s="1"/>
  <c r="E48" i="2"/>
  <c r="E74" i="2"/>
  <c r="D74" i="2"/>
  <c r="E162" i="2"/>
  <c r="B22" i="1"/>
  <c r="C22" i="1"/>
  <c r="B225" i="1"/>
  <c r="C225" i="1"/>
  <c r="E225" i="1" s="1"/>
  <c r="B45" i="1"/>
  <c r="C45" i="1" s="1"/>
  <c r="E45" i="1" s="1"/>
  <c r="B17" i="1"/>
  <c r="C17" i="1"/>
  <c r="B224" i="1"/>
  <c r="C224" i="1"/>
  <c r="B16" i="1"/>
  <c r="C16" i="1"/>
  <c r="B223" i="1"/>
  <c r="C223" i="1"/>
  <c r="E223" i="1" s="1"/>
  <c r="B272" i="1"/>
  <c r="C272" i="1" s="1"/>
  <c r="D272" i="1" s="1"/>
  <c r="B250" i="1"/>
  <c r="C250" i="1"/>
  <c r="B282" i="1"/>
  <c r="C282" i="1" s="1"/>
  <c r="E282" i="1" s="1"/>
  <c r="B243" i="1"/>
  <c r="C243" i="1" s="1"/>
  <c r="E243" i="1" s="1"/>
  <c r="B258" i="1"/>
  <c r="C258" i="1"/>
  <c r="B287" i="1"/>
  <c r="C287" i="1" s="1"/>
  <c r="B315" i="1"/>
  <c r="C315" i="1" s="1"/>
  <c r="I13" i="1"/>
  <c r="J13" i="1"/>
  <c r="E185" i="2"/>
  <c r="E203" i="2"/>
  <c r="D203" i="2"/>
  <c r="D137" i="2"/>
  <c r="E291" i="1"/>
  <c r="B142" i="1"/>
  <c r="C142" i="1" s="1"/>
  <c r="B169" i="1"/>
  <c r="C169" i="1" s="1"/>
  <c r="E169" i="1" s="1"/>
  <c r="B153" i="1"/>
  <c r="C153" i="1"/>
  <c r="E153" i="1" s="1"/>
  <c r="B129" i="1"/>
  <c r="C129" i="1" s="1"/>
  <c r="B119" i="1"/>
  <c r="C119" i="1" s="1"/>
  <c r="B170" i="1"/>
  <c r="C170" i="1"/>
  <c r="B122" i="1"/>
  <c r="C122" i="1" s="1"/>
  <c r="B189" i="1"/>
  <c r="C189" i="1"/>
  <c r="B124" i="1"/>
  <c r="C124" i="1"/>
  <c r="B135" i="1"/>
  <c r="C135" i="1"/>
  <c r="E135" i="1" s="1"/>
  <c r="B143" i="1"/>
  <c r="C143" i="1"/>
  <c r="B71" i="1"/>
  <c r="C71" i="1" s="1"/>
  <c r="E71" i="1" s="1"/>
  <c r="B35" i="1"/>
  <c r="C35" i="1"/>
  <c r="B230" i="1"/>
  <c r="C230" i="1"/>
  <c r="B110" i="1"/>
  <c r="C110" i="1" s="1"/>
  <c r="E110" i="1" s="1"/>
  <c r="B102" i="1"/>
  <c r="C102" i="1"/>
  <c r="B90" i="1"/>
  <c r="C90" i="1"/>
  <c r="E90" i="1" s="1"/>
  <c r="B50" i="1"/>
  <c r="C50" i="1"/>
  <c r="E50" i="1"/>
  <c r="B38" i="1"/>
  <c r="C38" i="1"/>
  <c r="E38" i="1" s="1"/>
  <c r="B205" i="1"/>
  <c r="C205" i="1"/>
  <c r="E205" i="1"/>
  <c r="B93" i="1"/>
  <c r="C93" i="1"/>
  <c r="E93" i="1" s="1"/>
  <c r="B65" i="1"/>
  <c r="C65" i="1"/>
  <c r="E65" i="1"/>
  <c r="B41" i="1"/>
  <c r="C41" i="1"/>
  <c r="B204" i="1"/>
  <c r="C204" i="1"/>
  <c r="B212" i="1"/>
  <c r="C212" i="1"/>
  <c r="B203" i="1"/>
  <c r="C203" i="1"/>
  <c r="E203" i="1" s="1"/>
  <c r="B284" i="1"/>
  <c r="C284" i="1"/>
  <c r="E284" i="1"/>
  <c r="B259" i="1"/>
  <c r="C259" i="1"/>
  <c r="B286" i="1"/>
  <c r="C286" i="1"/>
  <c r="B257" i="1"/>
  <c r="C257" i="1"/>
  <c r="E257" i="1" s="1"/>
  <c r="B242" i="1"/>
  <c r="C242" i="1" s="1"/>
  <c r="B295" i="1"/>
  <c r="C295" i="1"/>
  <c r="E5" i="1"/>
  <c r="D281" i="2"/>
  <c r="E281" i="2"/>
  <c r="D217" i="2"/>
  <c r="B313" i="1"/>
  <c r="C313" i="1" s="1"/>
  <c r="B15" i="1"/>
  <c r="C15" i="1"/>
  <c r="B251" i="1"/>
  <c r="C251" i="1" s="1"/>
  <c r="B239" i="1"/>
  <c r="C239" i="1" s="1"/>
  <c r="B317" i="1"/>
  <c r="C317" i="1"/>
  <c r="B266" i="1"/>
  <c r="C266" i="1" s="1"/>
  <c r="D266" i="1" s="1"/>
  <c r="B298" i="1"/>
  <c r="C298" i="1" s="1"/>
  <c r="D298" i="1" s="1"/>
  <c r="B265" i="1"/>
  <c r="C265" i="1"/>
  <c r="E265" i="1"/>
  <c r="B312" i="1"/>
  <c r="C312" i="1"/>
  <c r="B280" i="1"/>
  <c r="C280" i="1"/>
  <c r="B211" i="1"/>
  <c r="C211" i="1"/>
  <c r="E211" i="1" s="1"/>
  <c r="B231" i="1"/>
  <c r="C231" i="1" s="1"/>
  <c r="E231" i="1" s="1"/>
  <c r="B24" i="1"/>
  <c r="C24" i="1"/>
  <c r="B216" i="1"/>
  <c r="C216" i="1"/>
  <c r="E216" i="1" s="1"/>
  <c r="B49" i="1"/>
  <c r="C49" i="1"/>
  <c r="B85" i="1"/>
  <c r="C85" i="1" s="1"/>
  <c r="E85" i="1" s="1"/>
  <c r="B229" i="1"/>
  <c r="C229" i="1"/>
  <c r="B18" i="1"/>
  <c r="C18" i="1"/>
  <c r="D18" i="1" s="1"/>
  <c r="B44" i="1"/>
  <c r="C44" i="1"/>
  <c r="B62" i="1"/>
  <c r="C62" i="1"/>
  <c r="B84" i="1"/>
  <c r="C84" i="1"/>
  <c r="B94" i="1"/>
  <c r="C94" i="1"/>
  <c r="B108" i="1"/>
  <c r="C108" i="1"/>
  <c r="E108" i="1"/>
  <c r="B113" i="1"/>
  <c r="C113" i="1" s="1"/>
  <c r="E113" i="1" s="1"/>
  <c r="B234" i="1"/>
  <c r="C234" i="1" s="1"/>
  <c r="B27" i="1"/>
  <c r="C27" i="1"/>
  <c r="E27" i="1" s="1"/>
  <c r="B47" i="1"/>
  <c r="C47" i="1"/>
  <c r="B83" i="1"/>
  <c r="C83" i="1"/>
  <c r="E83" i="1"/>
  <c r="B305" i="1"/>
  <c r="C305" i="1" s="1"/>
  <c r="D305" i="1" s="1"/>
  <c r="B267" i="1"/>
  <c r="C267" i="1" s="1"/>
  <c r="B311" i="1"/>
  <c r="C311" i="1"/>
  <c r="E311" i="1"/>
  <c r="B246" i="1"/>
  <c r="C246" i="1"/>
  <c r="B309" i="1"/>
  <c r="C309" i="1"/>
  <c r="B252" i="1"/>
  <c r="C252" i="1"/>
  <c r="D252" i="1" s="1"/>
  <c r="B294" i="1"/>
  <c r="C294" i="1"/>
  <c r="B261" i="1"/>
  <c r="C261" i="1"/>
  <c r="B308" i="1"/>
  <c r="C308" i="1"/>
  <c r="D308" i="1" s="1"/>
  <c r="B276" i="1"/>
  <c r="C276" i="1"/>
  <c r="B215" i="1"/>
  <c r="C215" i="1"/>
  <c r="B220" i="1"/>
  <c r="C220" i="1"/>
  <c r="E220" i="1" s="1"/>
  <c r="B200" i="1"/>
  <c r="C200" i="1"/>
  <c r="E200" i="1" s="1"/>
  <c r="B33" i="1"/>
  <c r="C33" i="1"/>
  <c r="B69" i="1"/>
  <c r="C69" i="1" s="1"/>
  <c r="B213" i="1"/>
  <c r="C213" i="1"/>
  <c r="B233" i="1"/>
  <c r="C233" i="1"/>
  <c r="B36" i="1"/>
  <c r="C36" i="1" s="1"/>
  <c r="B54" i="1"/>
  <c r="C54" i="1"/>
  <c r="E54" i="1" s="1"/>
  <c r="B64" i="1"/>
  <c r="C64" i="1" s="1"/>
  <c r="D64" i="1" s="1"/>
  <c r="B74" i="1"/>
  <c r="C74" i="1"/>
  <c r="E74" i="1"/>
  <c r="B96" i="1"/>
  <c r="C96" i="1"/>
  <c r="E96" i="1" s="1"/>
  <c r="B103" i="1"/>
  <c r="C103" i="1"/>
  <c r="B114" i="1"/>
  <c r="C114" i="1" s="1"/>
  <c r="E114" i="1" s="1"/>
  <c r="B214" i="1"/>
  <c r="C214" i="1"/>
  <c r="B31" i="1"/>
  <c r="C31" i="1"/>
  <c r="B55" i="1"/>
  <c r="C55" i="1" s="1"/>
  <c r="E55" i="1" s="1"/>
  <c r="B87" i="1"/>
  <c r="C87" i="1"/>
  <c r="B99" i="1"/>
  <c r="C99" i="1" s="1"/>
  <c r="B91" i="1"/>
  <c r="C91" i="1" s="1"/>
  <c r="E189" i="2"/>
  <c r="D189" i="2"/>
  <c r="D43" i="2"/>
  <c r="E43" i="2"/>
  <c r="E65" i="2"/>
  <c r="D65" i="2"/>
  <c r="D26" i="2"/>
  <c r="D47" i="2"/>
  <c r="E47" i="2"/>
  <c r="D161" i="2"/>
  <c r="E196" i="2"/>
  <c r="D196" i="2"/>
  <c r="D278" i="2"/>
  <c r="E278" i="2"/>
  <c r="B195" i="1"/>
  <c r="C195" i="1"/>
  <c r="E195" i="1" s="1"/>
  <c r="B162" i="1"/>
  <c r="C162" i="1"/>
  <c r="E162" i="1" s="1"/>
  <c r="B118" i="1"/>
  <c r="C118" i="1"/>
  <c r="B181" i="1"/>
  <c r="C181" i="1"/>
  <c r="B164" i="1"/>
  <c r="C164" i="1" s="1"/>
  <c r="E164" i="1" s="1"/>
  <c r="B140" i="1"/>
  <c r="C140" i="1"/>
  <c r="E140" i="1" s="1"/>
  <c r="B155" i="1"/>
  <c r="C155" i="1" s="1"/>
  <c r="B159" i="1"/>
  <c r="C159" i="1"/>
  <c r="E159" i="1"/>
  <c r="B75" i="1"/>
  <c r="C75" i="1"/>
  <c r="B63" i="1"/>
  <c r="C63" i="1"/>
  <c r="E63" i="1"/>
  <c r="B226" i="1"/>
  <c r="C226" i="1" s="1"/>
  <c r="E226" i="1" s="1"/>
  <c r="B115" i="1"/>
  <c r="C115" i="1"/>
  <c r="E115" i="1"/>
  <c r="B107" i="1"/>
  <c r="C107" i="1" s="1"/>
  <c r="B88" i="1"/>
  <c r="C88" i="1" s="1"/>
  <c r="B72" i="1"/>
  <c r="C72" i="1"/>
  <c r="B34" i="1"/>
  <c r="C34" i="1" s="1"/>
  <c r="B201" i="1"/>
  <c r="C201" i="1"/>
  <c r="B61" i="1"/>
  <c r="C61" i="1" s="1"/>
  <c r="E61" i="1" s="1"/>
  <c r="B37" i="1"/>
  <c r="C37" i="1"/>
  <c r="B236" i="1"/>
  <c r="C236" i="1" s="1"/>
  <c r="B208" i="1"/>
  <c r="C208" i="1"/>
  <c r="B207" i="1"/>
  <c r="C207" i="1" s="1"/>
  <c r="E207" i="1" s="1"/>
  <c r="B240" i="1"/>
  <c r="C240" i="1"/>
  <c r="D240" i="1" s="1"/>
  <c r="E240" i="1"/>
  <c r="B292" i="1"/>
  <c r="C292" i="1"/>
  <c r="B247" i="1"/>
  <c r="C247" i="1"/>
  <c r="B302" i="1"/>
  <c r="C302" i="1"/>
  <c r="B277" i="1"/>
  <c r="C277" i="1"/>
  <c r="B283" i="1"/>
  <c r="C283" i="1"/>
  <c r="B262" i="1"/>
  <c r="C262" i="1"/>
  <c r="E262" i="1" s="1"/>
  <c r="B273" i="1"/>
  <c r="C273" i="1"/>
  <c r="E294" i="2"/>
  <c r="D294" i="2"/>
  <c r="D56" i="2"/>
  <c r="E56" i="2"/>
  <c r="E157" i="2"/>
  <c r="D157" i="2"/>
  <c r="D94" i="2"/>
  <c r="E94" i="2"/>
  <c r="D23" i="2"/>
  <c r="E23" i="2"/>
  <c r="D163" i="2"/>
  <c r="E163" i="2"/>
  <c r="D117" i="2"/>
  <c r="E117" i="2"/>
  <c r="E129" i="2"/>
  <c r="E169" i="2"/>
  <c r="E305" i="2"/>
  <c r="D305" i="2"/>
  <c r="E53" i="2"/>
  <c r="D53" i="2"/>
  <c r="D181" i="2"/>
  <c r="B56" i="1"/>
  <c r="C56" i="1"/>
  <c r="E56" i="1"/>
  <c r="B237" i="1"/>
  <c r="C237" i="1" s="1"/>
  <c r="D237" i="1" s="1"/>
  <c r="B209" i="1"/>
  <c r="C209" i="1" s="1"/>
  <c r="B29" i="1"/>
  <c r="C29" i="1"/>
  <c r="E29" i="1"/>
  <c r="B232" i="1"/>
  <c r="C232" i="1"/>
  <c r="B32" i="1"/>
  <c r="C32" i="1"/>
  <c r="B151" i="1"/>
  <c r="C151" i="1"/>
  <c r="B249" i="1"/>
  <c r="C249" i="1" s="1"/>
  <c r="D249" i="1" s="1"/>
  <c r="B300" i="1"/>
  <c r="C300" i="1"/>
  <c r="E300" i="1"/>
  <c r="B270" i="1"/>
  <c r="C270" i="1"/>
  <c r="E270" i="1" s="1"/>
  <c r="B310" i="1"/>
  <c r="C310" i="1"/>
  <c r="B293" i="1"/>
  <c r="C293" i="1" s="1"/>
  <c r="D293" i="1" s="1"/>
  <c r="B260" i="1"/>
  <c r="C260" i="1" s="1"/>
  <c r="E260" i="1" s="1"/>
  <c r="B275" i="1"/>
  <c r="C275" i="1"/>
  <c r="B289" i="1"/>
  <c r="C289" i="1" s="1"/>
  <c r="E241" i="2"/>
  <c r="D241" i="2"/>
  <c r="D218" i="2"/>
  <c r="E218" i="2"/>
  <c r="E266" i="2"/>
  <c r="D266" i="2"/>
  <c r="E82" i="2"/>
  <c r="E117" i="3"/>
  <c r="E77" i="3"/>
  <c r="D77" i="3"/>
  <c r="E146" i="3"/>
  <c r="D146" i="3"/>
  <c r="D222" i="3"/>
  <c r="E222" i="3"/>
  <c r="E256" i="3"/>
  <c r="D256" i="3"/>
  <c r="E20" i="3"/>
  <c r="D20" i="3"/>
  <c r="D79" i="3"/>
  <c r="E79" i="3"/>
  <c r="E93" i="3"/>
  <c r="D93" i="3"/>
  <c r="D259" i="3"/>
  <c r="D88" i="3"/>
  <c r="E88" i="3"/>
  <c r="E295" i="3"/>
  <c r="E289" i="3"/>
  <c r="E253" i="3"/>
  <c r="E100" i="3"/>
  <c r="E128" i="3"/>
  <c r="E191" i="3"/>
  <c r="E263" i="3"/>
  <c r="E181" i="3"/>
  <c r="E161" i="3"/>
  <c r="E142" i="3"/>
  <c r="E304" i="3"/>
  <c r="E226" i="3"/>
  <c r="E120" i="3"/>
  <c r="E53" i="3"/>
  <c r="E174" i="3"/>
  <c r="D124" i="2"/>
  <c r="E70" i="3"/>
  <c r="E102" i="3"/>
  <c r="D102" i="3"/>
  <c r="D155" i="3"/>
  <c r="E55" i="3"/>
  <c r="D55" i="3"/>
  <c r="D145" i="3"/>
  <c r="E145" i="3"/>
  <c r="D241" i="3"/>
  <c r="E241" i="3"/>
  <c r="D199" i="3"/>
  <c r="E199" i="3"/>
  <c r="D224" i="3"/>
  <c r="E224" i="3"/>
  <c r="D231" i="3"/>
  <c r="E231" i="3"/>
  <c r="B244" i="2"/>
  <c r="C244" i="2"/>
  <c r="E244" i="2" s="1"/>
  <c r="H10" i="2" s="1"/>
  <c r="I39" i="2" s="1"/>
  <c r="B67" i="2"/>
  <c r="C67" i="2"/>
  <c r="D67" i="2" s="1"/>
  <c r="B164" i="2"/>
  <c r="C164" i="2"/>
  <c r="B156" i="2"/>
  <c r="C156" i="2"/>
  <c r="B298" i="2"/>
  <c r="C298" i="2"/>
  <c r="E298" i="2" s="1"/>
  <c r="B263" i="2"/>
  <c r="C263" i="2"/>
  <c r="B183" i="2"/>
  <c r="C183" i="2"/>
  <c r="E63" i="3"/>
  <c r="D63" i="3"/>
  <c r="E170" i="3"/>
  <c r="D170" i="3"/>
  <c r="D56" i="3"/>
  <c r="E56" i="3"/>
  <c r="E163" i="3"/>
  <c r="D163" i="3"/>
  <c r="E225" i="3"/>
  <c r="D225" i="3"/>
  <c r="E277" i="3"/>
  <c r="D277" i="3"/>
  <c r="D274" i="3"/>
  <c r="E274" i="3"/>
  <c r="D309" i="2"/>
  <c r="E140" i="3"/>
  <c r="D140" i="3"/>
  <c r="E233" i="3"/>
  <c r="E309" i="3"/>
  <c r="D309" i="3"/>
  <c r="E99" i="3"/>
  <c r="E111" i="3"/>
  <c r="E72" i="3"/>
  <c r="E84" i="3"/>
  <c r="E313" i="3"/>
  <c r="E286" i="3"/>
  <c r="E101" i="3"/>
  <c r="E74" i="3"/>
  <c r="E106" i="3"/>
  <c r="E188" i="3"/>
  <c r="E307" i="3"/>
  <c r="E159" i="3"/>
  <c r="E210" i="3"/>
  <c r="E252" i="3"/>
  <c r="E261" i="3"/>
  <c r="E290" i="3"/>
  <c r="D167" i="7"/>
  <c r="D179" i="7"/>
  <c r="E71" i="3"/>
  <c r="E103" i="3"/>
  <c r="E76" i="3"/>
  <c r="E96" i="3"/>
  <c r="E162" i="3"/>
  <c r="E139" i="3"/>
  <c r="E281" i="3"/>
  <c r="B150" i="4"/>
  <c r="C150" i="4" s="1"/>
  <c r="B160" i="4"/>
  <c r="C160" i="4"/>
  <c r="B258" i="4"/>
  <c r="C258" i="4" s="1"/>
  <c r="B270" i="4"/>
  <c r="C270" i="4" s="1"/>
  <c r="D270" i="4" s="1"/>
  <c r="B306" i="4"/>
  <c r="C306" i="4"/>
  <c r="B172" i="4"/>
  <c r="C172" i="4" s="1"/>
  <c r="E143" i="3"/>
  <c r="E193" i="3"/>
  <c r="E265" i="3"/>
  <c r="E125" i="3"/>
  <c r="E154" i="3"/>
  <c r="E39" i="3"/>
  <c r="E131" i="3"/>
  <c r="E68" i="3"/>
  <c r="E167" i="3"/>
  <c r="E314" i="3"/>
  <c r="E132" i="3"/>
  <c r="E165" i="3"/>
  <c r="E192" i="3"/>
  <c r="E246" i="3"/>
  <c r="E312" i="3"/>
  <c r="E262" i="3"/>
  <c r="E278" i="3"/>
  <c r="E318" i="3"/>
  <c r="E213" i="3"/>
  <c r="E87" i="3"/>
  <c r="E112" i="3"/>
  <c r="E221" i="3"/>
  <c r="I16" i="3"/>
  <c r="J16" i="3" s="1"/>
  <c r="D268" i="7"/>
  <c r="E138" i="1"/>
  <c r="E152" i="1"/>
  <c r="E172" i="1"/>
  <c r="E146" i="1"/>
  <c r="E150" i="1"/>
  <c r="E192" i="1"/>
  <c r="E189" i="1"/>
  <c r="E128" i="1"/>
  <c r="E178" i="1"/>
  <c r="E149" i="1"/>
  <c r="E163" i="1"/>
  <c r="E20" i="2"/>
  <c r="D20" i="2"/>
  <c r="D229" i="2"/>
  <c r="E229" i="2"/>
  <c r="D38" i="2"/>
  <c r="E38" i="2"/>
  <c r="E209" i="2"/>
  <c r="D209" i="2"/>
  <c r="D136" i="2"/>
  <c r="E19" i="1"/>
  <c r="E214" i="1"/>
  <c r="E111" i="1"/>
  <c r="D221" i="2"/>
  <c r="D239" i="2"/>
  <c r="E239" i="2"/>
  <c r="E204" i="2"/>
  <c r="D204" i="2"/>
  <c r="D227" i="2"/>
  <c r="E227" i="2"/>
  <c r="E284" i="2"/>
  <c r="D284" i="2"/>
  <c r="E245" i="2"/>
  <c r="D245" i="2"/>
  <c r="E27" i="3"/>
  <c r="D27" i="3"/>
  <c r="D259" i="2"/>
  <c r="E259" i="2"/>
  <c r="E45" i="2"/>
  <c r="D91" i="2"/>
  <c r="E91" i="2"/>
  <c r="E151" i="2"/>
  <c r="D151" i="2"/>
  <c r="E235" i="1"/>
  <c r="E60" i="1"/>
  <c r="E76" i="1"/>
  <c r="E92" i="1"/>
  <c r="E23" i="1"/>
  <c r="E102" i="1"/>
  <c r="D59" i="2"/>
  <c r="E59" i="2"/>
  <c r="E52" i="2"/>
  <c r="D52" i="2"/>
  <c r="D90" i="2"/>
  <c r="E90" i="2"/>
  <c r="E71" i="2"/>
  <c r="D71" i="2"/>
  <c r="D111" i="2"/>
  <c r="E111" i="2"/>
  <c r="E172" i="2"/>
  <c r="D172" i="2"/>
  <c r="D106" i="2"/>
  <c r="E106" i="2"/>
  <c r="E42" i="2"/>
  <c r="D42" i="2"/>
  <c r="D105" i="2"/>
  <c r="E60" i="2"/>
  <c r="D104" i="2"/>
  <c r="E104" i="2"/>
  <c r="E196" i="3"/>
  <c r="D196" i="3"/>
  <c r="E30" i="3"/>
  <c r="D30" i="3"/>
  <c r="E153" i="3"/>
  <c r="D153" i="3"/>
  <c r="D66" i="2"/>
  <c r="D32" i="2"/>
  <c r="E33" i="2"/>
  <c r="E124" i="3"/>
  <c r="D124" i="3"/>
  <c r="D308" i="3"/>
  <c r="E83" i="3"/>
  <c r="D83" i="3"/>
  <c r="D195" i="3"/>
  <c r="E195" i="3"/>
  <c r="E98" i="2"/>
  <c r="E208" i="2"/>
  <c r="D123" i="2"/>
  <c r="D80" i="3"/>
  <c r="E80" i="3"/>
  <c r="D90" i="3"/>
  <c r="D168" i="3"/>
  <c r="E168" i="3"/>
  <c r="E52" i="3"/>
  <c r="D52" i="3"/>
  <c r="E133" i="3"/>
  <c r="D133" i="3"/>
  <c r="D38" i="3"/>
  <c r="E38" i="3"/>
  <c r="E157" i="3"/>
  <c r="D157" i="3"/>
  <c r="D166" i="3"/>
  <c r="E166" i="3"/>
  <c r="D307" i="3"/>
  <c r="D156" i="3"/>
  <c r="E156" i="3"/>
  <c r="E54" i="3"/>
  <c r="D54" i="3"/>
  <c r="D208" i="3"/>
  <c r="E208" i="3"/>
  <c r="D239" i="3"/>
  <c r="E239" i="3"/>
  <c r="E212" i="3"/>
  <c r="E136" i="3"/>
  <c r="E180" i="3"/>
  <c r="E251" i="3"/>
  <c r="D251" i="3"/>
  <c r="D21" i="3"/>
  <c r="E21" i="3"/>
  <c r="E67" i="3"/>
  <c r="E129" i="3"/>
  <c r="D129" i="3"/>
  <c r="E65" i="3"/>
  <c r="D65" i="3"/>
  <c r="D164" i="3"/>
  <c r="E164" i="3"/>
  <c r="E189" i="3"/>
  <c r="D189" i="3"/>
  <c r="E267" i="3"/>
  <c r="D267" i="3"/>
  <c r="D113" i="3"/>
  <c r="E113" i="3"/>
  <c r="E108" i="3"/>
  <c r="D108" i="3"/>
  <c r="D149" i="3"/>
  <c r="E149" i="3"/>
  <c r="E147" i="3"/>
  <c r="D147" i="3"/>
  <c r="B12" i="4"/>
  <c r="I15" i="4"/>
  <c r="E185" i="7"/>
  <c r="D185" i="7"/>
  <c r="D97" i="3"/>
  <c r="E283" i="3"/>
  <c r="D61" i="3"/>
  <c r="B146" i="4"/>
  <c r="C146" i="4"/>
  <c r="E146" i="4" s="1"/>
  <c r="B207" i="4"/>
  <c r="C207" i="4"/>
  <c r="B277" i="4"/>
  <c r="C277" i="4"/>
  <c r="B162" i="4"/>
  <c r="C162" i="4"/>
  <c r="E162" i="4" s="1"/>
  <c r="B57" i="4"/>
  <c r="C57" i="4"/>
  <c r="D57" i="4" s="1"/>
  <c r="B316" i="4"/>
  <c r="C316" i="4"/>
  <c r="B310" i="4"/>
  <c r="C310" i="4"/>
  <c r="E310" i="4" s="1"/>
  <c r="B304" i="4"/>
  <c r="C304" i="4"/>
  <c r="B298" i="4"/>
  <c r="C298" i="4"/>
  <c r="B252" i="4"/>
  <c r="C252" i="4"/>
  <c r="D252" i="4" s="1"/>
  <c r="B246" i="4"/>
  <c r="C246" i="4"/>
  <c r="B159" i="4"/>
  <c r="C159" i="4"/>
  <c r="B156" i="4"/>
  <c r="C156" i="4"/>
  <c r="B145" i="4"/>
  <c r="C145" i="4"/>
  <c r="B142" i="4"/>
  <c r="C142" i="4"/>
  <c r="B126" i="4"/>
  <c r="C126" i="4"/>
  <c r="D126" i="4" s="1"/>
  <c r="B110" i="4"/>
  <c r="C110" i="4"/>
  <c r="E110" i="4" s="1"/>
  <c r="B104" i="4"/>
  <c r="C104" i="4"/>
  <c r="B101" i="4"/>
  <c r="C101" i="4"/>
  <c r="B95" i="4"/>
  <c r="C95" i="4"/>
  <c r="B83" i="4"/>
  <c r="C83" i="4"/>
  <c r="B269" i="4"/>
  <c r="C269" i="4"/>
  <c r="B222" i="4"/>
  <c r="C222" i="4"/>
  <c r="B216" i="4"/>
  <c r="C216" i="4"/>
  <c r="B210" i="4"/>
  <c r="C210" i="4"/>
  <c r="B204" i="4"/>
  <c r="C204" i="4"/>
  <c r="B195" i="4"/>
  <c r="C195" i="4"/>
  <c r="B244" i="4"/>
  <c r="C244" i="4"/>
  <c r="N13" i="4" s="1"/>
  <c r="B36" i="4"/>
  <c r="C36" i="4" s="1"/>
  <c r="E36" i="4" s="1"/>
  <c r="B178" i="4"/>
  <c r="C178" i="4"/>
  <c r="B92" i="4"/>
  <c r="C92" i="4" s="1"/>
  <c r="E92" i="4" s="1"/>
  <c r="B73" i="4"/>
  <c r="C73" i="4" s="1"/>
  <c r="B77" i="4"/>
  <c r="C77" i="4"/>
  <c r="B169" i="4"/>
  <c r="C169" i="4" s="1"/>
  <c r="E169" i="4" s="1"/>
  <c r="B166" i="4"/>
  <c r="C166" i="4" s="1"/>
  <c r="D166" i="4" s="1"/>
  <c r="B163" i="4"/>
  <c r="C163" i="4"/>
  <c r="E163" i="4" s="1"/>
  <c r="B314" i="4"/>
  <c r="C314" i="4" s="1"/>
  <c r="D314" i="4" s="1"/>
  <c r="B20" i="4"/>
  <c r="C20" i="4" s="1"/>
  <c r="B253" i="4"/>
  <c r="C253" i="4"/>
  <c r="B154" i="4"/>
  <c r="C154" i="4" s="1"/>
  <c r="D154" i="4" s="1"/>
  <c r="B49" i="4"/>
  <c r="C49" i="4" s="1"/>
  <c r="B308" i="4"/>
  <c r="C308" i="4"/>
  <c r="B302" i="4"/>
  <c r="C302" i="4" s="1"/>
  <c r="D302" i="4" s="1"/>
  <c r="B296" i="4"/>
  <c r="C296" i="4" s="1"/>
  <c r="B290" i="4"/>
  <c r="C290" i="4"/>
  <c r="B124" i="4"/>
  <c r="C124" i="4" s="1"/>
  <c r="B96" i="4"/>
  <c r="C96" i="4" s="1"/>
  <c r="E96" i="4" s="1"/>
  <c r="B174" i="4"/>
  <c r="C174" i="4"/>
  <c r="E174" i="4" s="1"/>
  <c r="B171" i="4"/>
  <c r="C171" i="4" s="1"/>
  <c r="B168" i="4"/>
  <c r="C168" i="4" s="1"/>
  <c r="E168" i="4" s="1"/>
  <c r="B284" i="4"/>
  <c r="C284" i="4"/>
  <c r="B278" i="4"/>
  <c r="C278" i="4" s="1"/>
  <c r="E278" i="4" s="1"/>
  <c r="B272" i="4"/>
  <c r="C272" i="4" s="1"/>
  <c r="E272" i="4" s="1"/>
  <c r="B266" i="4"/>
  <c r="C266" i="4"/>
  <c r="B236" i="4"/>
  <c r="C236" i="4" s="1"/>
  <c r="E236" i="4" s="1"/>
  <c r="B183" i="4"/>
  <c r="C183" i="4" s="1"/>
  <c r="D183" i="4" s="1"/>
  <c r="B151" i="4"/>
  <c r="C151" i="4"/>
  <c r="B137" i="4"/>
  <c r="C137" i="4" s="1"/>
  <c r="B134" i="4"/>
  <c r="C134" i="4" s="1"/>
  <c r="B121" i="4"/>
  <c r="C121" i="4"/>
  <c r="E121" i="4" s="1"/>
  <c r="B118" i="4"/>
  <c r="C118" i="4" s="1"/>
  <c r="E118" i="4" s="1"/>
  <c r="B97" i="4"/>
  <c r="C97" i="4" s="1"/>
  <c r="E97" i="4" s="1"/>
  <c r="B90" i="4"/>
  <c r="C90" i="4"/>
  <c r="D90" i="4" s="1"/>
  <c r="B313" i="4"/>
  <c r="C313" i="4" s="1"/>
  <c r="D313" i="4" s="1"/>
  <c r="B301" i="4"/>
  <c r="C301" i="4" s="1"/>
  <c r="B249" i="4"/>
  <c r="C249" i="4"/>
  <c r="B237" i="4"/>
  <c r="C237" i="4" s="1"/>
  <c r="E237" i="4" s="1"/>
  <c r="B188" i="4"/>
  <c r="C188" i="4" s="1"/>
  <c r="D188" i="4" s="1"/>
  <c r="B189" i="4"/>
  <c r="C189" i="4"/>
  <c r="E189" i="4" s="1"/>
  <c r="B177" i="4"/>
  <c r="C177" i="4" s="1"/>
  <c r="D177" i="4" s="1"/>
  <c r="B283" i="4"/>
  <c r="C283" i="4" s="1"/>
  <c r="E83" i="7"/>
  <c r="D34" i="7"/>
  <c r="D187" i="7"/>
  <c r="D195" i="7"/>
  <c r="D203" i="7"/>
  <c r="D211" i="7"/>
  <c r="D219" i="7"/>
  <c r="D257" i="7"/>
  <c r="D289" i="7"/>
  <c r="E179" i="7"/>
  <c r="E211" i="7"/>
  <c r="E147" i="7"/>
  <c r="D78" i="7"/>
  <c r="D142" i="7"/>
  <c r="D191" i="7"/>
  <c r="D241" i="7"/>
  <c r="D273" i="7"/>
  <c r="D305" i="7"/>
  <c r="D252" i="7"/>
  <c r="D284" i="7"/>
  <c r="D316" i="7"/>
  <c r="D43" i="7"/>
  <c r="E43" i="7"/>
  <c r="E187" i="7"/>
  <c r="D94" i="7"/>
  <c r="D158" i="7"/>
  <c r="E67" i="7"/>
  <c r="E131" i="7"/>
  <c r="E195" i="7"/>
  <c r="D110" i="7"/>
  <c r="D184" i="7"/>
  <c r="E115" i="7"/>
  <c r="E203" i="7"/>
  <c r="D62" i="7"/>
  <c r="D126" i="7"/>
  <c r="E219" i="7"/>
  <c r="E99" i="7"/>
  <c r="E163" i="7"/>
  <c r="E303" i="7"/>
  <c r="D303" i="7"/>
  <c r="D145" i="7"/>
  <c r="E145" i="7"/>
  <c r="D129" i="7"/>
  <c r="E129" i="7"/>
  <c r="D113" i="7"/>
  <c r="E113" i="7"/>
  <c r="D97" i="7"/>
  <c r="E97" i="7"/>
  <c r="D81" i="7"/>
  <c r="E81" i="7"/>
  <c r="D65" i="7"/>
  <c r="E65" i="7"/>
  <c r="D48" i="7"/>
  <c r="E48" i="7"/>
  <c r="D32" i="7"/>
  <c r="E32" i="7"/>
  <c r="D120" i="7"/>
  <c r="E120" i="7"/>
  <c r="D84" i="7"/>
  <c r="E84" i="7"/>
  <c r="E49" i="7"/>
  <c r="D49" i="7"/>
  <c r="E143" i="7"/>
  <c r="D143" i="7"/>
  <c r="E46" i="7"/>
  <c r="D46" i="7"/>
  <c r="D152" i="7"/>
  <c r="E152" i="7"/>
  <c r="D108" i="7"/>
  <c r="E108" i="7"/>
  <c r="D53" i="7"/>
  <c r="E53" i="7"/>
  <c r="D172" i="7"/>
  <c r="E172" i="7"/>
  <c r="D250" i="7"/>
  <c r="E250" i="7"/>
  <c r="E279" i="7"/>
  <c r="D279" i="7"/>
  <c r="D220" i="7"/>
  <c r="E220" i="7"/>
  <c r="D306" i="7"/>
  <c r="E306" i="7"/>
  <c r="E180" i="7"/>
  <c r="D180" i="7"/>
  <c r="E196" i="7"/>
  <c r="D196" i="7"/>
  <c r="E204" i="7"/>
  <c r="D204" i="7"/>
  <c r="E212" i="7"/>
  <c r="D212" i="7"/>
  <c r="D283" i="7"/>
  <c r="E283" i="7"/>
  <c r="D221" i="7"/>
  <c r="E246" i="7"/>
  <c r="D246" i="7"/>
  <c r="E310" i="7"/>
  <c r="D310" i="7"/>
  <c r="E261" i="7"/>
  <c r="D261" i="7"/>
  <c r="E293" i="7"/>
  <c r="D293" i="7"/>
  <c r="E240" i="7"/>
  <c r="H10" i="7"/>
  <c r="I39" i="7"/>
  <c r="D240" i="7"/>
  <c r="E272" i="7"/>
  <c r="D272" i="7"/>
  <c r="E304" i="7"/>
  <c r="D304" i="7"/>
  <c r="D24" i="7"/>
  <c r="D157" i="7"/>
  <c r="D125" i="7"/>
  <c r="D93" i="7"/>
  <c r="D35" i="7"/>
  <c r="D15" i="7"/>
  <c r="D76" i="7"/>
  <c r="D18" i="7"/>
  <c r="E221" i="7"/>
  <c r="D205" i="7"/>
  <c r="D98" i="7"/>
  <c r="D130" i="7"/>
  <c r="D162" i="7"/>
  <c r="D155" i="7"/>
  <c r="D139" i="7"/>
  <c r="D123" i="7"/>
  <c r="D107" i="7"/>
  <c r="D91" i="7"/>
  <c r="D75" i="7"/>
  <c r="D59" i="7"/>
  <c r="D19" i="7"/>
  <c r="D148" i="7"/>
  <c r="D132" i="7"/>
  <c r="D104" i="7"/>
  <c r="D72" i="7"/>
  <c r="D16" i="7"/>
  <c r="D168" i="7"/>
  <c r="D189" i="7"/>
  <c r="D197" i="7"/>
  <c r="D213" i="7"/>
  <c r="D223" i="7"/>
  <c r="D249" i="7"/>
  <c r="D265" i="7"/>
  <c r="D281" i="7"/>
  <c r="D297" i="7"/>
  <c r="D313" i="7"/>
  <c r="D260" i="7"/>
  <c r="D308" i="7"/>
  <c r="D51" i="7"/>
  <c r="D23" i="7"/>
  <c r="D170" i="7"/>
  <c r="D153" i="7"/>
  <c r="D137" i="7"/>
  <c r="D121" i="7"/>
  <c r="D105" i="7"/>
  <c r="D89" i="7"/>
  <c r="D73" i="7"/>
  <c r="D57" i="7"/>
  <c r="D30" i="7"/>
  <c r="D160" i="7"/>
  <c r="D100" i="7"/>
  <c r="D68" i="7"/>
  <c r="D17" i="7"/>
  <c r="D199" i="7"/>
  <c r="D36" i="7"/>
  <c r="D292" i="7"/>
  <c r="D54" i="7"/>
  <c r="D70" i="7"/>
  <c r="D86" i="7"/>
  <c r="D102" i="7"/>
  <c r="D118" i="7"/>
  <c r="D134" i="7"/>
  <c r="D150" i="7"/>
  <c r="D200" i="7"/>
  <c r="D25" i="7"/>
  <c r="E25" i="7"/>
  <c r="D161" i="7"/>
  <c r="E161" i="7"/>
  <c r="E159" i="7"/>
  <c r="D159" i="7"/>
  <c r="E127" i="7"/>
  <c r="D127" i="7"/>
  <c r="E20" i="7"/>
  <c r="D20" i="7"/>
  <c r="A176" i="7"/>
  <c r="D287" i="7"/>
  <c r="D230" i="7"/>
  <c r="D226" i="7"/>
  <c r="D214" i="7"/>
  <c r="D290" i="7"/>
  <c r="D274" i="7"/>
  <c r="D266" i="7"/>
  <c r="D234" i="7"/>
  <c r="D173" i="7"/>
  <c r="D311" i="7"/>
  <c r="D247" i="7"/>
  <c r="D218" i="7"/>
  <c r="D298" i="7"/>
  <c r="D282" i="7"/>
  <c r="D258" i="7"/>
  <c r="D169" i="7"/>
  <c r="D136" i="7"/>
  <c r="E136" i="7"/>
  <c r="D80" i="7"/>
  <c r="E80" i="7"/>
  <c r="E28" i="7"/>
  <c r="D28" i="7"/>
  <c r="D222" i="7"/>
  <c r="E222" i="7"/>
  <c r="E314" i="7"/>
  <c r="D314" i="7"/>
  <c r="D171" i="7"/>
  <c r="E171" i="7"/>
  <c r="E242" i="7"/>
  <c r="D242" i="7"/>
  <c r="E188" i="7"/>
  <c r="D188" i="7"/>
  <c r="D251" i="7"/>
  <c r="E251" i="7"/>
  <c r="D315" i="7"/>
  <c r="E315" i="7"/>
  <c r="D229" i="7"/>
  <c r="E229" i="7"/>
  <c r="E278" i="7"/>
  <c r="D278" i="7"/>
  <c r="E245" i="7"/>
  <c r="D245" i="7"/>
  <c r="E277" i="7"/>
  <c r="D277" i="7"/>
  <c r="E309" i="7"/>
  <c r="D309" i="7"/>
  <c r="E256" i="7"/>
  <c r="D256" i="7"/>
  <c r="E288" i="7"/>
  <c r="D288" i="7"/>
  <c r="D166" i="7"/>
  <c r="D141" i="7"/>
  <c r="D109" i="7"/>
  <c r="D77" i="7"/>
  <c r="D61" i="7"/>
  <c r="D112" i="7"/>
  <c r="D31" i="7"/>
  <c r="D66" i="7"/>
  <c r="D82" i="7"/>
  <c r="D114" i="7"/>
  <c r="D146" i="7"/>
  <c r="D192" i="7"/>
  <c r="D236" i="7"/>
  <c r="E63" i="7"/>
  <c r="E79" i="7"/>
  <c r="E95" i="7"/>
  <c r="E111" i="7"/>
  <c r="D151" i="7"/>
  <c r="D135" i="7"/>
  <c r="D119" i="7"/>
  <c r="D103" i="7"/>
  <c r="D87" i="7"/>
  <c r="D71" i="7"/>
  <c r="D55" i="7"/>
  <c r="D27" i="7"/>
  <c r="D164" i="7"/>
  <c r="D144" i="7"/>
  <c r="D124" i="7"/>
  <c r="D96" i="7"/>
  <c r="D64" i="7"/>
  <c r="D175" i="7"/>
  <c r="D228" i="7"/>
  <c r="D235" i="7"/>
  <c r="D267" i="7"/>
  <c r="D299" i="7"/>
  <c r="D217" i="7"/>
  <c r="D225" i="7"/>
  <c r="D233" i="7"/>
  <c r="D237" i="7"/>
  <c r="D253" i="7"/>
  <c r="D269" i="7"/>
  <c r="D285" i="7"/>
  <c r="D301" i="7"/>
  <c r="D317" i="7"/>
  <c r="D248" i="7"/>
  <c r="D264" i="7"/>
  <c r="D280" i="7"/>
  <c r="D296" i="7"/>
  <c r="D312" i="7"/>
  <c r="D47" i="7"/>
  <c r="D22" i="7"/>
  <c r="D165" i="7"/>
  <c r="D149" i="7"/>
  <c r="D133" i="7"/>
  <c r="D117" i="7"/>
  <c r="D101" i="7"/>
  <c r="D85" i="7"/>
  <c r="D69" i="7"/>
  <c r="D52" i="7"/>
  <c r="D29" i="7"/>
  <c r="D128" i="7"/>
  <c r="D92" i="7"/>
  <c r="D56" i="7"/>
  <c r="D41" i="7"/>
  <c r="D42" i="7"/>
  <c r="D45" i="7"/>
  <c r="D26" i="7"/>
  <c r="D276" i="7"/>
  <c r="D40" i="7"/>
  <c r="D58" i="7"/>
  <c r="D74" i="7"/>
  <c r="D90" i="7"/>
  <c r="D106" i="7"/>
  <c r="D122" i="7"/>
  <c r="D138" i="7"/>
  <c r="D154" i="7"/>
  <c r="D208" i="7"/>
  <c r="D300" i="7"/>
  <c r="I16" i="7"/>
  <c r="J16" i="7"/>
  <c r="E19" i="7"/>
  <c r="E23" i="7"/>
  <c r="D193" i="7"/>
  <c r="D244" i="7"/>
  <c r="E29" i="7"/>
  <c r="E35" i="7"/>
  <c r="E175" i="7"/>
  <c r="D207" i="7"/>
  <c r="E297" i="7"/>
  <c r="D37" i="7"/>
  <c r="D44" i="7"/>
  <c r="D181" i="7"/>
  <c r="E213" i="7"/>
  <c r="E313" i="7"/>
  <c r="E189" i="7"/>
  <c r="E197" i="7"/>
  <c r="D239" i="7"/>
  <c r="D271" i="7"/>
  <c r="E170" i="7"/>
  <c r="D178" i="7"/>
  <c r="D186" i="7"/>
  <c r="D194" i="7"/>
  <c r="D202" i="7"/>
  <c r="D210" i="7"/>
  <c r="E223" i="7"/>
  <c r="E241" i="7"/>
  <c r="E273" i="7"/>
  <c r="E305" i="7"/>
  <c r="E52" i="7"/>
  <c r="E56" i="7"/>
  <c r="E60" i="7"/>
  <c r="E64" i="7"/>
  <c r="E68" i="7"/>
  <c r="E72" i="7"/>
  <c r="E76" i="7"/>
  <c r="E88" i="7"/>
  <c r="E92" i="7"/>
  <c r="E96" i="7"/>
  <c r="E100" i="7"/>
  <c r="E104" i="7"/>
  <c r="E112" i="7"/>
  <c r="E116" i="7"/>
  <c r="E124" i="7"/>
  <c r="E128" i="7"/>
  <c r="E132" i="7"/>
  <c r="E140" i="7"/>
  <c r="E144" i="7"/>
  <c r="E148" i="7"/>
  <c r="E156" i="7"/>
  <c r="E160" i="7"/>
  <c r="E164" i="7"/>
  <c r="E252" i="7"/>
  <c r="E284" i="7"/>
  <c r="E316" i="7"/>
  <c r="E228" i="7"/>
  <c r="D174" i="7"/>
  <c r="D243" i="7"/>
  <c r="D259" i="7"/>
  <c r="D275" i="7"/>
  <c r="D291" i="7"/>
  <c r="D307" i="7"/>
  <c r="E235" i="7"/>
  <c r="E267" i="7"/>
  <c r="E299" i="7"/>
  <c r="D215" i="7"/>
  <c r="D227" i="7"/>
  <c r="D231" i="7"/>
  <c r="I34" i="7"/>
  <c r="I38" i="7"/>
  <c r="E24" i="7"/>
  <c r="D50" i="7"/>
  <c r="D201" i="7"/>
  <c r="E281" i="7"/>
  <c r="D38" i="7"/>
  <c r="E265" i="7"/>
  <c r="D183" i="7"/>
  <c r="E217" i="7"/>
  <c r="D33" i="7"/>
  <c r="E167" i="7"/>
  <c r="E191" i="7"/>
  <c r="E244" i="7"/>
  <c r="E308" i="7"/>
  <c r="E57" i="7"/>
  <c r="E61" i="7"/>
  <c r="E69" i="7"/>
  <c r="E73" i="7"/>
  <c r="E77" i="7"/>
  <c r="E85" i="7"/>
  <c r="E89" i="7"/>
  <c r="E93" i="7"/>
  <c r="E101" i="7"/>
  <c r="E105" i="7"/>
  <c r="E109" i="7"/>
  <c r="E117" i="7"/>
  <c r="E121" i="7"/>
  <c r="E125" i="7"/>
  <c r="E133" i="7"/>
  <c r="E137" i="7"/>
  <c r="E141" i="7"/>
  <c r="E149" i="7"/>
  <c r="E153" i="7"/>
  <c r="E157" i="7"/>
  <c r="E165" i="7"/>
  <c r="D263" i="7"/>
  <c r="D295" i="7"/>
  <c r="E248" i="7"/>
  <c r="E264" i="7"/>
  <c r="E280" i="7"/>
  <c r="E296" i="7"/>
  <c r="E312" i="7"/>
  <c r="D238" i="7"/>
  <c r="D254" i="7"/>
  <c r="D262" i="7"/>
  <c r="D270" i="7"/>
  <c r="D286" i="7"/>
  <c r="D294" i="7"/>
  <c r="D302" i="7"/>
  <c r="D318" i="7"/>
  <c r="D216" i="7"/>
  <c r="D224" i="7"/>
  <c r="D232" i="7"/>
  <c r="E15" i="7"/>
  <c r="D21" i="7"/>
  <c r="D177" i="7"/>
  <c r="D209" i="7"/>
  <c r="D39" i="7"/>
  <c r="E233" i="7"/>
  <c r="E249" i="7"/>
  <c r="D255" i="7"/>
  <c r="D182" i="7"/>
  <c r="D190" i="7"/>
  <c r="D198" i="7"/>
  <c r="D206" i="7"/>
  <c r="E257" i="7"/>
  <c r="E289" i="7"/>
  <c r="D176" i="3"/>
  <c r="E176" i="3"/>
  <c r="D68" i="2"/>
  <c r="D276" i="2"/>
  <c r="D255" i="3"/>
  <c r="D169" i="2"/>
  <c r="E247" i="3"/>
  <c r="D131" i="2"/>
  <c r="D227" i="1"/>
  <c r="I16" i="4"/>
  <c r="J16" i="4" s="1"/>
  <c r="D44" i="3"/>
  <c r="E139" i="2"/>
  <c r="E68" i="2"/>
  <c r="E127" i="3"/>
  <c r="D229" i="3"/>
  <c r="D162" i="2"/>
  <c r="D303" i="2"/>
  <c r="D184" i="2"/>
  <c r="D170" i="2"/>
  <c r="D219" i="2"/>
  <c r="D199" i="2"/>
  <c r="D190" i="2"/>
  <c r="D57" i="2"/>
  <c r="D185" i="2"/>
  <c r="D48" i="2"/>
  <c r="D109" i="2"/>
  <c r="D60" i="2"/>
  <c r="E33" i="3"/>
  <c r="D279" i="2"/>
  <c r="D129" i="2"/>
  <c r="D28" i="2"/>
  <c r="D130" i="2"/>
  <c r="D143" i="2"/>
  <c r="D27" i="2"/>
  <c r="D200" i="1"/>
  <c r="E43" i="3"/>
  <c r="E264" i="3"/>
  <c r="D308" i="2"/>
  <c r="D134" i="3"/>
  <c r="D148" i="3"/>
  <c r="E27" i="2"/>
  <c r="E302" i="3"/>
  <c r="D194" i="2"/>
  <c r="E279" i="2"/>
  <c r="D275" i="3"/>
  <c r="D23" i="3"/>
  <c r="E227" i="3"/>
  <c r="D193" i="2"/>
  <c r="D39" i="2"/>
  <c r="E28" i="2"/>
  <c r="D185" i="1"/>
  <c r="I16" i="2"/>
  <c r="J16" i="2"/>
  <c r="D82" i="3"/>
  <c r="E201" i="3"/>
  <c r="E130" i="2"/>
  <c r="E237" i="3"/>
  <c r="E238" i="3"/>
  <c r="E143" i="2"/>
  <c r="E282" i="3"/>
  <c r="E306" i="3"/>
  <c r="E178" i="3"/>
  <c r="E297" i="3"/>
  <c r="E273" i="3"/>
  <c r="E34" i="3"/>
  <c r="D271" i="2"/>
  <c r="D135" i="1"/>
  <c r="D17" i="2"/>
  <c r="D307" i="2"/>
  <c r="D49" i="3"/>
  <c r="D154" i="2"/>
  <c r="D276" i="3"/>
  <c r="E17" i="2"/>
  <c r="E236" i="3"/>
  <c r="E173" i="1"/>
  <c r="E151" i="3"/>
  <c r="D116" i="3"/>
  <c r="E307" i="2"/>
  <c r="I16" i="1"/>
  <c r="J16" i="1" s="1"/>
  <c r="D50" i="1"/>
  <c r="E126" i="3"/>
  <c r="D183" i="3"/>
  <c r="I22" i="1"/>
  <c r="I23" i="1" s="1"/>
  <c r="I25" i="1"/>
  <c r="D37" i="2"/>
  <c r="E177" i="3"/>
  <c r="D118" i="2"/>
  <c r="E187" i="3"/>
  <c r="D274" i="1"/>
  <c r="I26" i="7"/>
  <c r="N14" i="7" s="1"/>
  <c r="D202" i="3"/>
  <c r="D42" i="3"/>
  <c r="D101" i="2"/>
  <c r="D155" i="2"/>
  <c r="D210" i="2"/>
  <c r="D167" i="2"/>
  <c r="D142" i="1"/>
  <c r="D29" i="3"/>
  <c r="D45" i="2"/>
  <c r="D195" i="2"/>
  <c r="D114" i="2"/>
  <c r="D104" i="1"/>
  <c r="D81" i="2"/>
  <c r="D142" i="2"/>
  <c r="D187" i="1"/>
  <c r="E205" i="3"/>
  <c r="E167" i="2"/>
  <c r="E155" i="2"/>
  <c r="E195" i="2"/>
  <c r="D294" i="3"/>
  <c r="E260" i="3"/>
  <c r="D202" i="1"/>
  <c r="D61" i="1"/>
  <c r="D183" i="1"/>
  <c r="D198" i="1"/>
  <c r="E115" i="3"/>
  <c r="D92" i="3"/>
  <c r="D226" i="1"/>
  <c r="D193" i="1"/>
  <c r="E101" i="2"/>
  <c r="D222" i="1"/>
  <c r="E95" i="3"/>
  <c r="E104" i="3"/>
  <c r="D114" i="1"/>
  <c r="E210" i="2"/>
  <c r="D163" i="1"/>
  <c r="D117" i="1"/>
  <c r="D313" i="1"/>
  <c r="E121" i="3"/>
  <c r="D215" i="2"/>
  <c r="D54" i="1"/>
  <c r="D284" i="1"/>
  <c r="D149" i="1"/>
  <c r="E142" i="1"/>
  <c r="E17" i="3"/>
  <c r="D225" i="1"/>
  <c r="D131" i="1"/>
  <c r="D146" i="1"/>
  <c r="D152" i="1"/>
  <c r="D115" i="1"/>
  <c r="D145" i="1"/>
  <c r="D57" i="1"/>
  <c r="D220" i="2"/>
  <c r="D82" i="2"/>
  <c r="D297" i="2"/>
  <c r="D116" i="2"/>
  <c r="D208" i="2"/>
  <c r="D260" i="2"/>
  <c r="D146" i="2"/>
  <c r="D197" i="2"/>
  <c r="D98" i="2"/>
  <c r="D144" i="2"/>
  <c r="D312" i="2"/>
  <c r="D135" i="2"/>
  <c r="E160" i="3"/>
  <c r="D125" i="2"/>
  <c r="D152" i="2"/>
  <c r="D120" i="2"/>
  <c r="D198" i="2"/>
  <c r="D49" i="2"/>
  <c r="E316" i="3"/>
  <c r="D316" i="3"/>
  <c r="D288" i="3"/>
  <c r="E219" i="3"/>
  <c r="D22" i="2"/>
  <c r="D150" i="3"/>
  <c r="D203" i="1"/>
  <c r="D228" i="1"/>
  <c r="D102" i="2"/>
  <c r="D99" i="2"/>
  <c r="D168" i="2"/>
  <c r="D235" i="2"/>
  <c r="D110" i="1"/>
  <c r="D45" i="1"/>
  <c r="E270" i="3"/>
  <c r="D270" i="3"/>
  <c r="D269" i="3"/>
  <c r="D35" i="1"/>
  <c r="D88" i="2"/>
  <c r="D211" i="3"/>
  <c r="D231" i="2"/>
  <c r="D140" i="2"/>
  <c r="D86" i="2"/>
  <c r="D110" i="2"/>
  <c r="D56" i="1"/>
  <c r="I39" i="3"/>
  <c r="I40" i="3"/>
  <c r="I41" i="3" s="1"/>
  <c r="L34" i="3" s="1"/>
  <c r="M34" i="3" s="1"/>
  <c r="I38" i="3"/>
  <c r="D160" i="2"/>
  <c r="D33" i="2"/>
  <c r="D211" i="2"/>
  <c r="D233" i="2"/>
  <c r="D223" i="2"/>
  <c r="D212" i="2"/>
  <c r="D226" i="2"/>
  <c r="D178" i="2"/>
  <c r="D177" i="1"/>
  <c r="A176" i="2"/>
  <c r="B176" i="2"/>
  <c r="C176" i="2" s="1"/>
  <c r="D15" i="2"/>
  <c r="D261" i="2"/>
  <c r="D206" i="2"/>
  <c r="D249" i="2"/>
  <c r="D280" i="2"/>
  <c r="D186" i="2"/>
  <c r="D78" i="2"/>
  <c r="D213" i="2"/>
  <c r="D202" i="2"/>
  <c r="D272" i="2"/>
  <c r="D258" i="2"/>
  <c r="D289" i="2"/>
  <c r="D180" i="2"/>
  <c r="D126" i="2"/>
  <c r="D188" i="2"/>
  <c r="D207" i="2"/>
  <c r="D251" i="2"/>
  <c r="D158" i="2"/>
  <c r="D36" i="2"/>
  <c r="D296" i="2"/>
  <c r="D147" i="2"/>
  <c r="D283" i="2"/>
  <c r="D173" i="2"/>
  <c r="D100" i="2"/>
  <c r="D238" i="2"/>
  <c r="D290" i="2"/>
  <c r="D46" i="2"/>
  <c r="D267" i="2"/>
  <c r="D268" i="2"/>
  <c r="D300" i="2"/>
  <c r="D177" i="2"/>
  <c r="D318" i="2"/>
  <c r="D292" i="2"/>
  <c r="D175" i="2"/>
  <c r="D254" i="2"/>
  <c r="D93" i="2"/>
  <c r="D293" i="2"/>
  <c r="D237" i="2"/>
  <c r="D97" i="2"/>
  <c r="D76" i="2"/>
  <c r="D107" i="2"/>
  <c r="D21" i="2"/>
  <c r="D58" i="2"/>
  <c r="D64" i="2"/>
  <c r="D134" i="2"/>
  <c r="D282" i="2"/>
  <c r="D316" i="2"/>
  <c r="D18" i="2"/>
  <c r="D95" i="2"/>
  <c r="D228" i="2"/>
  <c r="D242" i="2"/>
  <c r="D44" i="2"/>
  <c r="D19" i="2"/>
  <c r="D132" i="2"/>
  <c r="D269" i="2"/>
  <c r="D252" i="2"/>
  <c r="D265" i="2"/>
  <c r="D34" i="2"/>
  <c r="D55" i="2"/>
  <c r="E273" i="1"/>
  <c r="D144" i="1"/>
  <c r="I22" i="3"/>
  <c r="D24" i="2"/>
  <c r="D87" i="2"/>
  <c r="D28" i="1"/>
  <c r="E122" i="2"/>
  <c r="D122" i="2"/>
  <c r="D243" i="2"/>
  <c r="D287" i="2"/>
  <c r="D306" i="2"/>
  <c r="D31" i="2"/>
  <c r="D311" i="2"/>
  <c r="E311" i="2"/>
  <c r="E128" i="2"/>
  <c r="D257" i="2"/>
  <c r="D103" i="2"/>
  <c r="D54" i="2"/>
  <c r="E237" i="1"/>
  <c r="E87" i="1"/>
  <c r="D87" i="1"/>
  <c r="D220" i="1"/>
  <c r="D246" i="1"/>
  <c r="E246" i="1"/>
  <c r="D113" i="1"/>
  <c r="D259" i="1"/>
  <c r="E259" i="1"/>
  <c r="D243" i="1"/>
  <c r="E224" i="1"/>
  <c r="D140" i="1"/>
  <c r="E67" i="2"/>
  <c r="E249" i="1"/>
  <c r="E283" i="1"/>
  <c r="E215" i="1"/>
  <c r="D311" i="1"/>
  <c r="E49" i="1"/>
  <c r="D49" i="1"/>
  <c r="D71" i="1"/>
  <c r="E170" i="1"/>
  <c r="D281" i="1"/>
  <c r="D318" i="1"/>
  <c r="D282" i="1"/>
  <c r="D158" i="1"/>
  <c r="D194" i="1"/>
  <c r="D137" i="1"/>
  <c r="E64" i="1"/>
  <c r="N13" i="2"/>
  <c r="D244" i="2"/>
  <c r="D289" i="1"/>
  <c r="E289" i="1"/>
  <c r="E277" i="1"/>
  <c r="D277" i="1"/>
  <c r="E276" i="1"/>
  <c r="D267" i="1"/>
  <c r="E267" i="1"/>
  <c r="E94" i="1"/>
  <c r="E266" i="1"/>
  <c r="D219" i="1"/>
  <c r="D265" i="1"/>
  <c r="D40" i="1"/>
  <c r="E250" i="1"/>
  <c r="E316" i="1"/>
  <c r="D166" i="1"/>
  <c r="D42" i="1"/>
  <c r="D164" i="2"/>
  <c r="E164" i="2"/>
  <c r="D270" i="1"/>
  <c r="D275" i="1"/>
  <c r="E275" i="1"/>
  <c r="E118" i="1"/>
  <c r="E308" i="1"/>
  <c r="A176" i="1"/>
  <c r="D299" i="1"/>
  <c r="D255" i="1"/>
  <c r="D206" i="1"/>
  <c r="D253" i="1"/>
  <c r="D238" i="1"/>
  <c r="D217" i="1"/>
  <c r="D112" i="1"/>
  <c r="D296" i="1"/>
  <c r="D120" i="1"/>
  <c r="D147" i="1"/>
  <c r="D48" i="1"/>
  <c r="D39" i="1"/>
  <c r="D306" i="1"/>
  <c r="D244" i="1"/>
  <c r="D197" i="1"/>
  <c r="D175" i="1"/>
  <c r="D285" i="1"/>
  <c r="D157" i="1"/>
  <c r="D92" i="1"/>
  <c r="E143" i="1"/>
  <c r="E129" i="1"/>
  <c r="D300" i="1"/>
  <c r="D125" i="1"/>
  <c r="E263" i="1"/>
  <c r="D168" i="1"/>
  <c r="D121" i="1"/>
  <c r="D167" i="1"/>
  <c r="D183" i="2"/>
  <c r="E183" i="2"/>
  <c r="D260" i="1"/>
  <c r="D32" i="1"/>
  <c r="E32" i="1"/>
  <c r="E247" i="1"/>
  <c r="D213" i="1"/>
  <c r="E213" i="1"/>
  <c r="E261" i="1"/>
  <c r="E62" i="1"/>
  <c r="D231" i="1"/>
  <c r="E239" i="1"/>
  <c r="E295" i="1"/>
  <c r="D212" i="1"/>
  <c r="E212" i="1"/>
  <c r="D153" i="1"/>
  <c r="E317" i="1"/>
  <c r="D52" i="1"/>
  <c r="D63" i="1"/>
  <c r="E22" i="1"/>
  <c r="D20" i="1"/>
  <c r="D130" i="1"/>
  <c r="D174" i="1"/>
  <c r="D74" i="1"/>
  <c r="E263" i="2"/>
  <c r="D263" i="2"/>
  <c r="E293" i="1"/>
  <c r="E232" i="1"/>
  <c r="E292" i="1"/>
  <c r="D75" i="1"/>
  <c r="E75" i="1"/>
  <c r="D195" i="1"/>
  <c r="E103" i="1"/>
  <c r="D294" i="1"/>
  <c r="E294" i="1"/>
  <c r="E47" i="1"/>
  <c r="D47" i="1"/>
  <c r="E44" i="1"/>
  <c r="D211" i="1"/>
  <c r="D242" i="1"/>
  <c r="E242" i="1"/>
  <c r="E204" i="1"/>
  <c r="E124" i="1"/>
  <c r="E258" i="1"/>
  <c r="D78" i="1"/>
  <c r="D314" i="1"/>
  <c r="D291" i="1"/>
  <c r="D298" i="2"/>
  <c r="D310" i="1"/>
  <c r="E310" i="1"/>
  <c r="D33" i="1"/>
  <c r="E33" i="1"/>
  <c r="E252" i="1"/>
  <c r="E18" i="1"/>
  <c r="E280" i="1"/>
  <c r="D280" i="1"/>
  <c r="E15" i="1"/>
  <c r="D257" i="1"/>
  <c r="E41" i="1"/>
  <c r="D164" i="1"/>
  <c r="E313" i="1"/>
  <c r="D76" i="1"/>
  <c r="D223" i="1"/>
  <c r="E279" i="1"/>
  <c r="E21" i="1"/>
  <c r="D100" i="1"/>
  <c r="D51" i="1"/>
  <c r="D85" i="1"/>
  <c r="E35" i="1"/>
  <c r="D156" i="2"/>
  <c r="E156" i="2"/>
  <c r="D207" i="1"/>
  <c r="E99" i="1"/>
  <c r="D99" i="1"/>
  <c r="E309" i="1"/>
  <c r="E229" i="1"/>
  <c r="E312" i="1"/>
  <c r="D312" i="1"/>
  <c r="E286" i="1"/>
  <c r="E16" i="1"/>
  <c r="D73" i="1"/>
  <c r="E73" i="1"/>
  <c r="D68" i="1"/>
  <c r="I21" i="2"/>
  <c r="I22" i="2" s="1"/>
  <c r="I24" i="1"/>
  <c r="I21" i="7"/>
  <c r="I10" i="7"/>
  <c r="E207" i="4"/>
  <c r="D146" i="4"/>
  <c r="D128" i="4"/>
  <c r="E235" i="4"/>
  <c r="E294" i="4"/>
  <c r="E282" i="4"/>
  <c r="D240" i="4"/>
  <c r="D191" i="4"/>
  <c r="D153" i="4"/>
  <c r="D99" i="4"/>
  <c r="D92" i="4"/>
  <c r="E261" i="4"/>
  <c r="E194" i="4"/>
  <c r="D184" i="4"/>
  <c r="D277" i="4"/>
  <c r="D162" i="4"/>
  <c r="E57" i="4"/>
  <c r="D304" i="4"/>
  <c r="E298" i="4"/>
  <c r="D112" i="4"/>
  <c r="E175" i="4"/>
  <c r="D178" i="4"/>
  <c r="D77" i="4"/>
  <c r="E166" i="4"/>
  <c r="E314" i="4"/>
  <c r="E262" i="4"/>
  <c r="D256" i="4"/>
  <c r="E250" i="4"/>
  <c r="D161" i="4"/>
  <c r="D148" i="4"/>
  <c r="E132" i="4"/>
  <c r="E129" i="4"/>
  <c r="E116" i="4"/>
  <c r="E113" i="4"/>
  <c r="D106" i="4"/>
  <c r="E94" i="4"/>
  <c r="D85" i="4"/>
  <c r="E293" i="4"/>
  <c r="E281" i="4"/>
  <c r="D232" i="4"/>
  <c r="E226" i="4"/>
  <c r="D220" i="4"/>
  <c r="E251" i="4"/>
  <c r="D211" i="4"/>
  <c r="E244" i="4"/>
  <c r="H10" i="4" s="1"/>
  <c r="D253" i="4"/>
  <c r="D176" i="4"/>
  <c r="E290" i="4"/>
  <c r="E242" i="4"/>
  <c r="D144" i="4"/>
  <c r="E102" i="4"/>
  <c r="E265" i="4"/>
  <c r="E218" i="4"/>
  <c r="E202" i="4"/>
  <c r="E77" i="4"/>
  <c r="D67" i="4"/>
  <c r="E48" i="4"/>
  <c r="E274" i="4"/>
  <c r="E266" i="4"/>
  <c r="D149" i="4"/>
  <c r="D114" i="4"/>
  <c r="D98" i="4"/>
  <c r="E89" i="4"/>
  <c r="E313" i="4"/>
  <c r="E297" i="4"/>
  <c r="E245" i="4"/>
  <c r="E180" i="4"/>
  <c r="E177" i="4"/>
  <c r="E267" i="4"/>
  <c r="D217" i="4"/>
  <c r="D193" i="4"/>
  <c r="E63" i="4"/>
  <c r="E54" i="4"/>
  <c r="E42" i="4"/>
  <c r="D205" i="4"/>
  <c r="D25" i="4"/>
  <c r="E29" i="4"/>
  <c r="D31" i="4"/>
  <c r="E30" i="4"/>
  <c r="E38" i="4"/>
  <c r="D226" i="4"/>
  <c r="E191" i="4"/>
  <c r="E304" i="4"/>
  <c r="D56" i="4"/>
  <c r="D120" i="4"/>
  <c r="E199" i="4"/>
  <c r="D152" i="4"/>
  <c r="D249" i="4"/>
  <c r="D70" i="4"/>
  <c r="E227" i="4"/>
  <c r="E198" i="4"/>
  <c r="E230" i="4"/>
  <c r="E103" i="4"/>
  <c r="D139" i="4"/>
  <c r="E155" i="4"/>
  <c r="D276" i="4"/>
  <c r="E65" i="4"/>
  <c r="D69" i="4"/>
  <c r="E126" i="4"/>
  <c r="D109" i="4"/>
  <c r="D101" i="4"/>
  <c r="E277" i="4"/>
  <c r="D224" i="4"/>
  <c r="D216" i="4"/>
  <c r="D208" i="4"/>
  <c r="E176" i="4"/>
  <c r="D280" i="4"/>
  <c r="D272" i="4"/>
  <c r="D264" i="4"/>
  <c r="D187" i="4"/>
  <c r="E152" i="4"/>
  <c r="E134" i="4"/>
  <c r="D130" i="4"/>
  <c r="D117" i="4"/>
  <c r="E309" i="4"/>
  <c r="E315" i="4"/>
  <c r="D38" i="4"/>
  <c r="E279" i="4"/>
  <c r="D233" i="4"/>
  <c r="E76" i="4"/>
  <c r="D65" i="4"/>
  <c r="E56" i="4"/>
  <c r="E47" i="4"/>
  <c r="D199" i="4"/>
  <c r="E34" i="4"/>
  <c r="E255" i="4"/>
  <c r="E31" i="4"/>
  <c r="E18" i="4"/>
  <c r="D64" i="4"/>
  <c r="D60" i="4"/>
  <c r="D89" i="4"/>
  <c r="D156" i="4"/>
  <c r="D237" i="4"/>
  <c r="D113" i="4"/>
  <c r="E53" i="4"/>
  <c r="D142" i="4"/>
  <c r="D245" i="4"/>
  <c r="D48" i="4"/>
  <c r="D174" i="4"/>
  <c r="D293" i="4"/>
  <c r="E215" i="4"/>
  <c r="D74" i="4"/>
  <c r="E299" i="4"/>
  <c r="E206" i="4"/>
  <c r="E49" i="4"/>
  <c r="D248" i="4"/>
  <c r="E160" i="4"/>
  <c r="E156" i="4"/>
  <c r="E142" i="4"/>
  <c r="E112" i="4"/>
  <c r="E104" i="4"/>
  <c r="E100" i="4"/>
  <c r="E84" i="4"/>
  <c r="D203" i="4"/>
  <c r="D96" i="4"/>
  <c r="E21" i="4"/>
  <c r="D168" i="4"/>
  <c r="E270" i="4"/>
  <c r="E238" i="4"/>
  <c r="E137" i="4"/>
  <c r="D133" i="4"/>
  <c r="E120" i="4"/>
  <c r="D107" i="4"/>
  <c r="E253" i="4"/>
  <c r="D228" i="4"/>
  <c r="D317" i="4"/>
  <c r="D235" i="4"/>
  <c r="E318" i="4"/>
  <c r="E306" i="4"/>
  <c r="E246" i="4"/>
  <c r="E154" i="4"/>
  <c r="D145" i="4"/>
  <c r="D141" i="4"/>
  <c r="E128" i="4"/>
  <c r="E249" i="4"/>
  <c r="D181" i="4"/>
  <c r="D225" i="4"/>
  <c r="E79" i="4"/>
  <c r="E243" i="4"/>
  <c r="D207" i="4"/>
  <c r="D23" i="4"/>
  <c r="D47" i="4"/>
  <c r="D32" i="4"/>
  <c r="E43" i="4"/>
  <c r="D281" i="4"/>
  <c r="D297" i="4"/>
  <c r="D136" i="4"/>
  <c r="D105" i="4"/>
  <c r="D42" i="4"/>
  <c r="D82" i="4"/>
  <c r="D227" i="4"/>
  <c r="E214" i="4"/>
  <c r="D273" i="4"/>
  <c r="D95" i="4"/>
  <c r="E143" i="4"/>
  <c r="D159" i="4"/>
  <c r="D260" i="4"/>
  <c r="E292" i="4"/>
  <c r="E165" i="4"/>
  <c r="E40" i="4"/>
  <c r="E58" i="4"/>
  <c r="D76" i="4"/>
  <c r="D134" i="4"/>
  <c r="E133" i="4"/>
  <c r="E224" i="4"/>
  <c r="D290" i="4"/>
  <c r="E35" i="4"/>
  <c r="D263" i="4"/>
  <c r="E145" i="4"/>
  <c r="D83" i="4"/>
  <c r="E64" i="4"/>
  <c r="E60" i="4"/>
  <c r="E52" i="4"/>
  <c r="E291" i="4"/>
  <c r="D213" i="4"/>
  <c r="D51" i="4"/>
  <c r="D15" i="4"/>
  <c r="D34" i="4"/>
  <c r="E59" i="4"/>
  <c r="D301" i="4"/>
  <c r="D309" i="4"/>
  <c r="D137" i="4"/>
  <c r="E83" i="4"/>
  <c r="E82" i="4"/>
  <c r="D299" i="4"/>
  <c r="D214" i="4"/>
  <c r="E273" i="4"/>
  <c r="D103" i="4"/>
  <c r="E127" i="4"/>
  <c r="D143" i="4"/>
  <c r="E260" i="4"/>
  <c r="D300" i="4"/>
  <c r="D24" i="4"/>
  <c r="D27" i="4"/>
  <c r="D80" i="4"/>
  <c r="D163" i="4"/>
  <c r="E141" i="4"/>
  <c r="E196" i="4"/>
  <c r="E228" i="4"/>
  <c r="D262" i="4"/>
  <c r="D294" i="4"/>
  <c r="D186" i="4"/>
  <c r="E221" i="4"/>
  <c r="D267" i="4"/>
  <c r="D190" i="4"/>
  <c r="E317" i="4"/>
  <c r="E263" i="4"/>
  <c r="E68" i="4"/>
  <c r="D231" i="4"/>
  <c r="E239" i="4"/>
  <c r="D55" i="4"/>
  <c r="E17" i="4"/>
  <c r="E75" i="4"/>
  <c r="E153" i="4"/>
  <c r="E240" i="4"/>
  <c r="D158" i="4"/>
  <c r="E248" i="4"/>
  <c r="D160" i="4"/>
  <c r="E256" i="4"/>
  <c r="D66" i="4"/>
  <c r="D185" i="4"/>
  <c r="E222" i="4"/>
  <c r="E111" i="4"/>
  <c r="D127" i="4"/>
  <c r="E147" i="4"/>
  <c r="D179" i="4"/>
  <c r="D268" i="4"/>
  <c r="E300" i="4"/>
  <c r="D169" i="4"/>
  <c r="E24" i="4"/>
  <c r="E99" i="4"/>
  <c r="E27" i="4"/>
  <c r="D86" i="4"/>
  <c r="E90" i="4"/>
  <c r="E85" i="4"/>
  <c r="E149" i="4"/>
  <c r="E232" i="4"/>
  <c r="D266" i="4"/>
  <c r="D298" i="4"/>
  <c r="E225" i="4"/>
  <c r="D271" i="4"/>
  <c r="D315" i="4"/>
  <c r="D219" i="4"/>
  <c r="E55" i="4"/>
  <c r="E51" i="4"/>
  <c r="D43" i="4"/>
  <c r="E23" i="4"/>
  <c r="D36" i="4"/>
  <c r="D63" i="4"/>
  <c r="E19" i="4"/>
  <c r="D121" i="4"/>
  <c r="E61" i="4"/>
  <c r="D170" i="4"/>
  <c r="E161" i="4"/>
  <c r="D247" i="4"/>
  <c r="E185" i="4"/>
  <c r="D222" i="4"/>
  <c r="D305" i="4"/>
  <c r="D147" i="4"/>
  <c r="D236" i="4"/>
  <c r="E268" i="4"/>
  <c r="D308" i="4"/>
  <c r="D173" i="4"/>
  <c r="E259" i="4"/>
  <c r="D229" i="4"/>
  <c r="D62" i="4"/>
  <c r="E98" i="4"/>
  <c r="E204" i="4"/>
  <c r="D238" i="4"/>
  <c r="E181" i="4"/>
  <c r="E233" i="4"/>
  <c r="D275" i="4"/>
  <c r="D52" i="4"/>
  <c r="E136" i="4"/>
  <c r="D59" i="4"/>
  <c r="D26" i="4"/>
  <c r="D17" i="4"/>
  <c r="E20" i="4"/>
  <c r="D35" i="4"/>
  <c r="E264" i="4"/>
  <c r="D84" i="4"/>
  <c r="D202" i="4"/>
  <c r="D97" i="4"/>
  <c r="D175" i="4"/>
  <c r="D218" i="4"/>
  <c r="E287" i="4"/>
  <c r="E70" i="4"/>
  <c r="E311" i="4"/>
  <c r="E305" i="4"/>
  <c r="D115" i="4"/>
  <c r="E151" i="4"/>
  <c r="E276" i="4"/>
  <c r="E308" i="4"/>
  <c r="E173" i="4"/>
  <c r="D259" i="4"/>
  <c r="E229" i="4"/>
  <c r="E107" i="4"/>
  <c r="D102" i="4"/>
  <c r="E106" i="4"/>
  <c r="E101" i="4"/>
  <c r="E208" i="4"/>
  <c r="D242" i="4"/>
  <c r="D274" i="4"/>
  <c r="D306" i="4"/>
  <c r="E193" i="4"/>
  <c r="D239" i="4"/>
  <c r="D279" i="4"/>
  <c r="E285" i="4"/>
  <c r="E283" i="4"/>
  <c r="D201" i="4"/>
  <c r="E80" i="4"/>
  <c r="D223" i="4"/>
  <c r="E186" i="4"/>
  <c r="E271" i="4"/>
  <c r="D18" i="4"/>
  <c r="E108" i="4"/>
  <c r="E148" i="4"/>
  <c r="E86" i="4"/>
  <c r="D196" i="4"/>
  <c r="E178" i="4"/>
  <c r="D49" i="4"/>
  <c r="D19" i="4"/>
  <c r="E25" i="4"/>
  <c r="D79" i="4"/>
  <c r="D116" i="4"/>
  <c r="E211" i="4"/>
  <c r="E187" i="4"/>
  <c r="D88" i="4"/>
  <c r="E219" i="4"/>
  <c r="E144" i="4"/>
  <c r="E203" i="4"/>
  <c r="D78" i="4"/>
  <c r="E195" i="4"/>
  <c r="D257" i="4"/>
  <c r="D135" i="4"/>
  <c r="D155" i="4"/>
  <c r="E284" i="4"/>
  <c r="E316" i="4"/>
  <c r="E50" i="4"/>
  <c r="E46" i="4"/>
  <c r="D68" i="4"/>
  <c r="D189" i="4"/>
  <c r="E216" i="4"/>
  <c r="D282" i="4"/>
  <c r="E205" i="4"/>
  <c r="D251" i="4"/>
  <c r="D291" i="4"/>
  <c r="D71" i="4"/>
  <c r="D129" i="4"/>
  <c r="D287" i="4"/>
  <c r="E241" i="4"/>
  <c r="D151" i="4"/>
  <c r="D54" i="4"/>
  <c r="D110" i="4"/>
  <c r="E201" i="4"/>
  <c r="E22" i="4"/>
  <c r="D20" i="4"/>
  <c r="D29" i="4"/>
  <c r="D104" i="4"/>
  <c r="D215" i="4"/>
  <c r="E257" i="4"/>
  <c r="E159" i="4"/>
  <c r="D197" i="4"/>
  <c r="E220" i="4"/>
  <c r="E213" i="4"/>
  <c r="D100" i="4"/>
  <c r="E74" i="4"/>
  <c r="D244" i="4"/>
  <c r="D50" i="4"/>
  <c r="E114" i="4"/>
  <c r="D246" i="4"/>
  <c r="D243" i="4"/>
  <c r="D132" i="4"/>
  <c r="D265" i="4"/>
  <c r="E78" i="4"/>
  <c r="E95" i="4"/>
  <c r="E252" i="4"/>
  <c r="D40" i="4"/>
  <c r="E130" i="4"/>
  <c r="D254" i="4"/>
  <c r="D255" i="4"/>
  <c r="E69" i="4"/>
  <c r="E190" i="4"/>
  <c r="E15" i="4"/>
  <c r="D311" i="4"/>
  <c r="E115" i="4"/>
  <c r="D284" i="4"/>
  <c r="D46" i="4"/>
  <c r="E109" i="4"/>
  <c r="D283" i="4"/>
  <c r="D204" i="4"/>
  <c r="D75" i="4"/>
  <c r="D194" i="4"/>
  <c r="E183" i="4"/>
  <c r="E188" i="4"/>
  <c r="E135" i="4"/>
  <c r="D316" i="4"/>
  <c r="E26" i="4"/>
  <c r="D310" i="4"/>
  <c r="D61" i="4"/>
  <c r="E231" i="4"/>
  <c r="E223" i="4"/>
  <c r="D206" i="4"/>
  <c r="E139" i="4"/>
  <c r="D165" i="4"/>
  <c r="D72" i="4"/>
  <c r="E184" i="4"/>
  <c r="D318" i="4"/>
  <c r="D58" i="4"/>
  <c r="D286" i="4"/>
  <c r="E301" i="4"/>
  <c r="E32" i="4"/>
  <c r="D261" i="4"/>
  <c r="D295" i="4"/>
  <c r="D28" i="4"/>
  <c r="D195" i="4"/>
  <c r="D119" i="4"/>
  <c r="I27" i="1"/>
  <c r="N13" i="1"/>
  <c r="N14" i="1" s="1"/>
  <c r="B176" i="7"/>
  <c r="C176" i="7"/>
  <c r="E176" i="7" s="1"/>
  <c r="I23" i="3"/>
  <c r="I24" i="3" s="1"/>
  <c r="B176" i="1"/>
  <c r="C176" i="1" s="1"/>
  <c r="E176" i="1" s="1"/>
  <c r="I25" i="7"/>
  <c r="I22" i="7"/>
  <c r="I23" i="7"/>
  <c r="I24" i="7" s="1"/>
  <c r="I40" i="7"/>
  <c r="D176" i="7"/>
  <c r="N15" i="7"/>
  <c r="O15" i="7"/>
  <c r="O14" i="7"/>
  <c r="I25" i="9" l="1"/>
  <c r="I22" i="9"/>
  <c r="D279" i="9"/>
  <c r="E175" i="9"/>
  <c r="E291" i="9"/>
  <c r="E56" i="9"/>
  <c r="D268" i="9"/>
  <c r="D69" i="9"/>
  <c r="D166" i="9"/>
  <c r="D123" i="9"/>
  <c r="E84" i="9"/>
  <c r="D138" i="9"/>
  <c r="D97" i="9"/>
  <c r="E30" i="9"/>
  <c r="D272" i="9"/>
  <c r="E211" i="9"/>
  <c r="E65" i="9"/>
  <c r="D147" i="9"/>
  <c r="E256" i="9"/>
  <c r="B12" i="9"/>
  <c r="E303" i="9" s="1"/>
  <c r="D117" i="9"/>
  <c r="E132" i="9"/>
  <c r="E204" i="9"/>
  <c r="E70" i="9"/>
  <c r="D96" i="9"/>
  <c r="E263" i="9"/>
  <c r="E311" i="9"/>
  <c r="E173" i="9"/>
  <c r="D242" i="9"/>
  <c r="D132" i="9"/>
  <c r="E181" i="9"/>
  <c r="D114" i="9"/>
  <c r="D33" i="9"/>
  <c r="E129" i="9"/>
  <c r="E314" i="9"/>
  <c r="D314" i="9"/>
  <c r="D35" i="9"/>
  <c r="E35" i="9"/>
  <c r="D182" i="9"/>
  <c r="E182" i="9"/>
  <c r="E271" i="9"/>
  <c r="D271" i="9"/>
  <c r="E236" i="9"/>
  <c r="D236" i="9"/>
  <c r="D120" i="9"/>
  <c r="E120" i="9"/>
  <c r="D276" i="9"/>
  <c r="E276" i="9"/>
  <c r="D162" i="9"/>
  <c r="E162" i="9"/>
  <c r="E246" i="9"/>
  <c r="E27" i="9"/>
  <c r="E185" i="9"/>
  <c r="D112" i="9"/>
  <c r="E101" i="9"/>
  <c r="E115" i="9"/>
  <c r="D214" i="9"/>
  <c r="E307" i="9"/>
  <c r="D199" i="9"/>
  <c r="D259" i="9"/>
  <c r="E198" i="9"/>
  <c r="E299" i="9"/>
  <c r="D93" i="9"/>
  <c r="E219" i="9"/>
  <c r="D239" i="9"/>
  <c r="E67" i="9"/>
  <c r="E20" i="9"/>
  <c r="D109" i="9"/>
  <c r="E167" i="9"/>
  <c r="D151" i="9"/>
  <c r="D65" i="9"/>
  <c r="D50" i="9"/>
  <c r="D140" i="9"/>
  <c r="E78" i="9"/>
  <c r="E247" i="9"/>
  <c r="E279" i="9"/>
  <c r="E58" i="9"/>
  <c r="D160" i="9"/>
  <c r="D23" i="9"/>
  <c r="B28" i="9"/>
  <c r="C28" i="9" s="1"/>
  <c r="D28" i="9" s="1"/>
  <c r="B29" i="10"/>
  <c r="J13" i="9"/>
  <c r="B28" i="10"/>
  <c r="B15" i="9"/>
  <c r="C15" i="9" s="1"/>
  <c r="D15" i="9" s="1"/>
  <c r="D22" i="9"/>
  <c r="E26" i="9"/>
  <c r="D41" i="9"/>
  <c r="E80" i="9"/>
  <c r="D81" i="9"/>
  <c r="D107" i="9"/>
  <c r="E94" i="9"/>
  <c r="E15" i="9"/>
  <c r="E190" i="9"/>
  <c r="N13" i="9"/>
  <c r="I23" i="2"/>
  <c r="I24" i="2"/>
  <c r="E176" i="2"/>
  <c r="D176" i="2"/>
  <c r="D172" i="4"/>
  <c r="E172" i="4"/>
  <c r="D302" i="1"/>
  <c r="E302" i="1"/>
  <c r="D125" i="4"/>
  <c r="E125" i="4"/>
  <c r="E109" i="3"/>
  <c r="D109" i="3"/>
  <c r="D240" i="8"/>
  <c r="E240" i="8"/>
  <c r="H10" i="8" s="1"/>
  <c r="N13" i="8"/>
  <c r="D278" i="4"/>
  <c r="D169" i="1"/>
  <c r="E272" i="1"/>
  <c r="D176" i="1"/>
  <c r="D97" i="1"/>
  <c r="L35" i="3"/>
  <c r="E250" i="2"/>
  <c r="E150" i="4"/>
  <c r="D150" i="4"/>
  <c r="D209" i="1"/>
  <c r="E209" i="1"/>
  <c r="E37" i="1"/>
  <c r="D37" i="1"/>
  <c r="E72" i="1"/>
  <c r="D72" i="1"/>
  <c r="E31" i="1"/>
  <c r="D31" i="1"/>
  <c r="D182" i="1"/>
  <c r="D160" i="1"/>
  <c r="D83" i="1"/>
  <c r="D128" i="1"/>
  <c r="D82" i="1"/>
  <c r="D148" i="1"/>
  <c r="D165" i="1"/>
  <c r="D248" i="1"/>
  <c r="D254" i="1"/>
  <c r="D190" i="1"/>
  <c r="D215" i="1"/>
  <c r="D132" i="1"/>
  <c r="D94" i="1"/>
  <c r="D250" i="1"/>
  <c r="D126" i="1"/>
  <c r="D79" i="1"/>
  <c r="D109" i="1"/>
  <c r="D221" i="1"/>
  <c r="D105" i="1"/>
  <c r="D143" i="1"/>
  <c r="D235" i="1"/>
  <c r="D90" i="1"/>
  <c r="D22" i="1"/>
  <c r="D292" i="1"/>
  <c r="D103" i="1"/>
  <c r="D44" i="1"/>
  <c r="D204" i="1"/>
  <c r="D15" i="1"/>
  <c r="D279" i="1"/>
  <c r="D26" i="1"/>
  <c r="D309" i="1"/>
  <c r="D286" i="1"/>
  <c r="D297" i="1"/>
  <c r="D123" i="1"/>
  <c r="D138" i="1"/>
  <c r="D67" i="1"/>
  <c r="D159" i="1"/>
  <c r="D218" i="1"/>
  <c r="D273" i="1"/>
  <c r="D184" i="1"/>
  <c r="D172" i="1"/>
  <c r="D30" i="1"/>
  <c r="D173" i="1"/>
  <c r="D214" i="1"/>
  <c r="D317" i="1"/>
  <c r="D162" i="1"/>
  <c r="D59" i="1"/>
  <c r="D189" i="1"/>
  <c r="D96" i="1"/>
  <c r="D89" i="1"/>
  <c r="D101" i="1"/>
  <c r="D25" i="1"/>
  <c r="D283" i="1"/>
  <c r="D108" i="1"/>
  <c r="D170" i="1"/>
  <c r="D60" i="1"/>
  <c r="D216" i="1"/>
  <c r="D316" i="1"/>
  <c r="D118" i="1"/>
  <c r="D268" i="1"/>
  <c r="D23" i="1"/>
  <c r="D263" i="1"/>
  <c r="D180" i="1"/>
  <c r="D261" i="1"/>
  <c r="D295" i="1"/>
  <c r="D95" i="1"/>
  <c r="D41" i="1"/>
  <c r="D16" i="1"/>
  <c r="D19" i="1"/>
  <c r="D38" i="1"/>
  <c r="D150" i="1"/>
  <c r="D46" i="1"/>
  <c r="D86" i="1"/>
  <c r="D186" i="1"/>
  <c r="D241" i="1"/>
  <c r="D29" i="1"/>
  <c r="D127" i="1"/>
  <c r="D258" i="1"/>
  <c r="D224" i="1"/>
  <c r="D276" i="1"/>
  <c r="D205" i="1"/>
  <c r="D111" i="1"/>
  <c r="D179" i="1"/>
  <c r="D199" i="1"/>
  <c r="D256" i="1"/>
  <c r="D196" i="1"/>
  <c r="D307" i="1"/>
  <c r="D247" i="1"/>
  <c r="D62" i="1"/>
  <c r="D303" i="1"/>
  <c r="D93" i="1"/>
  <c r="D232" i="1"/>
  <c r="D65" i="1"/>
  <c r="D80" i="1"/>
  <c r="D229" i="1"/>
  <c r="D102" i="1"/>
  <c r="D124" i="1"/>
  <c r="E17" i="1"/>
  <c r="D17" i="1"/>
  <c r="D264" i="1"/>
  <c r="E264" i="1"/>
  <c r="D200" i="4"/>
  <c r="E200" i="4"/>
  <c r="D37" i="4"/>
  <c r="E37" i="4"/>
  <c r="D288" i="1"/>
  <c r="E288" i="1"/>
  <c r="D70" i="1"/>
  <c r="E70" i="1"/>
  <c r="D136" i="1"/>
  <c r="E136" i="1"/>
  <c r="E245" i="1"/>
  <c r="D245" i="1"/>
  <c r="D171" i="1"/>
  <c r="E171" i="1"/>
  <c r="D116" i="1"/>
  <c r="E116" i="1"/>
  <c r="E154" i="1"/>
  <c r="D154" i="1"/>
  <c r="D134" i="1"/>
  <c r="E134" i="1"/>
  <c r="D152" i="3"/>
  <c r="E152" i="3"/>
  <c r="E302" i="2"/>
  <c r="D302" i="2"/>
  <c r="D296" i="3"/>
  <c r="E296" i="3"/>
  <c r="E216" i="3"/>
  <c r="D216" i="3"/>
  <c r="D184" i="3"/>
  <c r="E184" i="3"/>
  <c r="E171" i="2"/>
  <c r="D171" i="2"/>
  <c r="D85" i="2"/>
  <c r="E85" i="2"/>
  <c r="D133" i="2"/>
  <c r="E133" i="2"/>
  <c r="E314" i="2"/>
  <c r="D314" i="2"/>
  <c r="D236" i="1"/>
  <c r="E236" i="1"/>
  <c r="D34" i="1"/>
  <c r="E34" i="1"/>
  <c r="D312" i="4"/>
  <c r="E312" i="4"/>
  <c r="D55" i="1"/>
  <c r="E124" i="4"/>
  <c r="D124" i="4"/>
  <c r="E210" i="4"/>
  <c r="D210" i="4"/>
  <c r="D269" i="4"/>
  <c r="E269" i="4"/>
  <c r="D91" i="1"/>
  <c r="E91" i="1"/>
  <c r="E234" i="1"/>
  <c r="D234" i="1"/>
  <c r="E119" i="1"/>
  <c r="D119" i="1"/>
  <c r="D150" i="2"/>
  <c r="E150" i="2"/>
  <c r="E41" i="4"/>
  <c r="D41" i="4"/>
  <c r="E290" i="1"/>
  <c r="D290" i="1"/>
  <c r="D192" i="1"/>
  <c r="D141" i="1"/>
  <c r="E141" i="1"/>
  <c r="E81" i="1"/>
  <c r="D81" i="1"/>
  <c r="D234" i="3"/>
  <c r="E234" i="3"/>
  <c r="E92" i="2"/>
  <c r="D92" i="2"/>
  <c r="D182" i="2"/>
  <c r="E182" i="2"/>
  <c r="E62" i="2"/>
  <c r="D62" i="2"/>
  <c r="D175" i="3"/>
  <c r="E175" i="3"/>
  <c r="E200" i="3"/>
  <c r="D200" i="3"/>
  <c r="E24" i="1"/>
  <c r="D24" i="1"/>
  <c r="E16" i="4"/>
  <c r="D16" i="4"/>
  <c r="D301" i="1"/>
  <c r="E301" i="1"/>
  <c r="D289" i="4"/>
  <c r="E289" i="4"/>
  <c r="D235" i="3"/>
  <c r="E235" i="3"/>
  <c r="E112" i="2"/>
  <c r="D112" i="2"/>
  <c r="E285" i="3"/>
  <c r="D285" i="3"/>
  <c r="D27" i="1"/>
  <c r="E305" i="1"/>
  <c r="L36" i="3"/>
  <c r="D118" i="4"/>
  <c r="E302" i="4"/>
  <c r="E278" i="1"/>
  <c r="E298" i="1"/>
  <c r="I41" i="7"/>
  <c r="L34" i="7" s="1"/>
  <c r="E73" i="4"/>
  <c r="D73" i="4"/>
  <c r="D88" i="1"/>
  <c r="E88" i="1"/>
  <c r="E181" i="1"/>
  <c r="D181" i="1"/>
  <c r="E69" i="1"/>
  <c r="D69" i="1"/>
  <c r="E84" i="1"/>
  <c r="D84" i="1"/>
  <c r="D129" i="1"/>
  <c r="D21" i="1"/>
  <c r="D164" i="4"/>
  <c r="E164" i="4"/>
  <c r="D140" i="4"/>
  <c r="E140" i="4"/>
  <c r="D91" i="4"/>
  <c r="E91" i="4"/>
  <c r="E139" i="1"/>
  <c r="D139" i="1"/>
  <c r="E58" i="1"/>
  <c r="D58" i="1"/>
  <c r="E269" i="1"/>
  <c r="D269" i="1"/>
  <c r="E191" i="1"/>
  <c r="D191" i="1"/>
  <c r="E210" i="1"/>
  <c r="D210" i="1"/>
  <c r="E205" i="2"/>
  <c r="D205" i="2"/>
  <c r="E51" i="2"/>
  <c r="D51" i="2"/>
  <c r="I26" i="2"/>
  <c r="I25" i="2"/>
  <c r="D115" i="2"/>
  <c r="E171" i="4"/>
  <c r="D171" i="4"/>
  <c r="E258" i="4"/>
  <c r="D258" i="4"/>
  <c r="E151" i="1"/>
  <c r="D151" i="1"/>
  <c r="E208" i="1"/>
  <c r="D208" i="1"/>
  <c r="E201" i="1"/>
  <c r="D201" i="1"/>
  <c r="D107" i="1"/>
  <c r="E107" i="1"/>
  <c r="D36" i="1"/>
  <c r="E36" i="1"/>
  <c r="D239" i="1"/>
  <c r="E230" i="1"/>
  <c r="D230" i="1"/>
  <c r="D315" i="1"/>
  <c r="E315" i="1"/>
  <c r="E157" i="4"/>
  <c r="D157" i="4"/>
  <c r="D113" i="2"/>
  <c r="E113" i="2"/>
  <c r="E45" i="4"/>
  <c r="D45" i="4"/>
  <c r="D77" i="1"/>
  <c r="E77" i="1"/>
  <c r="E43" i="1"/>
  <c r="D43" i="1"/>
  <c r="I28" i="1"/>
  <c r="L21" i="1" s="1"/>
  <c r="D178" i="1"/>
  <c r="E304" i="1"/>
  <c r="D304" i="1"/>
  <c r="D106" i="1"/>
  <c r="E106" i="1"/>
  <c r="D44" i="4"/>
  <c r="E44" i="4"/>
  <c r="E277" i="2"/>
  <c r="D277" i="2"/>
  <c r="I40" i="2"/>
  <c r="I41" i="2" s="1"/>
  <c r="L34" i="2" s="1"/>
  <c r="E182" i="4"/>
  <c r="D182" i="4"/>
  <c r="E230" i="2"/>
  <c r="D230" i="2"/>
  <c r="E98" i="1"/>
  <c r="D98" i="1"/>
  <c r="E86" i="3"/>
  <c r="D86" i="3"/>
  <c r="D234" i="4"/>
  <c r="E149" i="2"/>
  <c r="D262" i="1"/>
  <c r="D156" i="1"/>
  <c r="D296" i="4"/>
  <c r="E296" i="4"/>
  <c r="D155" i="1"/>
  <c r="E155" i="1"/>
  <c r="E233" i="1"/>
  <c r="D233" i="1"/>
  <c r="D251" i="1"/>
  <c r="E251" i="1"/>
  <c r="E122" i="1"/>
  <c r="D122" i="1"/>
  <c r="E287" i="1"/>
  <c r="D287" i="1"/>
  <c r="E288" i="4"/>
  <c r="D288" i="4"/>
  <c r="D123" i="4"/>
  <c r="E123" i="4"/>
  <c r="D122" i="4"/>
  <c r="E122" i="4"/>
  <c r="D93" i="4"/>
  <c r="E93" i="4"/>
  <c r="E307" i="4"/>
  <c r="D307" i="4"/>
  <c r="I26" i="3"/>
  <c r="I25" i="3"/>
  <c r="E131" i="4"/>
  <c r="D131" i="4"/>
  <c r="E209" i="4"/>
  <c r="D209" i="4"/>
  <c r="D33" i="4"/>
  <c r="E33" i="4"/>
  <c r="E167" i="4"/>
  <c r="D167" i="4"/>
  <c r="E138" i="4"/>
  <c r="D138" i="4"/>
  <c r="D87" i="4"/>
  <c r="E87" i="4"/>
  <c r="D212" i="4"/>
  <c r="E212" i="4"/>
  <c r="D39" i="4"/>
  <c r="E39" i="4"/>
  <c r="E188" i="1"/>
  <c r="D188" i="1"/>
  <c r="E271" i="1"/>
  <c r="D271" i="1"/>
  <c r="E161" i="1"/>
  <c r="D161" i="1"/>
  <c r="E133" i="1"/>
  <c r="D133" i="1"/>
  <c r="D66" i="1"/>
  <c r="E66" i="1"/>
  <c r="E53" i="1"/>
  <c r="D53" i="1"/>
  <c r="D47" i="3"/>
  <c r="E47" i="3"/>
  <c r="I38" i="4"/>
  <c r="I39" i="4"/>
  <c r="D254" i="3"/>
  <c r="E254" i="3"/>
  <c r="D18" i="3"/>
  <c r="E18" i="3"/>
  <c r="E172" i="3"/>
  <c r="D172" i="3"/>
  <c r="E32" i="3"/>
  <c r="D32" i="3"/>
  <c r="E73" i="3"/>
  <c r="I28" i="7"/>
  <c r="L21" i="7" s="1"/>
  <c r="I27" i="7"/>
  <c r="E230" i="3"/>
  <c r="D230" i="3"/>
  <c r="E40" i="3"/>
  <c r="E1" i="4"/>
  <c r="I21" i="4" s="1"/>
  <c r="E136" i="8"/>
  <c r="D136" i="8"/>
  <c r="B70" i="2"/>
  <c r="C70" i="2" s="1"/>
  <c r="D70" i="2" s="1"/>
  <c r="B273" i="2"/>
  <c r="C273" i="2" s="1"/>
  <c r="B262" i="2"/>
  <c r="C262" i="2" s="1"/>
  <c r="E258" i="2"/>
  <c r="B224" i="2"/>
  <c r="C224" i="2" s="1"/>
  <c r="B41" i="2"/>
  <c r="C41" i="2" s="1"/>
  <c r="B16" i="2"/>
  <c r="C16" i="2" s="1"/>
  <c r="B127" i="2"/>
  <c r="C127" i="2" s="1"/>
  <c r="E107" i="2"/>
  <c r="B50" i="2"/>
  <c r="C50" i="2" s="1"/>
  <c r="D155" i="8"/>
  <c r="B174" i="2"/>
  <c r="C174" i="2" s="1"/>
  <c r="B301" i="2"/>
  <c r="C301" i="2" s="1"/>
  <c r="B214" i="2"/>
  <c r="C214" i="2" s="1"/>
  <c r="B83" i="2"/>
  <c r="C83" i="2" s="1"/>
  <c r="B108" i="2"/>
  <c r="C108" i="2" s="1"/>
  <c r="B153" i="2"/>
  <c r="C153" i="2" s="1"/>
  <c r="B77" i="2"/>
  <c r="C77" i="2" s="1"/>
  <c r="B201" i="2"/>
  <c r="C201" i="2" s="1"/>
  <c r="B179" i="2"/>
  <c r="C179" i="2" s="1"/>
  <c r="B288" i="2"/>
  <c r="C288" i="2" s="1"/>
  <c r="B234" i="2"/>
  <c r="C234" i="2" s="1"/>
  <c r="B253" i="2"/>
  <c r="C253" i="2" s="1"/>
  <c r="B148" i="2"/>
  <c r="C148" i="2" s="1"/>
  <c r="B310" i="2"/>
  <c r="C310" i="2" s="1"/>
  <c r="B96" i="2"/>
  <c r="C96" i="2" s="1"/>
  <c r="B256" i="2"/>
  <c r="C256" i="2" s="1"/>
  <c r="B286" i="2"/>
  <c r="C286" i="2" s="1"/>
  <c r="B72" i="2"/>
  <c r="C72" i="2" s="1"/>
  <c r="B225" i="2"/>
  <c r="C225" i="2" s="1"/>
  <c r="B240" i="2"/>
  <c r="C240" i="2" s="1"/>
  <c r="B264" i="2"/>
  <c r="C264" i="2" s="1"/>
  <c r="B141" i="2"/>
  <c r="C141" i="2" s="1"/>
  <c r="B73" i="2"/>
  <c r="C73" i="2" s="1"/>
  <c r="B75" i="2"/>
  <c r="C75" i="2" s="1"/>
  <c r="E22" i="2"/>
  <c r="B40" i="2"/>
  <c r="C40" i="2" s="1"/>
  <c r="B63" i="2"/>
  <c r="C63" i="2" s="1"/>
  <c r="B69" i="2"/>
  <c r="C69" i="2" s="1"/>
  <c r="B313" i="2"/>
  <c r="C313" i="2" s="1"/>
  <c r="E19" i="2"/>
  <c r="B246" i="2"/>
  <c r="C246" i="2" s="1"/>
  <c r="B270" i="2"/>
  <c r="C270" i="2" s="1"/>
  <c r="B274" i="2"/>
  <c r="C274" i="2" s="1"/>
  <c r="E109" i="2"/>
  <c r="E105" i="2"/>
  <c r="E84" i="2"/>
  <c r="B232" i="2"/>
  <c r="C232" i="2" s="1"/>
  <c r="B236" i="2"/>
  <c r="C236" i="2" s="1"/>
  <c r="B145" i="2"/>
  <c r="C145" i="2" s="1"/>
  <c r="E170" i="2"/>
  <c r="E31" i="2"/>
  <c r="B89" i="2"/>
  <c r="C89" i="2" s="1"/>
  <c r="B192" i="2"/>
  <c r="C192" i="2" s="1"/>
  <c r="B285" i="2"/>
  <c r="C285" i="2" s="1"/>
  <c r="B315" i="2"/>
  <c r="C315" i="2" s="1"/>
  <c r="B304" i="2"/>
  <c r="C304" i="2" s="1"/>
  <c r="B275" i="2"/>
  <c r="C275" i="2" s="1"/>
  <c r="B121" i="2"/>
  <c r="C121" i="2" s="1"/>
  <c r="B35" i="2"/>
  <c r="C35" i="2" s="1"/>
  <c r="B187" i="2"/>
  <c r="C187" i="2" s="1"/>
  <c r="B295" i="2"/>
  <c r="C295" i="2" s="1"/>
  <c r="B317" i="2"/>
  <c r="C317" i="2" s="1"/>
  <c r="B29" i="2"/>
  <c r="C29" i="2" s="1"/>
  <c r="B191" i="2"/>
  <c r="C191" i="2" s="1"/>
  <c r="B30" i="2"/>
  <c r="C30" i="2" s="1"/>
  <c r="B80" i="2"/>
  <c r="C80" i="2" s="1"/>
  <c r="B159" i="2"/>
  <c r="C159" i="2" s="1"/>
  <c r="B200" i="2"/>
  <c r="C200" i="2" s="1"/>
  <c r="B166" i="2"/>
  <c r="C166" i="2" s="1"/>
  <c r="B299" i="2"/>
  <c r="C299" i="2" s="1"/>
  <c r="E44" i="2"/>
  <c r="B248" i="2"/>
  <c r="C248" i="2" s="1"/>
  <c r="E34" i="2"/>
  <c r="B222" i="2"/>
  <c r="C222" i="2" s="1"/>
  <c r="B79" i="2"/>
  <c r="C79" i="2" s="1"/>
  <c r="B61" i="2"/>
  <c r="C61" i="2" s="1"/>
  <c r="B138" i="2"/>
  <c r="C138" i="2" s="1"/>
  <c r="B247" i="2"/>
  <c r="C247" i="2" s="1"/>
  <c r="E287" i="2"/>
  <c r="E39" i="2"/>
  <c r="B119" i="2"/>
  <c r="C119" i="2" s="1"/>
  <c r="B137" i="3"/>
  <c r="C137" i="3" s="1"/>
  <c r="B91" i="3"/>
  <c r="C91" i="3" s="1"/>
  <c r="B69" i="3"/>
  <c r="C69" i="3" s="1"/>
  <c r="B185" i="3"/>
  <c r="C185" i="3" s="1"/>
  <c r="B105" i="3"/>
  <c r="C105" i="3" s="1"/>
  <c r="B31" i="3"/>
  <c r="C31" i="3" s="1"/>
  <c r="B81" i="3"/>
  <c r="C81" i="3" s="1"/>
  <c r="B45" i="3"/>
  <c r="C45" i="3" s="1"/>
  <c r="B317" i="3"/>
  <c r="C317" i="3" s="1"/>
  <c r="E317" i="3" s="1"/>
  <c r="D113" i="8"/>
  <c r="E113" i="8"/>
  <c r="D89" i="8"/>
  <c r="E89" i="8"/>
  <c r="D143" i="8"/>
  <c r="E143" i="8"/>
  <c r="E226" i="8"/>
  <c r="D226" i="8"/>
  <c r="E49" i="2"/>
  <c r="E152" i="2"/>
  <c r="E146" i="2"/>
  <c r="E242" i="2"/>
  <c r="B228" i="3"/>
  <c r="C228" i="3" s="1"/>
  <c r="B179" i="3"/>
  <c r="C179" i="3" s="1"/>
  <c r="B190" i="3"/>
  <c r="C190" i="3" s="1"/>
  <c r="B258" i="3"/>
  <c r="C258" i="3" s="1"/>
  <c r="B249" i="3"/>
  <c r="C249" i="3" s="1"/>
  <c r="B243" i="3"/>
  <c r="C243" i="3" s="1"/>
  <c r="B303" i="3"/>
  <c r="C303" i="3" s="1"/>
  <c r="B250" i="3"/>
  <c r="C250" i="3" s="1"/>
  <c r="B197" i="3"/>
  <c r="C197" i="3" s="1"/>
  <c r="B24" i="3"/>
  <c r="C24" i="3" s="1"/>
  <c r="D300" i="3"/>
  <c r="B298" i="3"/>
  <c r="C298" i="3" s="1"/>
  <c r="B292" i="3"/>
  <c r="C292" i="3" s="1"/>
  <c r="B315" i="3"/>
  <c r="C315" i="3" s="1"/>
  <c r="B173" i="3"/>
  <c r="C173" i="3" s="1"/>
  <c r="B198" i="3"/>
  <c r="C198" i="3" s="1"/>
  <c r="B135" i="3"/>
  <c r="C135" i="3" s="1"/>
  <c r="B158" i="3"/>
  <c r="C158" i="3" s="1"/>
  <c r="B81" i="4"/>
  <c r="C81" i="4" s="1"/>
  <c r="B15" i="3"/>
  <c r="C15" i="3" s="1"/>
  <c r="B89" i="3"/>
  <c r="C89" i="3" s="1"/>
  <c r="B118" i="3"/>
  <c r="C118" i="3" s="1"/>
  <c r="B16" i="3"/>
  <c r="C16" i="3" s="1"/>
  <c r="B207" i="3"/>
  <c r="C207" i="3" s="1"/>
  <c r="D227" i="3"/>
  <c r="B186" i="3"/>
  <c r="C186" i="3" s="1"/>
  <c r="B58" i="3"/>
  <c r="C58" i="3" s="1"/>
  <c r="B214" i="3"/>
  <c r="C214" i="3" s="1"/>
  <c r="B51" i="3"/>
  <c r="C51" i="3" s="1"/>
  <c r="B130" i="3"/>
  <c r="C130" i="3" s="1"/>
  <c r="B245" i="3"/>
  <c r="C245" i="3" s="1"/>
  <c r="B28" i="3"/>
  <c r="C28" i="3" s="1"/>
  <c r="B192" i="4"/>
  <c r="C192" i="4" s="1"/>
  <c r="B279" i="3"/>
  <c r="C279" i="3" s="1"/>
  <c r="E19" i="3"/>
  <c r="E287" i="7"/>
  <c r="E37" i="7"/>
  <c r="E44" i="7"/>
  <c r="E47" i="7"/>
  <c r="E54" i="7"/>
  <c r="E62" i="7"/>
  <c r="E70" i="7"/>
  <c r="E78" i="7"/>
  <c r="E86" i="7"/>
  <c r="E94" i="7"/>
  <c r="E102" i="7"/>
  <c r="E110" i="7"/>
  <c r="E118" i="7"/>
  <c r="E126" i="7"/>
  <c r="E134" i="7"/>
  <c r="E142" i="7"/>
  <c r="E150" i="7"/>
  <c r="E158" i="7"/>
  <c r="E166" i="7"/>
  <c r="E268" i="7"/>
  <c r="E294" i="7"/>
  <c r="E231" i="7"/>
  <c r="E307" i="7"/>
  <c r="E183" i="7"/>
  <c r="E181" i="7"/>
  <c r="E274" i="7"/>
  <c r="E216" i="7"/>
  <c r="E311" i="7"/>
  <c r="E234" i="7"/>
  <c r="E226" i="7"/>
  <c r="E255" i="7"/>
  <c r="E18" i="7"/>
  <c r="E270" i="7"/>
  <c r="E254" i="7"/>
  <c r="E225" i="7"/>
  <c r="E243" i="7"/>
  <c r="E201" i="7"/>
  <c r="E199" i="7"/>
  <c r="E194" i="7"/>
  <c r="E192" i="7"/>
  <c r="E232" i="7"/>
  <c r="E263" i="7"/>
  <c r="E168" i="7"/>
  <c r="E214" i="7"/>
  <c r="E38" i="7"/>
  <c r="E45" i="7"/>
  <c r="E135" i="7"/>
  <c r="E33" i="7"/>
  <c r="E36" i="7"/>
  <c r="E40" i="7"/>
  <c r="E51" i="7"/>
  <c r="E58" i="7"/>
  <c r="E66" i="7"/>
  <c r="E74" i="7"/>
  <c r="E82" i="7"/>
  <c r="E90" i="7"/>
  <c r="E98" i="7"/>
  <c r="E106" i="7"/>
  <c r="E114" i="7"/>
  <c r="E122" i="7"/>
  <c r="E130" i="7"/>
  <c r="E138" i="7"/>
  <c r="E146" i="7"/>
  <c r="E154" i="7"/>
  <c r="E162" i="7"/>
  <c r="E302" i="7"/>
  <c r="E286" i="7"/>
  <c r="E259" i="7"/>
  <c r="E184" i="7"/>
  <c r="E182" i="7"/>
  <c r="E31" i="7"/>
  <c r="E22" i="7"/>
  <c r="E34" i="7"/>
  <c r="E120" i="8"/>
  <c r="D120" i="8"/>
  <c r="D85" i="8"/>
  <c r="E85" i="8"/>
  <c r="E80" i="8"/>
  <c r="D80" i="8"/>
  <c r="E44" i="8"/>
  <c r="D44" i="8"/>
  <c r="E110" i="8"/>
  <c r="D110" i="8"/>
  <c r="E148" i="8"/>
  <c r="D148" i="8"/>
  <c r="D159" i="8"/>
  <c r="E159" i="8"/>
  <c r="E175" i="2"/>
  <c r="E202" i="2"/>
  <c r="E124" i="2"/>
  <c r="B266" i="3"/>
  <c r="C266" i="3" s="1"/>
  <c r="B268" i="3"/>
  <c r="C268" i="3" s="1"/>
  <c r="E90" i="3"/>
  <c r="B123" i="3"/>
  <c r="C123" i="3" s="1"/>
  <c r="B310" i="3"/>
  <c r="C310" i="3" s="1"/>
  <c r="D212" i="3"/>
  <c r="B171" i="3"/>
  <c r="C171" i="3" s="1"/>
  <c r="E82" i="3"/>
  <c r="B57" i="3"/>
  <c r="C57" i="3" s="1"/>
  <c r="B85" i="3"/>
  <c r="C85" i="3" s="1"/>
  <c r="D246" i="3"/>
  <c r="B209" i="3"/>
  <c r="C209" i="3" s="1"/>
  <c r="E206" i="3"/>
  <c r="B110" i="3"/>
  <c r="C110" i="3" s="1"/>
  <c r="B78" i="3"/>
  <c r="C78" i="3" s="1"/>
  <c r="B41" i="3"/>
  <c r="C41" i="3" s="1"/>
  <c r="E155" i="3"/>
  <c r="B204" i="3"/>
  <c r="C204" i="3" s="1"/>
  <c r="B22" i="3"/>
  <c r="C22" i="3" s="1"/>
  <c r="D282" i="3"/>
  <c r="B257" i="3"/>
  <c r="C257" i="3" s="1"/>
  <c r="B220" i="3"/>
  <c r="C220" i="3" s="1"/>
  <c r="D162" i="3"/>
  <c r="B64" i="3"/>
  <c r="C64" i="3" s="1"/>
  <c r="E134" i="3"/>
  <c r="B75" i="3"/>
  <c r="C75" i="3" s="1"/>
  <c r="B303" i="4"/>
  <c r="C303" i="4" s="1"/>
  <c r="B291" i="3"/>
  <c r="C291" i="3" s="1"/>
  <c r="B138" i="3"/>
  <c r="C138" i="3" s="1"/>
  <c r="B299" i="3"/>
  <c r="C299" i="3" s="1"/>
  <c r="B144" i="3"/>
  <c r="C144" i="3" s="1"/>
  <c r="B114" i="3"/>
  <c r="C114" i="3" s="1"/>
  <c r="B194" i="3"/>
  <c r="C194" i="3" s="1"/>
  <c r="B36" i="3"/>
  <c r="C36" i="3" s="1"/>
  <c r="D317" i="3"/>
  <c r="B311" i="3"/>
  <c r="C311" i="3" s="1"/>
  <c r="B46" i="3"/>
  <c r="C46" i="3" s="1"/>
  <c r="D237" i="3"/>
  <c r="B48" i="3"/>
  <c r="C48" i="3" s="1"/>
  <c r="B35" i="3"/>
  <c r="C35" i="3" s="1"/>
  <c r="B60" i="3"/>
  <c r="C60" i="3" s="1"/>
  <c r="B66" i="3"/>
  <c r="C66" i="3" s="1"/>
  <c r="D238" i="3"/>
  <c r="E186" i="8"/>
  <c r="D186" i="8"/>
  <c r="D269" i="8"/>
  <c r="B19" i="8"/>
  <c r="C19" i="8" s="1"/>
  <c r="D19" i="8" s="1"/>
  <c r="B16" i="8"/>
  <c r="C16" i="8" s="1"/>
  <c r="B38" i="8"/>
  <c r="C38" i="8" s="1"/>
  <c r="D38" i="8" s="1"/>
  <c r="B17" i="8"/>
  <c r="C17" i="8" s="1"/>
  <c r="B28" i="8"/>
  <c r="C28" i="8" s="1"/>
  <c r="B32" i="8"/>
  <c r="C32" i="8" s="1"/>
  <c r="D32" i="8" s="1"/>
  <c r="B134" i="8"/>
  <c r="C134" i="8" s="1"/>
  <c r="E134" i="8" s="1"/>
  <c r="B41" i="8"/>
  <c r="C41" i="8" s="1"/>
  <c r="B129" i="8"/>
  <c r="C129" i="8" s="1"/>
  <c r="E129" i="8" s="1"/>
  <c r="B200" i="8"/>
  <c r="C200" i="8" s="1"/>
  <c r="D200" i="8" s="1"/>
  <c r="B274" i="8"/>
  <c r="C274" i="8" s="1"/>
  <c r="E274" i="8" s="1"/>
  <c r="B230" i="8"/>
  <c r="C230" i="8" s="1"/>
  <c r="B225" i="8"/>
  <c r="C225" i="8" s="1"/>
  <c r="E225" i="8" s="1"/>
  <c r="B223" i="8"/>
  <c r="C223" i="8" s="1"/>
  <c r="E223" i="8" s="1"/>
  <c r="B135" i="8"/>
  <c r="C135" i="8" s="1"/>
  <c r="E135" i="8" s="1"/>
  <c r="B40" i="8"/>
  <c r="C40" i="8" s="1"/>
  <c r="E40" i="8" s="1"/>
  <c r="B198" i="8"/>
  <c r="C198" i="8" s="1"/>
  <c r="E125" i="8"/>
  <c r="B298" i="8"/>
  <c r="C298" i="8" s="1"/>
  <c r="B262" i="8"/>
  <c r="C262" i="8" s="1"/>
  <c r="D262" i="8" s="1"/>
  <c r="B233" i="8"/>
  <c r="C233" i="8" s="1"/>
  <c r="D233" i="8" s="1"/>
  <c r="E228" i="8"/>
  <c r="B219" i="8"/>
  <c r="C219" i="8" s="1"/>
  <c r="B214" i="8"/>
  <c r="C214" i="8" s="1"/>
  <c r="B209" i="8"/>
  <c r="C209" i="8" s="1"/>
  <c r="D209" i="8" s="1"/>
  <c r="B207" i="8"/>
  <c r="C207" i="8" s="1"/>
  <c r="D317" i="8"/>
  <c r="B305" i="8"/>
  <c r="C305" i="8" s="1"/>
  <c r="B287" i="8"/>
  <c r="C287" i="8" s="1"/>
  <c r="E287" i="8" s="1"/>
  <c r="B279" i="8"/>
  <c r="C279" i="8" s="1"/>
  <c r="B259" i="8"/>
  <c r="C259" i="8" s="1"/>
  <c r="B239" i="8"/>
  <c r="C239" i="8" s="1"/>
  <c r="E239" i="8" s="1"/>
  <c r="B316" i="8"/>
  <c r="C316" i="8" s="1"/>
  <c r="B296" i="8"/>
  <c r="C296" i="8" s="1"/>
  <c r="B276" i="8"/>
  <c r="C276" i="8" s="1"/>
  <c r="E276" i="8" s="1"/>
  <c r="B268" i="8"/>
  <c r="C268" i="8" s="1"/>
  <c r="B248" i="8"/>
  <c r="C248" i="8" s="1"/>
  <c r="B281" i="8"/>
  <c r="C281" i="8" s="1"/>
  <c r="E281" i="8" s="1"/>
  <c r="B187" i="8"/>
  <c r="C187" i="8" s="1"/>
  <c r="E183" i="8"/>
  <c r="B295" i="8"/>
  <c r="C295" i="8" s="1"/>
  <c r="E295" i="8" s="1"/>
  <c r="B173" i="8"/>
  <c r="C173" i="8" s="1"/>
  <c r="D173" i="8" s="1"/>
  <c r="B171" i="8"/>
  <c r="C171" i="8" s="1"/>
  <c r="B166" i="8"/>
  <c r="C166" i="8" s="1"/>
  <c r="B164" i="8"/>
  <c r="C164" i="8" s="1"/>
  <c r="D164" i="8" s="1"/>
  <c r="E162" i="8"/>
  <c r="E160" i="8"/>
  <c r="B39" i="8"/>
  <c r="C39" i="8" s="1"/>
  <c r="B20" i="8"/>
  <c r="C20" i="8" s="1"/>
  <c r="D20" i="8" s="1"/>
  <c r="B277" i="8"/>
  <c r="C277" i="8" s="1"/>
  <c r="E277" i="8" s="1"/>
  <c r="B30" i="8"/>
  <c r="C30" i="8" s="1"/>
  <c r="B33" i="8"/>
  <c r="C33" i="8" s="1"/>
  <c r="B36" i="8"/>
  <c r="C36" i="8" s="1"/>
  <c r="D36" i="8" s="1"/>
  <c r="E22" i="8"/>
  <c r="B25" i="8"/>
  <c r="C25" i="8" s="1"/>
  <c r="D25" i="8" s="1"/>
  <c r="D34" i="8"/>
  <c r="E200" i="8"/>
  <c r="B286" i="8"/>
  <c r="C286" i="8" s="1"/>
  <c r="E286" i="8" s="1"/>
  <c r="B250" i="8"/>
  <c r="C250" i="8" s="1"/>
  <c r="B227" i="8"/>
  <c r="C227" i="8" s="1"/>
  <c r="D227" i="8" s="1"/>
  <c r="B224" i="8"/>
  <c r="C224" i="8" s="1"/>
  <c r="D224" i="8" s="1"/>
  <c r="B221" i="8"/>
  <c r="C221" i="8" s="1"/>
  <c r="E221" i="8" s="1"/>
  <c r="B216" i="8"/>
  <c r="C216" i="8" s="1"/>
  <c r="E212" i="8"/>
  <c r="B313" i="8"/>
  <c r="C313" i="8" s="1"/>
  <c r="E313" i="8" s="1"/>
  <c r="B267" i="8"/>
  <c r="C267" i="8" s="1"/>
  <c r="E267" i="8" s="1"/>
  <c r="D251" i="8"/>
  <c r="B304" i="8"/>
  <c r="C304" i="8" s="1"/>
  <c r="E304" i="8" s="1"/>
  <c r="B256" i="8"/>
  <c r="C256" i="8" s="1"/>
  <c r="B315" i="8"/>
  <c r="C315" i="8" s="1"/>
  <c r="B196" i="8"/>
  <c r="C196" i="8" s="1"/>
  <c r="B194" i="8"/>
  <c r="C194" i="8" s="1"/>
  <c r="D194" i="8" s="1"/>
  <c r="E192" i="8"/>
  <c r="B189" i="8"/>
  <c r="C189" i="8" s="1"/>
  <c r="D189" i="8" s="1"/>
  <c r="B184" i="8"/>
  <c r="C184" i="8" s="1"/>
  <c r="B182" i="8"/>
  <c r="C182" i="8" s="1"/>
  <c r="D182" i="8" s="1"/>
  <c r="E180" i="8"/>
  <c r="B177" i="8"/>
  <c r="C177" i="8" s="1"/>
  <c r="B253" i="8"/>
  <c r="C253" i="8" s="1"/>
  <c r="E253" i="8" s="1"/>
  <c r="B205" i="8"/>
  <c r="C205" i="8" s="1"/>
  <c r="D205" i="8" s="1"/>
  <c r="D201" i="8"/>
  <c r="B175" i="8"/>
  <c r="C175" i="8" s="1"/>
  <c r="D169" i="8"/>
  <c r="B161" i="8"/>
  <c r="C161" i="8" s="1"/>
  <c r="B131" i="8"/>
  <c r="C131" i="8" s="1"/>
  <c r="D131" i="8" s="1"/>
  <c r="B176" i="8"/>
  <c r="C176" i="8" s="1"/>
  <c r="B126" i="8"/>
  <c r="C126" i="8" s="1"/>
  <c r="D134" i="8"/>
  <c r="E198" i="8"/>
  <c r="B23" i="8"/>
  <c r="C23" i="8" s="1"/>
  <c r="E23" i="8" s="1"/>
  <c r="B318" i="8"/>
  <c r="C318" i="8" s="1"/>
  <c r="B306" i="8"/>
  <c r="C306" i="8" s="1"/>
  <c r="D306" i="8" s="1"/>
  <c r="B294" i="8"/>
  <c r="C294" i="8" s="1"/>
  <c r="B282" i="8"/>
  <c r="C282" i="8" s="1"/>
  <c r="D274" i="8"/>
  <c r="E262" i="8"/>
  <c r="B238" i="8"/>
  <c r="C238" i="8" s="1"/>
  <c r="E238" i="8" s="1"/>
  <c r="B232" i="8"/>
  <c r="C232" i="8" s="1"/>
  <c r="D232" i="8" s="1"/>
  <c r="B229" i="8"/>
  <c r="C229" i="8" s="1"/>
  <c r="D229" i="8" s="1"/>
  <c r="B218" i="8"/>
  <c r="C218" i="8" s="1"/>
  <c r="B213" i="8"/>
  <c r="C213" i="8" s="1"/>
  <c r="D213" i="8" s="1"/>
  <c r="B211" i="8"/>
  <c r="C211" i="8" s="1"/>
  <c r="E211" i="8" s="1"/>
  <c r="E209" i="8"/>
  <c r="B206" i="8"/>
  <c r="C206" i="8" s="1"/>
  <c r="B301" i="8"/>
  <c r="C301" i="8" s="1"/>
  <c r="E301" i="8" s="1"/>
  <c r="B293" i="8"/>
  <c r="C293" i="8" s="1"/>
  <c r="D293" i="8" s="1"/>
  <c r="D287" i="8"/>
  <c r="B275" i="8"/>
  <c r="C275" i="8" s="1"/>
  <c r="B255" i="8"/>
  <c r="C255" i="8" s="1"/>
  <c r="B247" i="8"/>
  <c r="C247" i="8" s="1"/>
  <c r="E247" i="8" s="1"/>
  <c r="D239" i="8"/>
  <c r="B312" i="8"/>
  <c r="C312" i="8" s="1"/>
  <c r="B292" i="8"/>
  <c r="C292" i="8" s="1"/>
  <c r="E292" i="8" s="1"/>
  <c r="B284" i="8"/>
  <c r="C284" i="8" s="1"/>
  <c r="E284" i="8" s="1"/>
  <c r="D276" i="8"/>
  <c r="B264" i="8"/>
  <c r="C264" i="8" s="1"/>
  <c r="B244" i="8"/>
  <c r="C244" i="8" s="1"/>
  <c r="B191" i="8"/>
  <c r="C191" i="8" s="1"/>
  <c r="D191" i="8" s="1"/>
  <c r="E187" i="8"/>
  <c r="B179" i="8"/>
  <c r="C179" i="8" s="1"/>
  <c r="D179" i="8" s="1"/>
  <c r="B199" i="8"/>
  <c r="C199" i="8" s="1"/>
  <c r="D199" i="8" s="1"/>
  <c r="B170" i="8"/>
  <c r="C170" i="8" s="1"/>
  <c r="D170" i="8" s="1"/>
  <c r="B168" i="8"/>
  <c r="C168" i="8" s="1"/>
  <c r="D166" i="8"/>
  <c r="B163" i="8"/>
  <c r="C163" i="8" s="1"/>
  <c r="B15" i="8"/>
  <c r="C15" i="8" s="1"/>
  <c r="D15" i="8" s="1"/>
  <c r="B18" i="8"/>
  <c r="C18" i="8" s="1"/>
  <c r="E18" i="8" s="1"/>
  <c r="E245" i="8"/>
  <c r="B24" i="8"/>
  <c r="C24" i="8" s="1"/>
  <c r="E24" i="8" s="1"/>
  <c r="B125" i="8"/>
  <c r="C125" i="8" s="1"/>
  <c r="D125" i="8" s="1"/>
  <c r="B314" i="8"/>
  <c r="C314" i="8" s="1"/>
  <c r="B290" i="8"/>
  <c r="C290" i="8" s="1"/>
  <c r="D290" i="8" s="1"/>
  <c r="E246" i="8"/>
  <c r="E232" i="8"/>
  <c r="B215" i="8"/>
  <c r="C215" i="8" s="1"/>
  <c r="D215" i="8" s="1"/>
  <c r="B210" i="8"/>
  <c r="C210" i="8" s="1"/>
  <c r="B317" i="8"/>
  <c r="C317" i="8" s="1"/>
  <c r="E317" i="8" s="1"/>
  <c r="D301" i="8"/>
  <c r="B263" i="8"/>
  <c r="C263" i="8" s="1"/>
  <c r="E263" i="8" s="1"/>
  <c r="B243" i="8"/>
  <c r="C243" i="8" s="1"/>
  <c r="D243" i="8" s="1"/>
  <c r="B308" i="8"/>
  <c r="C308" i="8" s="1"/>
  <c r="E308" i="8" s="1"/>
  <c r="B252" i="8"/>
  <c r="C252" i="8" s="1"/>
  <c r="E252" i="8" s="1"/>
  <c r="B195" i="8"/>
  <c r="C195" i="8" s="1"/>
  <c r="D195" i="8" s="1"/>
  <c r="B237" i="8"/>
  <c r="C237" i="8" s="1"/>
  <c r="D237" i="8" s="1"/>
  <c r="B167" i="8"/>
  <c r="C167" i="8" s="1"/>
  <c r="B162" i="8"/>
  <c r="C162" i="8" s="1"/>
  <c r="E157" i="8"/>
  <c r="B154" i="8"/>
  <c r="C154" i="8" s="1"/>
  <c r="E154" i="8" s="1"/>
  <c r="B152" i="8"/>
  <c r="C152" i="8" s="1"/>
  <c r="E152" i="8" s="1"/>
  <c r="D150" i="8"/>
  <c r="B147" i="8"/>
  <c r="C147" i="8" s="1"/>
  <c r="B142" i="8"/>
  <c r="C142" i="8" s="1"/>
  <c r="E142" i="8" s="1"/>
  <c r="B307" i="8"/>
  <c r="C307" i="8" s="1"/>
  <c r="E307" i="8" s="1"/>
  <c r="E273" i="8"/>
  <c r="B21" i="8"/>
  <c r="C21" i="8" s="1"/>
  <c r="E46" i="8"/>
  <c r="B49" i="8"/>
  <c r="C49" i="8" s="1"/>
  <c r="E49" i="8" s="1"/>
  <c r="B51" i="8"/>
  <c r="C51" i="8" s="1"/>
  <c r="D51" i="8" s="1"/>
  <c r="D57" i="8"/>
  <c r="E59" i="8"/>
  <c r="B62" i="8"/>
  <c r="C62" i="8" s="1"/>
  <c r="D62" i="8" s="1"/>
  <c r="B64" i="8"/>
  <c r="C64" i="8" s="1"/>
  <c r="E70" i="8"/>
  <c r="B73" i="8"/>
  <c r="C73" i="8" s="1"/>
  <c r="B75" i="8"/>
  <c r="C75" i="8" s="1"/>
  <c r="D75" i="8" s="1"/>
  <c r="D81" i="8"/>
  <c r="E83" i="8"/>
  <c r="B86" i="8"/>
  <c r="C86" i="8" s="1"/>
  <c r="B88" i="8"/>
  <c r="C88" i="8" s="1"/>
  <c r="B93" i="8"/>
  <c r="C93" i="8" s="1"/>
  <c r="B95" i="8"/>
  <c r="C95" i="8" s="1"/>
  <c r="B102" i="8"/>
  <c r="C102" i="8" s="1"/>
  <c r="D106" i="8"/>
  <c r="B114" i="8"/>
  <c r="C114" i="8" s="1"/>
  <c r="E118" i="8"/>
  <c r="B132" i="8"/>
  <c r="C132" i="8" s="1"/>
  <c r="B138" i="8"/>
  <c r="C138" i="8" s="1"/>
  <c r="B202" i="8"/>
  <c r="C202" i="8" s="1"/>
  <c r="D39" i="8"/>
  <c r="E133" i="8"/>
  <c r="E57" i="8"/>
  <c r="E73" i="8"/>
  <c r="E166" i="8"/>
  <c r="D50" i="8"/>
  <c r="E33" i="8"/>
  <c r="D118" i="8"/>
  <c r="E106" i="8"/>
  <c r="E161" i="8"/>
  <c r="E299" i="8"/>
  <c r="E61" i="8"/>
  <c r="E109" i="8"/>
  <c r="D257" i="8"/>
  <c r="E149" i="8"/>
  <c r="D100" i="8"/>
  <c r="E84" i="8"/>
  <c r="E72" i="8"/>
  <c r="E60" i="8"/>
  <c r="E48" i="8"/>
  <c r="D291" i="8"/>
  <c r="E151" i="8"/>
  <c r="D163" i="8"/>
  <c r="D175" i="8"/>
  <c r="E177" i="8"/>
  <c r="E189" i="8"/>
  <c r="E315" i="8"/>
  <c r="E210" i="8"/>
  <c r="E222" i="8"/>
  <c r="E250" i="8"/>
  <c r="E298" i="8"/>
  <c r="D104" i="8"/>
  <c r="D178" i="8"/>
  <c r="D190" i="8"/>
  <c r="D236" i="8"/>
  <c r="D284" i="8"/>
  <c r="D247" i="8"/>
  <c r="E293" i="8"/>
  <c r="D223" i="8"/>
  <c r="D238" i="8"/>
  <c r="D286" i="8"/>
  <c r="D137" i="8"/>
  <c r="D277" i="8"/>
  <c r="D59" i="8"/>
  <c r="E255" i="8"/>
  <c r="D198" i="8"/>
  <c r="D184" i="8"/>
  <c r="E39" i="8"/>
  <c r="E20" i="8"/>
  <c r="E28" i="8"/>
  <c r="B204" i="8"/>
  <c r="C204" i="8" s="1"/>
  <c r="D204" i="8" s="1"/>
  <c r="B139" i="8"/>
  <c r="C139" i="8" s="1"/>
  <c r="E139" i="8" s="1"/>
  <c r="B310" i="8"/>
  <c r="C310" i="8" s="1"/>
  <c r="D310" i="8" s="1"/>
  <c r="B266" i="8"/>
  <c r="C266" i="8" s="1"/>
  <c r="B242" i="8"/>
  <c r="C242" i="8" s="1"/>
  <c r="E242" i="8" s="1"/>
  <c r="B231" i="8"/>
  <c r="C231" i="8" s="1"/>
  <c r="B297" i="8"/>
  <c r="C297" i="8" s="1"/>
  <c r="D297" i="8" s="1"/>
  <c r="D283" i="8"/>
  <c r="B288" i="8"/>
  <c r="C288" i="8" s="1"/>
  <c r="E288" i="8" s="1"/>
  <c r="D272" i="8"/>
  <c r="B190" i="8"/>
  <c r="C190" i="8" s="1"/>
  <c r="E190" i="8" s="1"/>
  <c r="B185" i="8"/>
  <c r="C185" i="8" s="1"/>
  <c r="B180" i="8"/>
  <c r="C180" i="8" s="1"/>
  <c r="D180" i="8" s="1"/>
  <c r="D311" i="8"/>
  <c r="B197" i="8"/>
  <c r="C197" i="8" s="1"/>
  <c r="E197" i="8" s="1"/>
  <c r="B158" i="8"/>
  <c r="C158" i="8" s="1"/>
  <c r="E158" i="8" s="1"/>
  <c r="B156" i="8"/>
  <c r="C156" i="8" s="1"/>
  <c r="D156" i="8" s="1"/>
  <c r="B149" i="8"/>
  <c r="C149" i="8" s="1"/>
  <c r="D145" i="8"/>
  <c r="B257" i="8"/>
  <c r="C257" i="8" s="1"/>
  <c r="E257" i="8" s="1"/>
  <c r="B45" i="8"/>
  <c r="C45" i="8" s="1"/>
  <c r="B47" i="8"/>
  <c r="C47" i="8" s="1"/>
  <c r="E47" i="8" s="1"/>
  <c r="D53" i="8"/>
  <c r="B58" i="8"/>
  <c r="C58" i="8" s="1"/>
  <c r="B60" i="8"/>
  <c r="C60" i="8" s="1"/>
  <c r="E66" i="8"/>
  <c r="B69" i="8"/>
  <c r="C69" i="8" s="1"/>
  <c r="D69" i="8" s="1"/>
  <c r="B71" i="8"/>
  <c r="C71" i="8" s="1"/>
  <c r="D77" i="8"/>
  <c r="E79" i="8"/>
  <c r="B82" i="8"/>
  <c r="C82" i="8" s="1"/>
  <c r="B84" i="8"/>
  <c r="C84" i="8" s="1"/>
  <c r="D90" i="8"/>
  <c r="B100" i="8"/>
  <c r="C100" i="8" s="1"/>
  <c r="E100" i="8" s="1"/>
  <c r="B105" i="8"/>
  <c r="C105" i="8" s="1"/>
  <c r="B107" i="8"/>
  <c r="C107" i="8" s="1"/>
  <c r="E107" i="8" s="1"/>
  <c r="D109" i="8"/>
  <c r="B112" i="8"/>
  <c r="C112" i="8" s="1"/>
  <c r="D112" i="8" s="1"/>
  <c r="B117" i="8"/>
  <c r="C117" i="8" s="1"/>
  <c r="D117" i="8" s="1"/>
  <c r="B119" i="8"/>
  <c r="C119" i="8" s="1"/>
  <c r="D121" i="8"/>
  <c r="B124" i="8"/>
  <c r="C124" i="8" s="1"/>
  <c r="D16" i="8"/>
  <c r="E121" i="8"/>
  <c r="D162" i="8"/>
  <c r="E97" i="8"/>
  <c r="D153" i="8"/>
  <c r="E122" i="8"/>
  <c r="E169" i="8"/>
  <c r="D24" i="8"/>
  <c r="E117" i="8"/>
  <c r="E235" i="8"/>
  <c r="D78" i="8"/>
  <c r="E165" i="8"/>
  <c r="D273" i="8"/>
  <c r="D108" i="8"/>
  <c r="E303" i="8"/>
  <c r="E99" i="8"/>
  <c r="D84" i="8"/>
  <c r="D72" i="8"/>
  <c r="D60" i="8"/>
  <c r="D48" i="8"/>
  <c r="E291" i="8"/>
  <c r="D151" i="8"/>
  <c r="E163" i="8"/>
  <c r="E175" i="8"/>
  <c r="D177" i="8"/>
  <c r="D315" i="8"/>
  <c r="E243" i="8"/>
  <c r="D210" i="8"/>
  <c r="D222" i="8"/>
  <c r="D250" i="8"/>
  <c r="D298" i="8"/>
  <c r="E92" i="8"/>
  <c r="D103" i="8"/>
  <c r="E144" i="8"/>
  <c r="E205" i="8"/>
  <c r="E182" i="8"/>
  <c r="E194" i="8"/>
  <c r="D252" i="8"/>
  <c r="D300" i="8"/>
  <c r="D263" i="8"/>
  <c r="D309" i="8"/>
  <c r="E215" i="8"/>
  <c r="E227" i="8"/>
  <c r="E254" i="8"/>
  <c r="E34" i="8"/>
  <c r="D187" i="8"/>
  <c r="I13" i="8"/>
  <c r="B127" i="8"/>
  <c r="C127" i="8" s="1"/>
  <c r="E127" i="8" s="1"/>
  <c r="D33" i="8"/>
  <c r="B261" i="8"/>
  <c r="C261" i="8" s="1"/>
  <c r="D261" i="8" s="1"/>
  <c r="B26" i="8"/>
  <c r="C26" i="8" s="1"/>
  <c r="B133" i="8"/>
  <c r="C133" i="8" s="1"/>
  <c r="D133" i="8" s="1"/>
  <c r="B258" i="8"/>
  <c r="C258" i="8" s="1"/>
  <c r="D258" i="8" s="1"/>
  <c r="B234" i="8"/>
  <c r="C234" i="8" s="1"/>
  <c r="E224" i="8"/>
  <c r="B208" i="8"/>
  <c r="C208" i="8" s="1"/>
  <c r="E208" i="8" s="1"/>
  <c r="D313" i="8"/>
  <c r="B235" i="8"/>
  <c r="C235" i="8" s="1"/>
  <c r="D235" i="8" s="1"/>
  <c r="D304" i="8"/>
  <c r="B265" i="8"/>
  <c r="C265" i="8" s="1"/>
  <c r="B193" i="8"/>
  <c r="C193" i="8" s="1"/>
  <c r="B188" i="8"/>
  <c r="C188" i="8" s="1"/>
  <c r="E184" i="8"/>
  <c r="B285" i="8"/>
  <c r="C285" i="8" s="1"/>
  <c r="B203" i="8"/>
  <c r="C203" i="8" s="1"/>
  <c r="B174" i="8"/>
  <c r="C174" i="8" s="1"/>
  <c r="B165" i="8"/>
  <c r="C165" i="8" s="1"/>
  <c r="D165" i="8" s="1"/>
  <c r="D161" i="8"/>
  <c r="D154" i="8"/>
  <c r="B151" i="8"/>
  <c r="C151" i="8" s="1"/>
  <c r="B146" i="8"/>
  <c r="C146" i="8" s="1"/>
  <c r="B144" i="8"/>
  <c r="C144" i="8" s="1"/>
  <c r="D144" i="8" s="1"/>
  <c r="D142" i="8"/>
  <c r="B291" i="8"/>
  <c r="C291" i="8" s="1"/>
  <c r="B27" i="8"/>
  <c r="C27" i="8" s="1"/>
  <c r="E27" i="8" s="1"/>
  <c r="B43" i="8"/>
  <c r="C43" i="8" s="1"/>
  <c r="D49" i="8"/>
  <c r="E51" i="8"/>
  <c r="B54" i="8"/>
  <c r="C54" i="8" s="1"/>
  <c r="B56" i="8"/>
  <c r="C56" i="8" s="1"/>
  <c r="B65" i="8"/>
  <c r="C65" i="8" s="1"/>
  <c r="D65" i="8" s="1"/>
  <c r="B67" i="8"/>
  <c r="C67" i="8" s="1"/>
  <c r="E67" i="8" s="1"/>
  <c r="D73" i="8"/>
  <c r="E75" i="8"/>
  <c r="D116" i="8"/>
  <c r="B141" i="8"/>
  <c r="C141" i="8" s="1"/>
  <c r="E156" i="8"/>
  <c r="B160" i="8"/>
  <c r="C160" i="8" s="1"/>
  <c r="D160" i="8" s="1"/>
  <c r="E179" i="8"/>
  <c r="B260" i="8"/>
  <c r="C260" i="8" s="1"/>
  <c r="D260" i="8" s="1"/>
  <c r="B300" i="8"/>
  <c r="C300" i="8" s="1"/>
  <c r="E300" i="8" s="1"/>
  <c r="D255" i="8"/>
  <c r="B289" i="8"/>
  <c r="C289" i="8" s="1"/>
  <c r="E289" i="8" s="1"/>
  <c r="B217" i="8"/>
  <c r="C217" i="8" s="1"/>
  <c r="E217" i="8" s="1"/>
  <c r="B302" i="8"/>
  <c r="C302" i="8" s="1"/>
  <c r="D302" i="8" s="1"/>
  <c r="B130" i="8"/>
  <c r="C130" i="8" s="1"/>
  <c r="E130" i="8" s="1"/>
  <c r="I15" i="8"/>
  <c r="B245" i="8"/>
  <c r="C245" i="8" s="1"/>
  <c r="D245" i="8" s="1"/>
  <c r="D28" i="8"/>
  <c r="B140" i="8"/>
  <c r="C140" i="8" s="1"/>
  <c r="E128" i="8"/>
  <c r="B115" i="8"/>
  <c r="C115" i="8" s="1"/>
  <c r="B111" i="8"/>
  <c r="C111" i="8" s="1"/>
  <c r="D111" i="8" s="1"/>
  <c r="B108" i="8"/>
  <c r="C108" i="8" s="1"/>
  <c r="E108" i="8" s="1"/>
  <c r="B104" i="8"/>
  <c r="C104" i="8" s="1"/>
  <c r="E104" i="8" s="1"/>
  <c r="B101" i="8"/>
  <c r="C101" i="8" s="1"/>
  <c r="B97" i="8"/>
  <c r="C97" i="8" s="1"/>
  <c r="D97" i="8" s="1"/>
  <c r="B94" i="8"/>
  <c r="C94" i="8" s="1"/>
  <c r="B90" i="8"/>
  <c r="C90" i="8" s="1"/>
  <c r="E90" i="8" s="1"/>
  <c r="B87" i="8"/>
  <c r="C87" i="8" s="1"/>
  <c r="B77" i="8"/>
  <c r="C77" i="8" s="1"/>
  <c r="E77" i="8" s="1"/>
  <c r="B68" i="8"/>
  <c r="C68" i="8" s="1"/>
  <c r="E63" i="8"/>
  <c r="B55" i="8"/>
  <c r="C55" i="8" s="1"/>
  <c r="E55" i="8" s="1"/>
  <c r="E50" i="8"/>
  <c r="B42" i="8"/>
  <c r="C42" i="8" s="1"/>
  <c r="E42" i="8" s="1"/>
  <c r="B172" i="8"/>
  <c r="C172" i="8" s="1"/>
  <c r="D172" i="8" s="1"/>
  <c r="B181" i="8"/>
  <c r="C181" i="8" s="1"/>
  <c r="B299" i="8"/>
  <c r="C299" i="8" s="1"/>
  <c r="D299" i="8" s="1"/>
  <c r="B272" i="8"/>
  <c r="C272" i="8" s="1"/>
  <c r="E272" i="8" s="1"/>
  <c r="B220" i="8"/>
  <c r="C220" i="8" s="1"/>
  <c r="D220" i="8" s="1"/>
  <c r="B270" i="8"/>
  <c r="C270" i="8" s="1"/>
  <c r="B37" i="8"/>
  <c r="C37" i="8" s="1"/>
  <c r="D37" i="8" s="1"/>
  <c r="D149" i="8"/>
  <c r="B153" i="8"/>
  <c r="C153" i="8" s="1"/>
  <c r="E153" i="8" s="1"/>
  <c r="D158" i="8"/>
  <c r="B183" i="8"/>
  <c r="C183" i="8" s="1"/>
  <c r="D183" i="8" s="1"/>
  <c r="B280" i="8"/>
  <c r="C280" i="8" s="1"/>
  <c r="E280" i="8" s="1"/>
  <c r="B271" i="8"/>
  <c r="C271" i="8" s="1"/>
  <c r="E271" i="8" s="1"/>
  <c r="B309" i="8"/>
  <c r="C309" i="8" s="1"/>
  <c r="E309" i="8" s="1"/>
  <c r="B278" i="8"/>
  <c r="C278" i="8" s="1"/>
  <c r="D278" i="8" s="1"/>
  <c r="B35" i="8"/>
  <c r="C35" i="8" s="1"/>
  <c r="E35" i="8" s="1"/>
  <c r="E21" i="9"/>
  <c r="D21" i="9"/>
  <c r="D148" i="9"/>
  <c r="E148" i="9"/>
  <c r="D68" i="9"/>
  <c r="E68" i="9"/>
  <c r="D139" i="9"/>
  <c r="E139" i="9"/>
  <c r="D91" i="9"/>
  <c r="E91" i="9"/>
  <c r="D25" i="9"/>
  <c r="E25" i="9"/>
  <c r="E49" i="9"/>
  <c r="D49" i="9"/>
  <c r="E79" i="9"/>
  <c r="D79" i="9"/>
  <c r="D161" i="9"/>
  <c r="E161" i="9"/>
  <c r="D121" i="9"/>
  <c r="E121" i="9"/>
  <c r="E29" i="9"/>
  <c r="D29" i="9"/>
  <c r="D61" i="9"/>
  <c r="E61" i="9"/>
  <c r="E204" i="8"/>
  <c r="D40" i="8"/>
  <c r="D23" i="8"/>
  <c r="E25" i="8"/>
  <c r="E306" i="8"/>
  <c r="E233" i="8"/>
  <c r="D221" i="8"/>
  <c r="D18" i="8"/>
  <c r="E19" i="8"/>
  <c r="E312" i="9"/>
  <c r="D312" i="9"/>
  <c r="D35" i="8"/>
  <c r="E32" i="8"/>
  <c r="D29" i="8"/>
  <c r="E16" i="8"/>
  <c r="B6" i="12"/>
  <c r="I33" i="8"/>
  <c r="D73" i="9"/>
  <c r="E73" i="9"/>
  <c r="E34" i="9"/>
  <c r="D34" i="9"/>
  <c r="D216" i="9"/>
  <c r="E216" i="9"/>
  <c r="E18" i="9"/>
  <c r="D18" i="9"/>
  <c r="D43" i="9"/>
  <c r="E43" i="9"/>
  <c r="D55" i="9"/>
  <c r="E55" i="9"/>
  <c r="D66" i="9"/>
  <c r="E66" i="9"/>
  <c r="E150" i="9"/>
  <c r="D150" i="9"/>
  <c r="D83" i="9"/>
  <c r="E83" i="9"/>
  <c r="E59" i="9"/>
  <c r="D59" i="9"/>
  <c r="E158" i="9"/>
  <c r="D158" i="9"/>
  <c r="D133" i="9"/>
  <c r="E133" i="9"/>
  <c r="D116" i="9"/>
  <c r="E116" i="9"/>
  <c r="E183" i="9"/>
  <c r="D183" i="9"/>
  <c r="E254" i="9"/>
  <c r="D254" i="9"/>
  <c r="D156" i="9"/>
  <c r="E156" i="9"/>
  <c r="E207" i="9"/>
  <c r="D207" i="9"/>
  <c r="E131" i="9"/>
  <c r="D42" i="9"/>
  <c r="D32" i="9"/>
  <c r="E123" i="9"/>
  <c r="E165" i="9"/>
  <c r="E117" i="9"/>
  <c r="D30" i="9"/>
  <c r="E45" i="9"/>
  <c r="D51" i="9"/>
  <c r="E63" i="9"/>
  <c r="E89" i="9"/>
  <c r="E168" i="9"/>
  <c r="E39" i="9"/>
  <c r="D99" i="9"/>
  <c r="D175" i="9"/>
  <c r="D92" i="9"/>
  <c r="E92" i="9"/>
  <c r="D111" i="9"/>
  <c r="E53" i="9"/>
  <c r="D137" i="9"/>
  <c r="E57" i="9"/>
  <c r="E138" i="9"/>
  <c r="D85" i="9"/>
  <c r="E172" i="9"/>
  <c r="E143" i="9"/>
  <c r="D47" i="9"/>
  <c r="D71" i="9"/>
  <c r="E77" i="9"/>
  <c r="D144" i="9"/>
  <c r="E144" i="9"/>
  <c r="E212" i="9"/>
  <c r="D212" i="9"/>
  <c r="E152" i="9"/>
  <c r="D152" i="9"/>
  <c r="D224" i="9"/>
  <c r="E224" i="9"/>
  <c r="E48" i="9"/>
  <c r="D48" i="9"/>
  <c r="I33" i="9"/>
  <c r="D37" i="9"/>
  <c r="D17" i="9"/>
  <c r="E28" i="9"/>
  <c r="B240" i="9"/>
  <c r="C240" i="9" s="1"/>
  <c r="B304" i="9"/>
  <c r="C304" i="9" s="1"/>
  <c r="B200" i="9"/>
  <c r="C200" i="9" s="1"/>
  <c r="B262" i="9"/>
  <c r="C262" i="9" s="1"/>
  <c r="B208" i="9"/>
  <c r="C208" i="9" s="1"/>
  <c r="B270" i="9"/>
  <c r="C270" i="9" s="1"/>
  <c r="B189" i="9"/>
  <c r="C189" i="9" s="1"/>
  <c r="B234" i="9"/>
  <c r="C234" i="9" s="1"/>
  <c r="B288" i="9"/>
  <c r="C288" i="9" s="1"/>
  <c r="B155" i="9"/>
  <c r="C155" i="9" s="1"/>
  <c r="B171" i="9"/>
  <c r="C171" i="9" s="1"/>
  <c r="B196" i="9"/>
  <c r="C196" i="9" s="1"/>
  <c r="B228" i="9"/>
  <c r="C228" i="9" s="1"/>
  <c r="B260" i="9"/>
  <c r="C260" i="9" s="1"/>
  <c r="B292" i="9"/>
  <c r="C292" i="9" s="1"/>
  <c r="B153" i="9"/>
  <c r="C153" i="9" s="1"/>
  <c r="B169" i="9"/>
  <c r="C169" i="9" s="1"/>
  <c r="B194" i="9"/>
  <c r="C194" i="9" s="1"/>
  <c r="B226" i="9"/>
  <c r="C226" i="9" s="1"/>
  <c r="B258" i="9"/>
  <c r="C258" i="9" s="1"/>
  <c r="B290" i="9"/>
  <c r="C290" i="9" s="1"/>
  <c r="B286" i="9"/>
  <c r="C286" i="9" s="1"/>
  <c r="B318" i="9"/>
  <c r="C318" i="9" s="1"/>
  <c r="B163" i="9"/>
  <c r="C163" i="9" s="1"/>
  <c r="B187" i="9"/>
  <c r="C187" i="9" s="1"/>
  <c r="B220" i="9"/>
  <c r="C220" i="9" s="1"/>
  <c r="B252" i="9"/>
  <c r="C252" i="9" s="1"/>
  <c r="B284" i="9"/>
  <c r="C284" i="9" s="1"/>
  <c r="B316" i="9"/>
  <c r="C316" i="9" s="1"/>
  <c r="B298" i="9"/>
  <c r="C298" i="9" s="1"/>
  <c r="B176" i="9"/>
  <c r="C176" i="9" s="1"/>
  <c r="B180" i="9"/>
  <c r="C180" i="9" s="1"/>
  <c r="B184" i="9"/>
  <c r="C184" i="9" s="1"/>
  <c r="B188" i="9"/>
  <c r="C188" i="9" s="1"/>
  <c r="B193" i="9"/>
  <c r="C193" i="9" s="1"/>
  <c r="B197" i="9"/>
  <c r="C197" i="9" s="1"/>
  <c r="B201" i="9"/>
  <c r="C201" i="9" s="1"/>
  <c r="B205" i="9"/>
  <c r="C205" i="9" s="1"/>
  <c r="B209" i="9"/>
  <c r="C209" i="9" s="1"/>
  <c r="B213" i="9"/>
  <c r="C213" i="9" s="1"/>
  <c r="B217" i="9"/>
  <c r="C217" i="9" s="1"/>
  <c r="B221" i="9"/>
  <c r="C221" i="9" s="1"/>
  <c r="B225" i="9"/>
  <c r="C225" i="9" s="1"/>
  <c r="B229" i="9"/>
  <c r="C229" i="9" s="1"/>
  <c r="B233" i="9"/>
  <c r="C233" i="9" s="1"/>
  <c r="B237" i="9"/>
  <c r="C237" i="9" s="1"/>
  <c r="B241" i="9"/>
  <c r="C241" i="9" s="1"/>
  <c r="B245" i="9"/>
  <c r="C245" i="9" s="1"/>
  <c r="B249" i="9"/>
  <c r="C249" i="9" s="1"/>
  <c r="B253" i="9"/>
  <c r="C253" i="9" s="1"/>
  <c r="B257" i="9"/>
  <c r="C257" i="9" s="1"/>
  <c r="B261" i="9"/>
  <c r="C261" i="9" s="1"/>
  <c r="B265" i="9"/>
  <c r="C265" i="9" s="1"/>
  <c r="B269" i="9"/>
  <c r="C269" i="9" s="1"/>
  <c r="B273" i="9"/>
  <c r="C273" i="9" s="1"/>
  <c r="B277" i="9"/>
  <c r="C277" i="9" s="1"/>
  <c r="B281" i="9"/>
  <c r="C281" i="9" s="1"/>
  <c r="B285" i="9"/>
  <c r="C285" i="9" s="1"/>
  <c r="B289" i="9"/>
  <c r="C289" i="9" s="1"/>
  <c r="B293" i="9"/>
  <c r="C293" i="9" s="1"/>
  <c r="B297" i="9"/>
  <c r="C297" i="9" s="1"/>
  <c r="B301" i="9"/>
  <c r="C301" i="9" s="1"/>
  <c r="B305" i="9"/>
  <c r="C305" i="9" s="1"/>
  <c r="B309" i="9"/>
  <c r="C309" i="9" s="1"/>
  <c r="B313" i="9"/>
  <c r="C313" i="9" s="1"/>
  <c r="B317" i="9"/>
  <c r="C317" i="9" s="1"/>
  <c r="B44" i="9"/>
  <c r="C44" i="9" s="1"/>
  <c r="B19" i="9"/>
  <c r="C19" i="9" s="1"/>
  <c r="I23" i="9" l="1"/>
  <c r="I24" i="9"/>
  <c r="B10" i="10" s="1"/>
  <c r="D129" i="9"/>
  <c r="D170" i="9"/>
  <c r="D134" i="9"/>
  <c r="D311" i="9"/>
  <c r="E96" i="9"/>
  <c r="D280" i="9"/>
  <c r="D20" i="9"/>
  <c r="E134" i="9"/>
  <c r="D54" i="9"/>
  <c r="D101" i="9"/>
  <c r="D178" i="9"/>
  <c r="E151" i="9"/>
  <c r="E85" i="9"/>
  <c r="D119" i="9"/>
  <c r="D251" i="9"/>
  <c r="E81" i="9"/>
  <c r="D190" i="9"/>
  <c r="D122" i="9"/>
  <c r="D74" i="9"/>
  <c r="E306" i="9"/>
  <c r="D168" i="9"/>
  <c r="E243" i="9"/>
  <c r="D40" i="9"/>
  <c r="D247" i="9"/>
  <c r="E166" i="9"/>
  <c r="E122" i="9"/>
  <c r="D263" i="9"/>
  <c r="D70" i="9"/>
  <c r="D250" i="9"/>
  <c r="D246" i="9"/>
  <c r="E109" i="9"/>
  <c r="D165" i="9"/>
  <c r="E170" i="9"/>
  <c r="D157" i="9"/>
  <c r="E16" i="9"/>
  <c r="E31" i="9"/>
  <c r="E203" i="9"/>
  <c r="D103" i="9"/>
  <c r="D299" i="9"/>
  <c r="E141" i="9"/>
  <c r="E95" i="9"/>
  <c r="D308" i="9"/>
  <c r="D58" i="9"/>
  <c r="D278" i="9"/>
  <c r="D181" i="9"/>
  <c r="D142" i="9"/>
  <c r="D118" i="9"/>
  <c r="D125" i="9"/>
  <c r="E147" i="9"/>
  <c r="E146" i="9"/>
  <c r="E231" i="9"/>
  <c r="E192" i="9"/>
  <c r="D64" i="9"/>
  <c r="E230" i="9"/>
  <c r="D294" i="9"/>
  <c r="D31" i="9"/>
  <c r="E74" i="9"/>
  <c r="E280" i="9"/>
  <c r="D98" i="9"/>
  <c r="E287" i="9"/>
  <c r="D62" i="9"/>
  <c r="D24" i="9"/>
  <c r="E128" i="9"/>
  <c r="E38" i="9"/>
  <c r="D75" i="9"/>
  <c r="E149" i="9"/>
  <c r="D177" i="9"/>
  <c r="E54" i="9"/>
  <c r="E37" i="9"/>
  <c r="E87" i="9"/>
  <c r="D291" i="9"/>
  <c r="D110" i="9"/>
  <c r="D36" i="9"/>
  <c r="E268" i="9"/>
  <c r="D154" i="9"/>
  <c r="D202" i="9"/>
  <c r="E76" i="9"/>
  <c r="D227" i="9"/>
  <c r="E157" i="9"/>
  <c r="D222" i="9"/>
  <c r="E186" i="9"/>
  <c r="D95" i="9"/>
  <c r="D126" i="9"/>
  <c r="E90" i="9"/>
  <c r="D218" i="9"/>
  <c r="D195" i="9"/>
  <c r="D315" i="9"/>
  <c r="E124" i="9"/>
  <c r="D203" i="9"/>
  <c r="E154" i="9"/>
  <c r="E177" i="9"/>
  <c r="D179" i="9"/>
  <c r="D124" i="9"/>
  <c r="D264" i="9"/>
  <c r="E52" i="9"/>
  <c r="D72" i="9"/>
  <c r="E142" i="9"/>
  <c r="E244" i="9"/>
  <c r="D306" i="9"/>
  <c r="E206" i="9"/>
  <c r="E69" i="9"/>
  <c r="D256" i="9"/>
  <c r="D84" i="9"/>
  <c r="D243" i="9"/>
  <c r="E125" i="9"/>
  <c r="E98" i="9"/>
  <c r="D82" i="9"/>
  <c r="E103" i="9"/>
  <c r="D46" i="9"/>
  <c r="D211" i="9"/>
  <c r="D238" i="9"/>
  <c r="D52" i="9"/>
  <c r="D100" i="9"/>
  <c r="E264" i="9"/>
  <c r="E130" i="9"/>
  <c r="E275" i="9"/>
  <c r="E227" i="9"/>
  <c r="E174" i="9"/>
  <c r="E82" i="9"/>
  <c r="D275" i="9"/>
  <c r="E179" i="9"/>
  <c r="E72" i="9"/>
  <c r="E251" i="9"/>
  <c r="D283" i="9"/>
  <c r="D16" i="9"/>
  <c r="D204" i="9"/>
  <c r="E296" i="9"/>
  <c r="D56" i="9"/>
  <c r="E308" i="9"/>
  <c r="E294" i="9"/>
  <c r="D136" i="9"/>
  <c r="E202" i="9"/>
  <c r="D105" i="9"/>
  <c r="E60" i="9"/>
  <c r="E178" i="9"/>
  <c r="D303" i="9"/>
  <c r="D235" i="9"/>
  <c r="E118" i="9"/>
  <c r="E250" i="9"/>
  <c r="D174" i="9"/>
  <c r="D127" i="9"/>
  <c r="D128" i="9"/>
  <c r="D115" i="9"/>
  <c r="E42" i="9"/>
  <c r="D230" i="9"/>
  <c r="E93" i="9"/>
  <c r="E214" i="9"/>
  <c r="E105" i="9"/>
  <c r="E282" i="9"/>
  <c r="D77" i="9"/>
  <c r="E199" i="9"/>
  <c r="D78" i="9"/>
  <c r="E47" i="9"/>
  <c r="E222" i="9"/>
  <c r="D45" i="9"/>
  <c r="D94" i="9"/>
  <c r="E71" i="9"/>
  <c r="D231" i="9"/>
  <c r="D164" i="9"/>
  <c r="E108" i="9"/>
  <c r="D302" i="9"/>
  <c r="E310" i="9"/>
  <c r="E119" i="9"/>
  <c r="E86" i="9"/>
  <c r="E223" i="9"/>
  <c r="E255" i="9"/>
  <c r="E315" i="9"/>
  <c r="D39" i="9"/>
  <c r="E17" i="9"/>
  <c r="D102" i="9"/>
  <c r="D38" i="9"/>
  <c r="D307" i="9"/>
  <c r="E218" i="9"/>
  <c r="E99" i="9"/>
  <c r="D232" i="9"/>
  <c r="E127" i="9"/>
  <c r="E248" i="9"/>
  <c r="D89" i="9"/>
  <c r="D300" i="9"/>
  <c r="D87" i="9"/>
  <c r="D149" i="9"/>
  <c r="E136" i="9"/>
  <c r="D143" i="9"/>
  <c r="E238" i="9"/>
  <c r="E107" i="9"/>
  <c r="E239" i="9"/>
  <c r="E135" i="9"/>
  <c r="D266" i="9"/>
  <c r="E278" i="9"/>
  <c r="D106" i="9"/>
  <c r="E232" i="9"/>
  <c r="E164" i="9"/>
  <c r="D108" i="9"/>
  <c r="E302" i="9"/>
  <c r="D310" i="9"/>
  <c r="E145" i="9"/>
  <c r="E40" i="9"/>
  <c r="D223" i="9"/>
  <c r="D255" i="9"/>
  <c r="E267" i="9"/>
  <c r="D145" i="9"/>
  <c r="D287" i="9"/>
  <c r="D90" i="9"/>
  <c r="E140" i="9"/>
  <c r="E283" i="9"/>
  <c r="D206" i="9"/>
  <c r="E33" i="9"/>
  <c r="E112" i="9"/>
  <c r="E51" i="9"/>
  <c r="D192" i="9"/>
  <c r="E111" i="9"/>
  <c r="E160" i="9"/>
  <c r="E50" i="9"/>
  <c r="D60" i="9"/>
  <c r="E106" i="9"/>
  <c r="E41" i="9"/>
  <c r="E62" i="9"/>
  <c r="D130" i="9"/>
  <c r="E104" i="9"/>
  <c r="D104" i="9"/>
  <c r="D274" i="9"/>
  <c r="E272" i="9"/>
  <c r="E300" i="9"/>
  <c r="D267" i="9"/>
  <c r="E97" i="9"/>
  <c r="E215" i="9"/>
  <c r="D210" i="9"/>
  <c r="E159" i="9"/>
  <c r="E88" i="9"/>
  <c r="D113" i="9"/>
  <c r="E102" i="9"/>
  <c r="D282" i="9"/>
  <c r="E191" i="9"/>
  <c r="E295" i="9"/>
  <c r="D219" i="9"/>
  <c r="D63" i="9"/>
  <c r="E242" i="9"/>
  <c r="D296" i="9"/>
  <c r="D135" i="9"/>
  <c r="E259" i="9"/>
  <c r="E126" i="9"/>
  <c r="D131" i="9"/>
  <c r="E100" i="9"/>
  <c r="E24" i="9"/>
  <c r="D173" i="9"/>
  <c r="E23" i="9"/>
  <c r="E266" i="9"/>
  <c r="D146" i="9"/>
  <c r="E22" i="9"/>
  <c r="E75" i="9"/>
  <c r="D57" i="9"/>
  <c r="D67" i="9"/>
  <c r="E32" i="9"/>
  <c r="D185" i="9"/>
  <c r="H10" i="9"/>
  <c r="D215" i="9"/>
  <c r="E210" i="9"/>
  <c r="D159" i="9"/>
  <c r="D88" i="9"/>
  <c r="E113" i="9"/>
  <c r="D141" i="9"/>
  <c r="D248" i="9"/>
  <c r="D191" i="9"/>
  <c r="D295" i="9"/>
  <c r="D186" i="9"/>
  <c r="D27" i="9"/>
  <c r="D244" i="9"/>
  <c r="D198" i="9"/>
  <c r="D26" i="9"/>
  <c r="E235" i="9"/>
  <c r="E114" i="9"/>
  <c r="D53" i="9"/>
  <c r="D86" i="9"/>
  <c r="D76" i="9"/>
  <c r="E110" i="9"/>
  <c r="D172" i="9"/>
  <c r="D167" i="9"/>
  <c r="E64" i="9"/>
  <c r="E195" i="9"/>
  <c r="E137" i="9"/>
  <c r="E36" i="9"/>
  <c r="E46" i="9"/>
  <c r="D80" i="9"/>
  <c r="E274" i="9"/>
  <c r="L35" i="2"/>
  <c r="M34" i="2"/>
  <c r="E297" i="9"/>
  <c r="D297" i="9"/>
  <c r="E225" i="9"/>
  <c r="D225" i="9"/>
  <c r="E176" i="9"/>
  <c r="D176" i="9"/>
  <c r="E226" i="9"/>
  <c r="D226" i="9"/>
  <c r="D189" i="9"/>
  <c r="E189" i="9"/>
  <c r="I34" i="8"/>
  <c r="I38" i="8"/>
  <c r="E68" i="8"/>
  <c r="D68" i="8"/>
  <c r="D146" i="8"/>
  <c r="E146" i="8"/>
  <c r="D55" i="8"/>
  <c r="E297" i="8"/>
  <c r="E138" i="8"/>
  <c r="D138" i="8"/>
  <c r="E268" i="8"/>
  <c r="D268" i="8"/>
  <c r="E207" i="8"/>
  <c r="D207" i="8"/>
  <c r="D214" i="3"/>
  <c r="E214" i="3"/>
  <c r="E198" i="3"/>
  <c r="D198" i="3"/>
  <c r="D258" i="3"/>
  <c r="E258" i="3"/>
  <c r="D91" i="3"/>
  <c r="E91" i="3"/>
  <c r="E35" i="2"/>
  <c r="D35" i="2"/>
  <c r="E232" i="2"/>
  <c r="D232" i="2"/>
  <c r="D40" i="2"/>
  <c r="E40" i="2"/>
  <c r="D310" i="2"/>
  <c r="E310" i="2"/>
  <c r="D301" i="2"/>
  <c r="E301" i="2"/>
  <c r="E16" i="2"/>
  <c r="D16" i="2"/>
  <c r="I40" i="4"/>
  <c r="E317" i="9"/>
  <c r="D317" i="9"/>
  <c r="D293" i="9"/>
  <c r="E293" i="9"/>
  <c r="D269" i="9"/>
  <c r="E269" i="9"/>
  <c r="D245" i="9"/>
  <c r="E245" i="9"/>
  <c r="E221" i="9"/>
  <c r="D221" i="9"/>
  <c r="E197" i="9"/>
  <c r="D197" i="9"/>
  <c r="E298" i="9"/>
  <c r="D298" i="9"/>
  <c r="D163" i="9"/>
  <c r="E163" i="9"/>
  <c r="D194" i="9"/>
  <c r="E194" i="9"/>
  <c r="E196" i="9"/>
  <c r="D196" i="9"/>
  <c r="E270" i="9"/>
  <c r="D270" i="9"/>
  <c r="D130" i="8"/>
  <c r="E261" i="8"/>
  <c r="E213" i="8"/>
  <c r="D267" i="8"/>
  <c r="E229" i="8"/>
  <c r="E43" i="8"/>
  <c r="D43" i="8"/>
  <c r="E285" i="8"/>
  <c r="D285" i="8"/>
  <c r="J13" i="8"/>
  <c r="I16" i="8"/>
  <c r="J16" i="8" s="1"/>
  <c r="E15" i="8"/>
  <c r="E38" i="8"/>
  <c r="D45" i="8"/>
  <c r="E45" i="8"/>
  <c r="E220" i="8"/>
  <c r="E37" i="8"/>
  <c r="D253" i="8"/>
  <c r="D211" i="8"/>
  <c r="D289" i="8"/>
  <c r="E170" i="8"/>
  <c r="E65" i="8"/>
  <c r="E132" i="8"/>
  <c r="D132" i="8"/>
  <c r="D93" i="8"/>
  <c r="E93" i="8"/>
  <c r="D314" i="8"/>
  <c r="E314" i="8"/>
  <c r="D295" i="8"/>
  <c r="D264" i="8"/>
  <c r="E264" i="8"/>
  <c r="E206" i="8"/>
  <c r="D206" i="8"/>
  <c r="E126" i="8"/>
  <c r="D126" i="8"/>
  <c r="D271" i="8"/>
  <c r="D230" i="8"/>
  <c r="E230" i="8"/>
  <c r="E35" i="3"/>
  <c r="D35" i="3"/>
  <c r="E36" i="3"/>
  <c r="D36" i="3"/>
  <c r="D291" i="3"/>
  <c r="E291" i="3"/>
  <c r="D220" i="3"/>
  <c r="E220" i="3"/>
  <c r="D41" i="3"/>
  <c r="E41" i="3"/>
  <c r="E85" i="3"/>
  <c r="D85" i="3"/>
  <c r="D123" i="3"/>
  <c r="E123" i="3"/>
  <c r="E192" i="4"/>
  <c r="D192" i="4"/>
  <c r="D58" i="3"/>
  <c r="E58" i="3"/>
  <c r="E89" i="3"/>
  <c r="D89" i="3"/>
  <c r="E173" i="3"/>
  <c r="D173" i="3"/>
  <c r="E197" i="3"/>
  <c r="D197" i="3"/>
  <c r="D190" i="3"/>
  <c r="E190" i="3"/>
  <c r="D81" i="3"/>
  <c r="E81" i="3"/>
  <c r="E137" i="3"/>
  <c r="D137" i="3"/>
  <c r="E61" i="2"/>
  <c r="D61" i="2"/>
  <c r="E299" i="2"/>
  <c r="D299" i="2"/>
  <c r="E191" i="2"/>
  <c r="D191" i="2"/>
  <c r="E121" i="2"/>
  <c r="D121" i="2"/>
  <c r="E89" i="2"/>
  <c r="D89" i="2"/>
  <c r="E225" i="2"/>
  <c r="D225" i="2"/>
  <c r="E148" i="2"/>
  <c r="D148" i="2"/>
  <c r="E77" i="2"/>
  <c r="D77" i="2"/>
  <c r="E174" i="2"/>
  <c r="D174" i="2"/>
  <c r="E41" i="2"/>
  <c r="D41" i="2"/>
  <c r="L35" i="7"/>
  <c r="M34" i="7"/>
  <c r="O35" i="3"/>
  <c r="M35" i="3"/>
  <c r="D44" i="9"/>
  <c r="E44" i="9"/>
  <c r="E273" i="9"/>
  <c r="D273" i="9"/>
  <c r="E201" i="9"/>
  <c r="D201" i="9"/>
  <c r="E187" i="9"/>
  <c r="D187" i="9"/>
  <c r="E228" i="9"/>
  <c r="D228" i="9"/>
  <c r="D240" i="9"/>
  <c r="E240" i="9"/>
  <c r="E101" i="8"/>
  <c r="D101" i="8"/>
  <c r="E140" i="8"/>
  <c r="D140" i="8"/>
  <c r="E203" i="8"/>
  <c r="D203" i="8"/>
  <c r="D95" i="8"/>
  <c r="E95" i="8"/>
  <c r="D244" i="8"/>
  <c r="E244" i="8"/>
  <c r="E30" i="8"/>
  <c r="D30" i="8"/>
  <c r="D259" i="8"/>
  <c r="E259" i="8"/>
  <c r="E60" i="3"/>
  <c r="D60" i="3"/>
  <c r="E138" i="3"/>
  <c r="D138" i="3"/>
  <c r="E310" i="3"/>
  <c r="D310" i="3"/>
  <c r="E279" i="3"/>
  <c r="D279" i="3"/>
  <c r="E118" i="3"/>
  <c r="D118" i="3"/>
  <c r="D24" i="3"/>
  <c r="E24" i="3"/>
  <c r="E45" i="3"/>
  <c r="D45" i="3"/>
  <c r="E138" i="2"/>
  <c r="D138" i="2"/>
  <c r="D30" i="2"/>
  <c r="E30" i="2"/>
  <c r="D192" i="2"/>
  <c r="E192" i="2"/>
  <c r="E246" i="2"/>
  <c r="D246" i="2"/>
  <c r="E240" i="2"/>
  <c r="D240" i="2"/>
  <c r="D201" i="2"/>
  <c r="E201" i="2"/>
  <c r="L37" i="3"/>
  <c r="O36" i="3"/>
  <c r="M36" i="3"/>
  <c r="D313" i="9"/>
  <c r="E313" i="9"/>
  <c r="E289" i="9"/>
  <c r="D289" i="9"/>
  <c r="D265" i="9"/>
  <c r="E265" i="9"/>
  <c r="E241" i="9"/>
  <c r="D241" i="9"/>
  <c r="D217" i="9"/>
  <c r="E217" i="9"/>
  <c r="E193" i="9"/>
  <c r="D193" i="9"/>
  <c r="E316" i="9"/>
  <c r="D316" i="9"/>
  <c r="E318" i="9"/>
  <c r="D318" i="9"/>
  <c r="E169" i="9"/>
  <c r="D169" i="9"/>
  <c r="D171" i="9"/>
  <c r="E171" i="9"/>
  <c r="D208" i="9"/>
  <c r="E208" i="9"/>
  <c r="E87" i="8"/>
  <c r="D87" i="8"/>
  <c r="E62" i="8"/>
  <c r="D26" i="8"/>
  <c r="E26" i="8"/>
  <c r="E260" i="8"/>
  <c r="E124" i="8"/>
  <c r="D124" i="8"/>
  <c r="E82" i="8"/>
  <c r="D82" i="8"/>
  <c r="D42" i="8"/>
  <c r="E172" i="8"/>
  <c r="E231" i="8"/>
  <c r="D231" i="8"/>
  <c r="D197" i="8"/>
  <c r="D139" i="8"/>
  <c r="E88" i="8"/>
  <c r="D88" i="8"/>
  <c r="E147" i="8"/>
  <c r="D147" i="8"/>
  <c r="E167" i="8"/>
  <c r="D167" i="8"/>
  <c r="D292" i="8"/>
  <c r="E318" i="8"/>
  <c r="D318" i="8"/>
  <c r="E176" i="8"/>
  <c r="D176" i="8"/>
  <c r="D256" i="8"/>
  <c r="E256" i="8"/>
  <c r="D242" i="8"/>
  <c r="E171" i="8"/>
  <c r="D171" i="8"/>
  <c r="E195" i="8"/>
  <c r="E296" i="8"/>
  <c r="D296" i="8"/>
  <c r="E279" i="8"/>
  <c r="D279" i="8"/>
  <c r="D214" i="8"/>
  <c r="E214" i="8"/>
  <c r="D48" i="3"/>
  <c r="E48" i="3"/>
  <c r="D194" i="3"/>
  <c r="E194" i="3"/>
  <c r="E303" i="4"/>
  <c r="D303" i="4"/>
  <c r="D257" i="3"/>
  <c r="E257" i="3"/>
  <c r="D78" i="3"/>
  <c r="E78" i="3"/>
  <c r="D57" i="3"/>
  <c r="E57" i="3"/>
  <c r="D28" i="3"/>
  <c r="E28" i="3"/>
  <c r="E186" i="3"/>
  <c r="D186" i="3"/>
  <c r="D15" i="3"/>
  <c r="E15" i="3"/>
  <c r="D315" i="3"/>
  <c r="E315" i="3"/>
  <c r="D250" i="3"/>
  <c r="E250" i="3"/>
  <c r="D179" i="3"/>
  <c r="E179" i="3"/>
  <c r="E31" i="3"/>
  <c r="D31" i="3"/>
  <c r="E119" i="2"/>
  <c r="D119" i="2"/>
  <c r="E79" i="2"/>
  <c r="D79" i="2"/>
  <c r="E166" i="2"/>
  <c r="D166" i="2"/>
  <c r="E29" i="2"/>
  <c r="D29" i="2"/>
  <c r="E275" i="2"/>
  <c r="D275" i="2"/>
  <c r="E70" i="2"/>
  <c r="E75" i="2"/>
  <c r="D75" i="2"/>
  <c r="E72" i="2"/>
  <c r="D72" i="2"/>
  <c r="D253" i="2"/>
  <c r="E253" i="2"/>
  <c r="D153" i="2"/>
  <c r="E153" i="2"/>
  <c r="E224" i="2"/>
  <c r="D224" i="2"/>
  <c r="L22" i="7"/>
  <c r="L23" i="7" s="1"/>
  <c r="M21" i="7"/>
  <c r="L22" i="1"/>
  <c r="M21" i="1"/>
  <c r="D249" i="9"/>
  <c r="E249" i="9"/>
  <c r="E302" i="8"/>
  <c r="E185" i="8"/>
  <c r="D185" i="8"/>
  <c r="D294" i="8"/>
  <c r="E294" i="8"/>
  <c r="D196" i="8"/>
  <c r="E196" i="8"/>
  <c r="D309" i="9"/>
  <c r="E309" i="9"/>
  <c r="E285" i="9"/>
  <c r="D285" i="9"/>
  <c r="E261" i="9"/>
  <c r="D261" i="9"/>
  <c r="D237" i="9"/>
  <c r="E237" i="9"/>
  <c r="E213" i="9"/>
  <c r="D213" i="9"/>
  <c r="D188" i="9"/>
  <c r="E188" i="9"/>
  <c r="D284" i="9"/>
  <c r="E284" i="9"/>
  <c r="D286" i="9"/>
  <c r="E286" i="9"/>
  <c r="E153" i="9"/>
  <c r="D153" i="9"/>
  <c r="E155" i="9"/>
  <c r="D155" i="9"/>
  <c r="D262" i="9"/>
  <c r="E262" i="9"/>
  <c r="D127" i="8"/>
  <c r="E258" i="8"/>
  <c r="E36" i="8"/>
  <c r="E131" i="8"/>
  <c r="D56" i="8"/>
  <c r="E56" i="8"/>
  <c r="E188" i="8"/>
  <c r="D188" i="8"/>
  <c r="D129" i="8"/>
  <c r="D135" i="8"/>
  <c r="E105" i="8"/>
  <c r="D105" i="8"/>
  <c r="D58" i="8"/>
  <c r="E58" i="8"/>
  <c r="D152" i="8"/>
  <c r="D280" i="8"/>
  <c r="E112" i="8"/>
  <c r="D114" i="8"/>
  <c r="E114" i="8"/>
  <c r="E86" i="8"/>
  <c r="D86" i="8"/>
  <c r="E64" i="8"/>
  <c r="D64" i="8"/>
  <c r="E199" i="8"/>
  <c r="E168" i="8"/>
  <c r="D168" i="8"/>
  <c r="E275" i="8"/>
  <c r="D275" i="8"/>
  <c r="D288" i="8"/>
  <c r="D308" i="8"/>
  <c r="D217" i="8"/>
  <c r="E278" i="8"/>
  <c r="D17" i="8"/>
  <c r="E17" i="8"/>
  <c r="D114" i="3"/>
  <c r="E114" i="3"/>
  <c r="E75" i="3"/>
  <c r="D75" i="3"/>
  <c r="D110" i="3"/>
  <c r="E110" i="3"/>
  <c r="D268" i="3"/>
  <c r="E268" i="3"/>
  <c r="D245" i="3"/>
  <c r="E245" i="3"/>
  <c r="E81" i="4"/>
  <c r="D81" i="4"/>
  <c r="E292" i="3"/>
  <c r="D292" i="3"/>
  <c r="D303" i="3"/>
  <c r="E303" i="3"/>
  <c r="E228" i="3"/>
  <c r="D228" i="3"/>
  <c r="E105" i="3"/>
  <c r="D105" i="3"/>
  <c r="E222" i="2"/>
  <c r="D222" i="2"/>
  <c r="E200" i="2"/>
  <c r="D200" i="2"/>
  <c r="E317" i="2"/>
  <c r="D317" i="2"/>
  <c r="E304" i="2"/>
  <c r="D304" i="2"/>
  <c r="E313" i="2"/>
  <c r="D313" i="2"/>
  <c r="D73" i="2"/>
  <c r="E73" i="2"/>
  <c r="E286" i="2"/>
  <c r="D286" i="2"/>
  <c r="D234" i="2"/>
  <c r="E234" i="2"/>
  <c r="E108" i="2"/>
  <c r="D108" i="2"/>
  <c r="D50" i="2"/>
  <c r="E50" i="2"/>
  <c r="I22" i="4"/>
  <c r="I26" i="4"/>
  <c r="I25" i="4"/>
  <c r="I28" i="3"/>
  <c r="L21" i="3" s="1"/>
  <c r="N14" i="3"/>
  <c r="I27" i="3"/>
  <c r="I39" i="8"/>
  <c r="I21" i="8"/>
  <c r="I26" i="8"/>
  <c r="D305" i="9"/>
  <c r="E305" i="9"/>
  <c r="E257" i="9"/>
  <c r="D257" i="9"/>
  <c r="D209" i="9"/>
  <c r="E209" i="9"/>
  <c r="D252" i="9"/>
  <c r="E252" i="9"/>
  <c r="E292" i="9"/>
  <c r="D292" i="9"/>
  <c r="D200" i="9"/>
  <c r="E200" i="9"/>
  <c r="D181" i="8"/>
  <c r="E181" i="8"/>
  <c r="D94" i="8"/>
  <c r="E94" i="8"/>
  <c r="D119" i="8"/>
  <c r="E119" i="8"/>
  <c r="D47" i="8"/>
  <c r="D216" i="8"/>
  <c r="E216" i="8"/>
  <c r="E237" i="8"/>
  <c r="D316" i="8"/>
  <c r="E316" i="8"/>
  <c r="E219" i="8"/>
  <c r="D219" i="8"/>
  <c r="E290" i="8"/>
  <c r="D144" i="3"/>
  <c r="E144" i="3"/>
  <c r="E22" i="3"/>
  <c r="D22" i="3"/>
  <c r="D171" i="3"/>
  <c r="E171" i="3"/>
  <c r="D266" i="3"/>
  <c r="E266" i="3"/>
  <c r="E130" i="3"/>
  <c r="D130" i="3"/>
  <c r="D207" i="3"/>
  <c r="E207" i="3"/>
  <c r="D158" i="3"/>
  <c r="E158" i="3"/>
  <c r="E298" i="3"/>
  <c r="D298" i="3"/>
  <c r="E243" i="3"/>
  <c r="D243" i="3"/>
  <c r="D185" i="3"/>
  <c r="E185" i="3"/>
  <c r="E159" i="2"/>
  <c r="D159" i="2"/>
  <c r="E295" i="2"/>
  <c r="D295" i="2"/>
  <c r="E315" i="2"/>
  <c r="D315" i="2"/>
  <c r="D145" i="2"/>
  <c r="E145" i="2"/>
  <c r="D274" i="2"/>
  <c r="E274" i="2"/>
  <c r="E69" i="2"/>
  <c r="D69" i="2"/>
  <c r="E141" i="2"/>
  <c r="D141" i="2"/>
  <c r="D256" i="2"/>
  <c r="E256" i="2"/>
  <c r="E288" i="2"/>
  <c r="D288" i="2"/>
  <c r="D83" i="2"/>
  <c r="E83" i="2"/>
  <c r="E262" i="2"/>
  <c r="D262" i="2"/>
  <c r="L36" i="2"/>
  <c r="I27" i="2"/>
  <c r="I28" i="2"/>
  <c r="L21" i="2" s="1"/>
  <c r="N14" i="2"/>
  <c r="D281" i="9"/>
  <c r="E281" i="9"/>
  <c r="E233" i="9"/>
  <c r="D233" i="9"/>
  <c r="D184" i="9"/>
  <c r="E184" i="9"/>
  <c r="E290" i="9"/>
  <c r="D290" i="9"/>
  <c r="E288" i="9"/>
  <c r="D288" i="9"/>
  <c r="E115" i="8"/>
  <c r="D115" i="8"/>
  <c r="E54" i="8"/>
  <c r="D54" i="8"/>
  <c r="E193" i="8"/>
  <c r="D193" i="8"/>
  <c r="D67" i="8"/>
  <c r="D266" i="8"/>
  <c r="E266" i="8"/>
  <c r="D307" i="8"/>
  <c r="D21" i="8"/>
  <c r="E21" i="8"/>
  <c r="D248" i="8"/>
  <c r="E248" i="8"/>
  <c r="D305" i="8"/>
  <c r="E305" i="8"/>
  <c r="E46" i="3"/>
  <c r="D46" i="3"/>
  <c r="D19" i="9"/>
  <c r="E19" i="9"/>
  <c r="D301" i="9"/>
  <c r="E301" i="9"/>
  <c r="D277" i="9"/>
  <c r="E277" i="9"/>
  <c r="E253" i="9"/>
  <c r="D253" i="9"/>
  <c r="E229" i="9"/>
  <c r="D229" i="9"/>
  <c r="D205" i="9"/>
  <c r="E205" i="9"/>
  <c r="D180" i="9"/>
  <c r="E180" i="9"/>
  <c r="D220" i="9"/>
  <c r="E220" i="9"/>
  <c r="D258" i="9"/>
  <c r="E258" i="9"/>
  <c r="D260" i="9"/>
  <c r="E260" i="9"/>
  <c r="E234" i="9"/>
  <c r="D234" i="9"/>
  <c r="D304" i="9"/>
  <c r="E304" i="9"/>
  <c r="E270" i="8"/>
  <c r="D270" i="8"/>
  <c r="D141" i="8"/>
  <c r="E141" i="8"/>
  <c r="D174" i="8"/>
  <c r="E174" i="8"/>
  <c r="E265" i="8"/>
  <c r="D265" i="8"/>
  <c r="E234" i="8"/>
  <c r="D234" i="8"/>
  <c r="E164" i="8"/>
  <c r="E69" i="8"/>
  <c r="D27" i="8"/>
  <c r="D208" i="8"/>
  <c r="E71" i="8"/>
  <c r="D71" i="8"/>
  <c r="E111" i="8"/>
  <c r="D107" i="8"/>
  <c r="D225" i="8"/>
  <c r="E202" i="8"/>
  <c r="D202" i="8"/>
  <c r="D102" i="8"/>
  <c r="E102" i="8"/>
  <c r="E191" i="8"/>
  <c r="E173" i="8"/>
  <c r="D281" i="8"/>
  <c r="D312" i="8"/>
  <c r="E312" i="8"/>
  <c r="E218" i="8"/>
  <c r="D218" i="8"/>
  <c r="D282" i="8"/>
  <c r="E282" i="8"/>
  <c r="E310" i="8"/>
  <c r="D41" i="8"/>
  <c r="E41" i="8"/>
  <c r="D66" i="3"/>
  <c r="E66" i="3"/>
  <c r="D311" i="3"/>
  <c r="E311" i="3"/>
  <c r="D299" i="3"/>
  <c r="E299" i="3"/>
  <c r="E64" i="3"/>
  <c r="D64" i="3"/>
  <c r="D204" i="3"/>
  <c r="E204" i="3"/>
  <c r="D209" i="3"/>
  <c r="E209" i="3"/>
  <c r="D51" i="3"/>
  <c r="E51" i="3"/>
  <c r="E16" i="3"/>
  <c r="D16" i="3"/>
  <c r="D135" i="3"/>
  <c r="E135" i="3"/>
  <c r="D249" i="3"/>
  <c r="E249" i="3"/>
  <c r="E69" i="3"/>
  <c r="D69" i="3"/>
  <c r="E247" i="2"/>
  <c r="D247" i="2"/>
  <c r="E248" i="2"/>
  <c r="D248" i="2"/>
  <c r="E80" i="2"/>
  <c r="D80" i="2"/>
  <c r="D187" i="2"/>
  <c r="E187" i="2"/>
  <c r="D285" i="2"/>
  <c r="E285" i="2"/>
  <c r="E236" i="2"/>
  <c r="D236" i="2"/>
  <c r="E270" i="2"/>
  <c r="D270" i="2"/>
  <c r="E63" i="2"/>
  <c r="D63" i="2"/>
  <c r="E264" i="2"/>
  <c r="D264" i="2"/>
  <c r="E96" i="2"/>
  <c r="D96" i="2"/>
  <c r="E179" i="2"/>
  <c r="D179" i="2"/>
  <c r="E214" i="2"/>
  <c r="D214" i="2"/>
  <c r="D127" i="2"/>
  <c r="E127" i="2"/>
  <c r="E273" i="2"/>
  <c r="D273" i="2"/>
  <c r="O23" i="1"/>
  <c r="I27" i="9" l="1"/>
  <c r="I39" i="9"/>
  <c r="I40" i="9" s="1"/>
  <c r="I41" i="9"/>
  <c r="L35" i="9" s="1"/>
  <c r="L36" i="9" s="1"/>
  <c r="M36" i="9" s="1"/>
  <c r="I28" i="9"/>
  <c r="O23" i="7"/>
  <c r="M23" i="7"/>
  <c r="L24" i="7"/>
  <c r="L22" i="3"/>
  <c r="M21" i="3"/>
  <c r="M35" i="7"/>
  <c r="O35" i="7"/>
  <c r="L36" i="7"/>
  <c r="M21" i="2"/>
  <c r="L22" i="2"/>
  <c r="L37" i="2"/>
  <c r="M36" i="2"/>
  <c r="O36" i="2"/>
  <c r="N14" i="8"/>
  <c r="I27" i="8"/>
  <c r="I28" i="8"/>
  <c r="I22" i="8"/>
  <c r="I25" i="8"/>
  <c r="I27" i="4"/>
  <c r="I28" i="4"/>
  <c r="L21" i="4" s="1"/>
  <c r="N14" i="4"/>
  <c r="O37" i="3"/>
  <c r="L38" i="3"/>
  <c r="M37" i="3"/>
  <c r="M35" i="2"/>
  <c r="O35" i="2"/>
  <c r="I40" i="8"/>
  <c r="I41" i="8"/>
  <c r="L35" i="8" s="1"/>
  <c r="I23" i="4"/>
  <c r="M22" i="1"/>
  <c r="L23" i="1"/>
  <c r="N15" i="3"/>
  <c r="O15" i="3" s="1"/>
  <c r="O14" i="3"/>
  <c r="O22" i="7"/>
  <c r="M22" i="7"/>
  <c r="N15" i="2"/>
  <c r="O15" i="2" s="1"/>
  <c r="O14" i="2"/>
  <c r="L23" i="3"/>
  <c r="I41" i="4"/>
  <c r="L34" i="4" s="1"/>
  <c r="L22" i="9" l="1"/>
  <c r="M22" i="9" s="1"/>
  <c r="B21" i="10"/>
  <c r="O14" i="9"/>
  <c r="L37" i="9"/>
  <c r="M37" i="9" s="1"/>
  <c r="O36" i="9"/>
  <c r="M35" i="9"/>
  <c r="L23" i="9"/>
  <c r="L38" i="2"/>
  <c r="O37" i="2"/>
  <c r="M37" i="2"/>
  <c r="I24" i="4"/>
  <c r="O38" i="3"/>
  <c r="M38" i="3"/>
  <c r="I23" i="8"/>
  <c r="B21" i="12"/>
  <c r="L22" i="8"/>
  <c r="O22" i="2"/>
  <c r="M22" i="2"/>
  <c r="O22" i="3"/>
  <c r="M22" i="3"/>
  <c r="L23" i="2"/>
  <c r="O23" i="3"/>
  <c r="M23" i="3"/>
  <c r="L24" i="3"/>
  <c r="B7" i="10"/>
  <c r="L36" i="8"/>
  <c r="M35" i="8"/>
  <c r="L37" i="8"/>
  <c r="O14" i="4"/>
  <c r="N15" i="4"/>
  <c r="O15" i="4" s="1"/>
  <c r="O14" i="8"/>
  <c r="N15" i="8"/>
  <c r="O15" i="8" s="1"/>
  <c r="M36" i="7"/>
  <c r="L37" i="7"/>
  <c r="O36" i="7"/>
  <c r="M24" i="7"/>
  <c r="L25" i="7"/>
  <c r="O24" i="7"/>
  <c r="M23" i="1"/>
  <c r="L24" i="1"/>
  <c r="M21" i="4"/>
  <c r="L22" i="4"/>
  <c r="M34" i="4"/>
  <c r="L35" i="4"/>
  <c r="L38" i="9" l="1"/>
  <c r="O37" i="9"/>
  <c r="L24" i="9"/>
  <c r="L25" i="9" s="1"/>
  <c r="O23" i="9"/>
  <c r="O15" i="9"/>
  <c r="B19" i="10"/>
  <c r="M23" i="9"/>
  <c r="O37" i="8"/>
  <c r="M37" i="8"/>
  <c r="L38" i="8"/>
  <c r="M36" i="8"/>
  <c r="O36" i="8"/>
  <c r="M23" i="2"/>
  <c r="O23" i="2"/>
  <c r="L24" i="2"/>
  <c r="L23" i="8"/>
  <c r="M22" i="8"/>
  <c r="L38" i="7"/>
  <c r="M37" i="7"/>
  <c r="O37" i="7"/>
  <c r="O22" i="4"/>
  <c r="M22" i="4"/>
  <c r="B11" i="10"/>
  <c r="B9" i="10"/>
  <c r="M35" i="4"/>
  <c r="O35" i="4"/>
  <c r="L36" i="4"/>
  <c r="O24" i="9"/>
  <c r="B15" i="10"/>
  <c r="B7" i="12"/>
  <c r="I24" i="8"/>
  <c r="B9" i="12" s="1"/>
  <c r="O38" i="2"/>
  <c r="M38" i="2"/>
  <c r="L25" i="1"/>
  <c r="M25" i="1" s="1"/>
  <c r="M24" i="1"/>
  <c r="M25" i="7"/>
  <c r="O25" i="7"/>
  <c r="M24" i="3"/>
  <c r="O24" i="3"/>
  <c r="L25" i="3"/>
  <c r="L23" i="4"/>
  <c r="M38" i="9"/>
  <c r="O38" i="9"/>
  <c r="L39" i="9"/>
  <c r="M24" i="9" l="1"/>
  <c r="O25" i="9"/>
  <c r="M25" i="9"/>
  <c r="L26" i="9"/>
  <c r="B17" i="10"/>
  <c r="O38" i="7"/>
  <c r="M38" i="7"/>
  <c r="O25" i="3"/>
  <c r="M25" i="3"/>
  <c r="O23" i="8"/>
  <c r="M23" i="8"/>
  <c r="L24" i="8"/>
  <c r="L39" i="8"/>
  <c r="M38" i="8"/>
  <c r="O38" i="8"/>
  <c r="O36" i="4"/>
  <c r="L37" i="4"/>
  <c r="M36" i="4"/>
  <c r="O24" i="2"/>
  <c r="L25" i="2"/>
  <c r="M24" i="2"/>
  <c r="M39" i="9"/>
  <c r="O39" i="9"/>
  <c r="M23" i="4"/>
  <c r="O23" i="4"/>
  <c r="L24" i="4"/>
  <c r="O39" i="8" l="1"/>
  <c r="M39" i="8"/>
  <c r="L38" i="4"/>
  <c r="O37" i="4"/>
  <c r="M37" i="4"/>
  <c r="B16" i="10"/>
  <c r="O26" i="9"/>
  <c r="M26" i="9"/>
  <c r="O24" i="8"/>
  <c r="M24" i="8"/>
  <c r="B15" i="12"/>
  <c r="L25" i="8"/>
  <c r="O24" i="4"/>
  <c r="L25" i="4"/>
  <c r="M24" i="4"/>
  <c r="O25" i="2"/>
  <c r="M25" i="2"/>
  <c r="O38" i="4" l="1"/>
  <c r="M38" i="4"/>
  <c r="O25" i="4"/>
  <c r="M25" i="4"/>
  <c r="L26" i="8"/>
  <c r="M25" i="8"/>
  <c r="O25" i="8"/>
  <c r="B17" i="12"/>
  <c r="M26" i="8" l="1"/>
  <c r="B16" i="12"/>
  <c r="O26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Mitchell Passarelli</author>
  </authors>
  <commentList>
    <comment ref="D14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Mitchell Passarelli:</t>
        </r>
        <r>
          <rPr>
            <sz val="9"/>
            <color indexed="81"/>
            <rFont val="Tahoma"/>
            <family val="2"/>
          </rPr>
          <t xml:space="preserve">
Note that these Isp values were calculated using the equation from Ch. 5 of the book.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Mitchell Passarelli</author>
  </authors>
  <commentList>
    <comment ref="D14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Mitchell Passarelli:</t>
        </r>
        <r>
          <rPr>
            <sz val="9"/>
            <color indexed="81"/>
            <rFont val="Tahoma"/>
            <family val="2"/>
          </rPr>
          <t xml:space="preserve">
Note that these Isp values were calculated using the equation from Ch. 5 of the book.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Mitchell Passarelli</author>
  </authors>
  <commentList>
    <comment ref="D14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Mitchell Passarelli:</t>
        </r>
        <r>
          <rPr>
            <sz val="9"/>
            <color indexed="81"/>
            <rFont val="Tahoma"/>
            <family val="2"/>
          </rPr>
          <t xml:space="preserve">
Note that these Isp values were calculated using the equation from Ch. 5 of the book.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Mitchell Passarelli</author>
  </authors>
  <commentList>
    <comment ref="D14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Mitchell Passarelli:</t>
        </r>
        <r>
          <rPr>
            <sz val="9"/>
            <color indexed="81"/>
            <rFont val="Tahoma"/>
            <family val="2"/>
          </rPr>
          <t xml:space="preserve">
Note that these Isp values were calculated using the equation from Ch. 5 of the book.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Mitchell Passarelli</author>
  </authors>
  <commentList>
    <comment ref="D14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Mitchell Passarelli:</t>
        </r>
        <r>
          <rPr>
            <sz val="9"/>
            <color indexed="81"/>
            <rFont val="Tahoma"/>
            <family val="2"/>
          </rPr>
          <t xml:space="preserve">
Note that these Isp values were calculated using the equation from Ch. 5 of the book.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Mitchell Passarelli</author>
  </authors>
  <commentList>
    <comment ref="D13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Mitchell Passarelli:</t>
        </r>
        <r>
          <rPr>
            <sz val="9"/>
            <color indexed="81"/>
            <rFont val="Tahoma"/>
            <family val="2"/>
          </rPr>
          <t xml:space="preserve">
Probably want to use 2/3 apogee rule of thumb for Recordbreaker.</t>
        </r>
      </text>
    </comment>
    <comment ref="D14" authorId="0" shapeId="0" xr:uid="{00000000-0006-0000-0500-000002000000}">
      <text>
        <r>
          <rPr>
            <b/>
            <sz val="9"/>
            <color indexed="81"/>
            <rFont val="Tahoma"/>
            <family val="2"/>
          </rPr>
          <t>Mitchell Passarelli:</t>
        </r>
        <r>
          <rPr>
            <sz val="9"/>
            <color indexed="81"/>
            <rFont val="Tahoma"/>
            <family val="2"/>
          </rPr>
          <t xml:space="preserve">
Note that these Isp values were calculated using the equation from Ch. 5 of the book.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Mitchell Passarelli</author>
  </authors>
  <commentList>
    <comment ref="D14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Mitchell Passarelli:</t>
        </r>
        <r>
          <rPr>
            <sz val="9"/>
            <color indexed="81"/>
            <rFont val="Tahoma"/>
            <family val="2"/>
          </rPr>
          <t xml:space="preserve">
Note that these Isp values were calculated using the equation from Ch. 5 of the book.</t>
        </r>
      </text>
    </comment>
  </commentList>
</comments>
</file>

<file path=xl/sharedStrings.xml><?xml version="1.0" encoding="utf-8"?>
<sst xmlns="http://schemas.openxmlformats.org/spreadsheetml/2006/main" count="755" uniqueCount="140">
  <si>
    <t>h (m)</t>
  </si>
  <si>
    <t>Δv (m/s)</t>
  </si>
  <si>
    <t>OF</t>
  </si>
  <si>
    <r>
      <t>P</t>
    </r>
    <r>
      <rPr>
        <vertAlign val="subscript"/>
        <sz val="11"/>
        <color theme="1"/>
        <rFont val="Calibri"/>
        <family val="2"/>
        <scheme val="minor"/>
      </rPr>
      <t>cc</t>
    </r>
    <r>
      <rPr>
        <sz val="11"/>
        <color theme="1"/>
        <rFont val="Calibri"/>
        <family val="2"/>
        <scheme val="minor"/>
      </rPr>
      <t xml:space="preserve"> (kPa)</t>
    </r>
  </si>
  <si>
    <r>
      <t>h</t>
    </r>
    <r>
      <rPr>
        <vertAlign val="subscript"/>
        <sz val="11"/>
        <color theme="1"/>
        <rFont val="Calibri"/>
        <family val="2"/>
        <scheme val="minor"/>
      </rPr>
      <t>launch</t>
    </r>
    <r>
      <rPr>
        <sz val="11"/>
        <color theme="1"/>
        <rFont val="Calibri"/>
        <family val="2"/>
        <scheme val="minor"/>
      </rPr>
      <t xml:space="preserve"> (m)</t>
    </r>
  </si>
  <si>
    <t>F/W</t>
  </si>
  <si>
    <r>
      <t>P</t>
    </r>
    <r>
      <rPr>
        <vertAlign val="subscript"/>
        <sz val="11"/>
        <color theme="1"/>
        <rFont val="Calibri"/>
        <family val="2"/>
        <scheme val="minor"/>
      </rPr>
      <t>a,i</t>
    </r>
    <r>
      <rPr>
        <sz val="11"/>
        <color theme="1"/>
        <rFont val="Calibri"/>
        <family val="2"/>
        <scheme val="minor"/>
      </rPr>
      <t xml:space="preserve"> (kPa)</t>
    </r>
  </si>
  <si>
    <t>This is the ambient P at launch altitude.</t>
  </si>
  <si>
    <r>
      <rPr>
        <sz val="11"/>
        <color theme="1"/>
        <rFont val="Calibri"/>
        <family val="2"/>
      </rPr>
      <t>η</t>
    </r>
    <r>
      <rPr>
        <vertAlign val="subscript"/>
        <sz val="11"/>
        <color theme="1"/>
        <rFont val="Calibri"/>
        <family val="2"/>
      </rPr>
      <t>c*</t>
    </r>
  </si>
  <si>
    <r>
      <t>P</t>
    </r>
    <r>
      <rPr>
        <vertAlign val="subscript"/>
        <sz val="11"/>
        <color theme="1"/>
        <rFont val="Calibri"/>
        <family val="2"/>
      </rPr>
      <t>a</t>
    </r>
    <r>
      <rPr>
        <sz val="11"/>
        <color theme="1"/>
        <rFont val="Calibri"/>
        <family val="2"/>
      </rPr>
      <t xml:space="preserve"> (kPa)</t>
    </r>
  </si>
  <si>
    <t>This is ambient P at 2/3 apogee.</t>
  </si>
  <si>
    <t>λ</t>
  </si>
  <si>
    <r>
      <t>f</t>
    </r>
    <r>
      <rPr>
        <vertAlign val="subscript"/>
        <sz val="11"/>
        <color theme="1"/>
        <rFont val="Calibri"/>
        <family val="2"/>
      </rPr>
      <t>inert</t>
    </r>
    <r>
      <rPr>
        <sz val="11"/>
        <color theme="1"/>
        <rFont val="Calibri"/>
        <family val="2"/>
      </rPr>
      <t xml:space="preserve"> (DAQ)</t>
    </r>
  </si>
  <si>
    <t>γ</t>
  </si>
  <si>
    <t>E244</t>
  </si>
  <si>
    <t>MW (g/mol)</t>
  </si>
  <si>
    <t>R (J/kg*K)</t>
  </si>
  <si>
    <r>
      <t>T</t>
    </r>
    <r>
      <rPr>
        <vertAlign val="subscript"/>
        <sz val="11"/>
        <color theme="1"/>
        <rFont val="Calibri"/>
        <family val="2"/>
      </rPr>
      <t>cc</t>
    </r>
    <r>
      <rPr>
        <sz val="11"/>
        <color theme="1"/>
        <rFont val="Calibri"/>
        <family val="2"/>
      </rPr>
      <t xml:space="preserve"> = T</t>
    </r>
    <r>
      <rPr>
        <vertAlign val="subscript"/>
        <sz val="11"/>
        <color theme="1"/>
        <rFont val="Calibri"/>
        <family val="2"/>
      </rPr>
      <t>f</t>
    </r>
    <r>
      <rPr>
        <sz val="11"/>
        <color theme="1"/>
        <rFont val="Calibri"/>
        <family val="2"/>
      </rPr>
      <t xml:space="preserve"> (K)</t>
    </r>
  </si>
  <si>
    <t>c* (m/s)</t>
  </si>
  <si>
    <t>Ox Tank P:</t>
  </si>
  <si>
    <t>(psi)</t>
  </si>
  <si>
    <t>Nozzle:</t>
  </si>
  <si>
    <t>Average</t>
  </si>
  <si>
    <t>Initial</t>
  </si>
  <si>
    <r>
      <rPr>
        <sz val="11"/>
        <color theme="1"/>
        <rFont val="Calibri"/>
        <family val="2"/>
      </rPr>
      <t>ΔP</t>
    </r>
    <r>
      <rPr>
        <vertAlign val="subscript"/>
        <sz val="11"/>
        <color theme="1"/>
        <rFont val="Calibri"/>
        <family val="2"/>
      </rPr>
      <t>inj</t>
    </r>
    <r>
      <rPr>
        <sz val="11"/>
        <color theme="1"/>
        <rFont val="Calibri"/>
        <family val="2"/>
      </rPr>
      <t xml:space="preserve"> (kPa)</t>
    </r>
  </si>
  <si>
    <r>
      <t>A</t>
    </r>
    <r>
      <rPr>
        <vertAlign val="subscript"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 xml:space="preserve"> (m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</si>
  <si>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r>
      <t>P</t>
    </r>
    <r>
      <rPr>
        <vertAlign val="subscript"/>
        <sz val="11"/>
        <color theme="1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 xml:space="preserve"> (kPa)</t>
    </r>
  </si>
  <si>
    <r>
      <t>M</t>
    </r>
    <r>
      <rPr>
        <vertAlign val="subscript"/>
        <sz val="11"/>
        <color theme="1"/>
        <rFont val="Calibri"/>
        <family val="2"/>
        <scheme val="minor"/>
      </rPr>
      <t>e</t>
    </r>
  </si>
  <si>
    <t>ε</t>
  </si>
  <si>
    <r>
      <t>I</t>
    </r>
    <r>
      <rPr>
        <vertAlign val="subscript"/>
        <sz val="11"/>
        <color theme="1"/>
        <rFont val="Calibri"/>
        <family val="2"/>
      </rPr>
      <t>sp</t>
    </r>
    <r>
      <rPr>
        <sz val="11"/>
        <color theme="1"/>
        <rFont val="Calibri"/>
        <family val="2"/>
      </rPr>
      <t xml:space="preserve"> (s)</t>
    </r>
  </si>
  <si>
    <r>
      <t>ΔP</t>
    </r>
    <r>
      <rPr>
        <vertAlign val="subscript"/>
        <sz val="11"/>
        <color theme="1"/>
        <rFont val="Calibri"/>
        <family val="2"/>
      </rPr>
      <t>feed</t>
    </r>
    <r>
      <rPr>
        <sz val="11"/>
        <color theme="1"/>
        <rFont val="Calibri"/>
        <family val="2"/>
      </rPr>
      <t xml:space="preserve"> (kPa)</t>
    </r>
  </si>
  <si>
    <t>Negligible because of design.</t>
  </si>
  <si>
    <r>
      <t>A</t>
    </r>
    <r>
      <rPr>
        <vertAlign val="subscript"/>
        <sz val="11"/>
        <color theme="1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 xml:space="preserve"> (m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</si>
  <si>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r>
      <rPr>
        <sz val="11"/>
        <color theme="1"/>
        <rFont val="Calibri"/>
        <family val="2"/>
      </rPr>
      <t>ΔP</t>
    </r>
    <r>
      <rPr>
        <vertAlign val="subscript"/>
        <sz val="11"/>
        <color theme="1"/>
        <rFont val="Calibri"/>
        <family val="2"/>
      </rPr>
      <t>dyn</t>
    </r>
    <r>
      <rPr>
        <sz val="11"/>
        <color theme="1"/>
        <rFont val="Calibri"/>
        <family val="2"/>
      </rPr>
      <t xml:space="preserve"> (kPa)</t>
    </r>
  </si>
  <si>
    <t>I think we can neglect this one too.</t>
  </si>
  <si>
    <t>See Ch. 5 for bell nozzle design.</t>
  </si>
  <si>
    <r>
      <t>P</t>
    </r>
    <r>
      <rPr>
        <vertAlign val="subscript"/>
        <sz val="11"/>
        <color theme="1"/>
        <rFont val="Calibri"/>
        <family val="2"/>
      </rPr>
      <t>tank</t>
    </r>
    <r>
      <rPr>
        <sz val="11"/>
        <color theme="1"/>
        <rFont val="Calibri"/>
        <family val="2"/>
      </rPr>
      <t xml:space="preserve"> (kPa)</t>
    </r>
  </si>
  <si>
    <t>Propellant &amp; Flow Rates:</t>
  </si>
  <si>
    <t>Fuel Grain:</t>
  </si>
  <si>
    <r>
      <t>m</t>
    </r>
    <r>
      <rPr>
        <vertAlign val="subscript"/>
        <sz val="11"/>
        <color theme="1"/>
        <rFont val="Calibri"/>
        <family val="2"/>
        <scheme val="minor"/>
      </rPr>
      <t>f</t>
    </r>
    <r>
      <rPr>
        <sz val="11"/>
        <color theme="1"/>
        <rFont val="Calibri"/>
        <family val="2"/>
        <scheme val="minor"/>
      </rPr>
      <t xml:space="preserve"> (kg)</t>
    </r>
  </si>
  <si>
    <r>
      <t>Initial Ox Flux (kg/m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·s)</t>
    </r>
  </si>
  <si>
    <t>This can be between 350-700, see blow-off marker in text. It is also entirely a design decision.</t>
  </si>
  <si>
    <r>
      <t>m</t>
    </r>
    <r>
      <rPr>
        <vertAlign val="subscript"/>
        <sz val="11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 xml:space="preserve"> (kg)</t>
    </r>
  </si>
  <si>
    <r>
      <t>Initial Port Area (m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</si>
  <si>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t>(cm^2)</t>
  </si>
  <si>
    <r>
      <t>m</t>
    </r>
    <r>
      <rPr>
        <vertAlign val="subscript"/>
        <sz val="11"/>
        <color theme="1"/>
        <rFont val="Calibri"/>
        <family val="2"/>
        <scheme val="minor"/>
      </rPr>
      <t>prop</t>
    </r>
    <r>
      <rPr>
        <sz val="11"/>
        <color theme="1"/>
        <rFont val="Calibri"/>
        <family val="2"/>
        <scheme val="minor"/>
      </rPr>
      <t xml:space="preserve"> (kg)</t>
    </r>
  </si>
  <si>
    <t>Initial Port Diameter (m)</t>
  </si>
  <si>
    <t>(cm)</t>
  </si>
  <si>
    <r>
      <t>m</t>
    </r>
    <r>
      <rPr>
        <vertAlign val="subscript"/>
        <sz val="11"/>
        <color theme="1"/>
        <rFont val="Calibri"/>
        <family val="2"/>
        <scheme val="minor"/>
      </rPr>
      <t>fuel</t>
    </r>
    <r>
      <rPr>
        <sz val="11"/>
        <color theme="1"/>
        <rFont val="Calibri"/>
        <family val="2"/>
        <scheme val="minor"/>
      </rPr>
      <t xml:space="preserve"> (kg)</t>
    </r>
  </si>
  <si>
    <t>Port Length (m)</t>
  </si>
  <si>
    <t>Using m = 2 for the length exponent.</t>
  </si>
  <si>
    <r>
      <t>m</t>
    </r>
    <r>
      <rPr>
        <vertAlign val="subscript"/>
        <sz val="11"/>
        <color theme="1"/>
        <rFont val="Calibri"/>
        <family val="2"/>
        <scheme val="minor"/>
      </rPr>
      <t>ox</t>
    </r>
    <r>
      <rPr>
        <sz val="11"/>
        <color theme="1"/>
        <rFont val="Calibri"/>
        <family val="2"/>
        <scheme val="minor"/>
      </rPr>
      <t xml:space="preserve"> (kg)</t>
    </r>
  </si>
  <si>
    <t>Final Diameter (m)</t>
  </si>
  <si>
    <r>
      <t>f</t>
    </r>
    <r>
      <rPr>
        <vertAlign val="subscript"/>
        <sz val="11"/>
        <color theme="1"/>
        <rFont val="Calibri"/>
        <family val="2"/>
        <scheme val="minor"/>
      </rPr>
      <t>inert</t>
    </r>
  </si>
  <si>
    <t>Web Thickness, w (m)</t>
  </si>
  <si>
    <r>
      <t>m</t>
    </r>
    <r>
      <rPr>
        <sz val="11"/>
        <color theme="1"/>
        <rFont val="Calibri"/>
        <family val="2"/>
      </rPr>
      <t>̇</t>
    </r>
    <r>
      <rPr>
        <vertAlign val="subscript"/>
        <sz val="11"/>
        <color theme="1"/>
        <rFont val="Calibri"/>
        <family val="2"/>
      </rPr>
      <t>prop</t>
    </r>
    <r>
      <rPr>
        <sz val="11"/>
        <color theme="1"/>
        <rFont val="Calibri"/>
        <family val="2"/>
      </rPr>
      <t xml:space="preserve"> (kg/s)</t>
    </r>
  </si>
  <si>
    <t>I need to look over this with Thomas.</t>
  </si>
  <si>
    <r>
      <t>m</t>
    </r>
    <r>
      <rPr>
        <sz val="11"/>
        <color theme="1"/>
        <rFont val="Calibri"/>
        <family val="2"/>
      </rPr>
      <t>̇</t>
    </r>
    <r>
      <rPr>
        <vertAlign val="subscript"/>
        <sz val="11"/>
        <color theme="1"/>
        <rFont val="Calibri"/>
        <family val="2"/>
      </rPr>
      <t>fuel</t>
    </r>
    <r>
      <rPr>
        <sz val="11"/>
        <color theme="1"/>
        <rFont val="Calibri"/>
        <family val="2"/>
      </rPr>
      <t xml:space="preserve"> (kg/s)</t>
    </r>
  </si>
  <si>
    <r>
      <t>m</t>
    </r>
    <r>
      <rPr>
        <sz val="11"/>
        <color theme="1"/>
        <rFont val="Calibri"/>
        <family val="2"/>
      </rPr>
      <t>̇</t>
    </r>
    <r>
      <rPr>
        <vertAlign val="subscript"/>
        <sz val="11"/>
        <color theme="1"/>
        <rFont val="Calibri"/>
        <family val="2"/>
      </rPr>
      <t>ox</t>
    </r>
    <r>
      <rPr>
        <sz val="11"/>
        <color theme="1"/>
        <rFont val="Calibri"/>
        <family val="2"/>
      </rPr>
      <t xml:space="preserve"> (kg/s)</t>
    </r>
  </si>
  <si>
    <t>http://spase.stanford.edu/Self-Pressurizing_Propellant_Dynamics_files/Waxman%20et%20al.%20-%202010%20-%20Paraffin%20and%20Nitrous%20Oxide%20Hybrid%20Rocket%20as%20a%20Mars%20Ascent%20Vehicle%20Demonstrator.pdf</t>
  </si>
  <si>
    <t>Above is another reference design.</t>
  </si>
  <si>
    <t>This is exit P = P at 2/3 apogee.</t>
  </si>
  <si>
    <t>This is exit P = P at launch altitude.</t>
  </si>
  <si>
    <t>See Humble Ch. 5 for bell nozzle design.</t>
  </si>
  <si>
    <t>Diameter (m)</t>
  </si>
  <si>
    <t>Equation for c* assumes choked flow.</t>
  </si>
  <si>
    <r>
      <t xml:space="preserve">Eq. for </t>
    </r>
    <r>
      <rPr>
        <sz val="11"/>
        <color theme="1"/>
        <rFont val="Calibri"/>
        <family val="2"/>
      </rPr>
      <t>ε changes exit A to force choked flow.</t>
    </r>
  </si>
  <si>
    <t>(in.)</t>
  </si>
  <si>
    <t>Using m = 0 for the length exponent.</t>
  </si>
  <si>
    <t>Characteristic Post Combustor Length, L*</t>
  </si>
  <si>
    <t>Any divisions by 1 are the number of ports.</t>
  </si>
  <si>
    <t>For any mass of ox:</t>
  </si>
  <si>
    <t>This assumes 50% losses (due to drag, primarily).</t>
  </si>
  <si>
    <t>Isp</t>
  </si>
  <si>
    <r>
      <t>I can use Goal Seek on G</t>
    </r>
    <r>
      <rPr>
        <vertAlign val="subscript"/>
        <sz val="11"/>
        <color rgb="FF006100"/>
        <rFont val="Calibri"/>
        <family val="2"/>
        <scheme val="minor"/>
      </rPr>
      <t>ox</t>
    </r>
    <r>
      <rPr>
        <sz val="11"/>
        <color rgb="FF006100"/>
        <rFont val="Calibri"/>
        <family val="2"/>
        <scheme val="minor"/>
      </rPr>
      <t xml:space="preserve"> to find the G for a desired initial port diameter, length, etc.</t>
    </r>
  </si>
  <si>
    <t>For any mass of ox/fuel:</t>
  </si>
  <si>
    <t>I used Goal Seek to get the value below (searched for initial diameter = 3").</t>
  </si>
  <si>
    <t>This is for Spaceport America.</t>
  </si>
  <si>
    <t>F (N)</t>
  </si>
  <si>
    <t>Need to make this second P as 2/3 burnout altitude.</t>
  </si>
  <si>
    <t>This is optimal at 2/3 burnout.</t>
  </si>
  <si>
    <r>
      <t>Δv</t>
    </r>
    <r>
      <rPr>
        <vertAlign val="subscript"/>
        <sz val="11"/>
        <color theme="1"/>
        <rFont val="Calibri"/>
        <family val="2"/>
        <scheme val="minor"/>
      </rPr>
      <t>D</t>
    </r>
    <r>
      <rPr>
        <sz val="11"/>
        <color theme="1"/>
        <rFont val="Calibri"/>
        <family val="2"/>
        <scheme val="minor"/>
      </rPr>
      <t xml:space="preserve"> (m/s)</t>
    </r>
  </si>
  <si>
    <r>
      <t>h</t>
    </r>
    <r>
      <rPr>
        <vertAlign val="subscript"/>
        <sz val="11"/>
        <color theme="1"/>
        <rFont val="Calibri"/>
        <family val="2"/>
        <scheme val="minor"/>
      </rPr>
      <t>burnout</t>
    </r>
    <r>
      <rPr>
        <sz val="11"/>
        <color theme="1"/>
        <rFont val="Calibri"/>
        <family val="2"/>
        <scheme val="minor"/>
      </rPr>
      <t xml:space="preserve"> (m)</t>
    </r>
  </si>
  <si>
    <t>This is ambient P at 2/3 burnout.</t>
  </si>
  <si>
    <t>Actual Nozzle Diameters (m)</t>
  </si>
  <si>
    <t>Throat</t>
  </si>
  <si>
    <t>Exit</t>
  </si>
  <si>
    <t>(from Emerson's design doc.)</t>
  </si>
  <si>
    <t># Ports</t>
  </si>
  <si>
    <t>should be 0.0889</t>
  </si>
  <si>
    <t>This is exit P = P at 2/3 burnout.</t>
  </si>
  <si>
    <t>Length of the Rocket</t>
  </si>
  <si>
    <t>iterations</t>
  </si>
  <si>
    <t>dt</t>
  </si>
  <si>
    <t>a_launch</t>
  </si>
  <si>
    <t>P_a</t>
  </si>
  <si>
    <t>T_a</t>
  </si>
  <si>
    <t>m_f</t>
  </si>
  <si>
    <t>m_fuel</t>
  </si>
  <si>
    <t>rho_fuel</t>
  </si>
  <si>
    <t>m_ox</t>
  </si>
  <si>
    <t>V_tank</t>
  </si>
  <si>
    <t>m_tank</t>
  </si>
  <si>
    <t>a0</t>
  </si>
  <si>
    <t>n_reg</t>
  </si>
  <si>
    <t>num_ports</t>
  </si>
  <si>
    <t>L</t>
  </si>
  <si>
    <t>w</t>
  </si>
  <si>
    <t>r_f_outer</t>
  </si>
  <si>
    <t>A_t</t>
  </si>
  <si>
    <t>A_e</t>
  </si>
  <si>
    <t>Nose Diameter D</t>
  </si>
  <si>
    <t>A_Injector</t>
  </si>
  <si>
    <t>Cd_injector</t>
  </si>
  <si>
    <t>combustion efficiency</t>
  </si>
  <si>
    <t>nozzle efficiency</t>
  </si>
  <si>
    <t>Rocket Length</t>
  </si>
  <si>
    <r>
      <t>I</t>
    </r>
    <r>
      <rPr>
        <vertAlign val="subscript"/>
        <sz val="11"/>
        <color theme="1"/>
        <rFont val="Calibri"/>
        <family val="2"/>
        <scheme val="minor"/>
      </rPr>
      <t>sp</t>
    </r>
  </si>
  <si>
    <t>(s)</t>
  </si>
  <si>
    <r>
      <t>(</t>
    </r>
    <r>
      <rPr>
        <sz val="11"/>
        <color theme="1"/>
        <rFont val="Calibri"/>
        <family val="2"/>
      </rPr>
      <t>°</t>
    </r>
    <r>
      <rPr>
        <sz val="11"/>
        <color theme="1"/>
        <rFont val="Calibri"/>
        <family val="2"/>
        <scheme val="minor"/>
      </rPr>
      <t>)</t>
    </r>
  </si>
  <si>
    <t>(Pa)</t>
  </si>
  <si>
    <t>(K)</t>
  </si>
  <si>
    <t>(kg)</t>
  </si>
  <si>
    <t>(kg/m3)</t>
  </si>
  <si>
    <r>
      <t>(m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)</t>
    </r>
  </si>
  <si>
    <r>
      <t>(m</t>
    </r>
    <r>
      <rPr>
        <sz val="11"/>
        <color theme="1"/>
        <rFont val="Calibri"/>
        <family val="2"/>
        <scheme val="minor"/>
      </rPr>
      <t>)</t>
    </r>
  </si>
  <si>
    <r>
      <t>(m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</si>
  <si>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t>(m)</t>
  </si>
  <si>
    <t>Desired simulation timestep</t>
  </si>
  <si>
    <t xml:space="preserve">Launch angle with respect to the vertical </t>
  </si>
  <si>
    <t>Changes depending on desired Ox Tank Pressure</t>
  </si>
  <si>
    <t xml:space="preserve">Must be greater than 0.0113 </t>
  </si>
  <si>
    <r>
      <t xml:space="preserve">This is a representative injector area to force our desired mass flow rate. </t>
    </r>
    <r>
      <rPr>
        <b/>
        <i/>
        <u/>
        <sz val="11"/>
        <color rgb="FF7F7F7F"/>
        <rFont val="Calibri"/>
        <family val="2"/>
        <scheme val="minor"/>
      </rPr>
      <t>Do not use for actual design</t>
    </r>
    <r>
      <rPr>
        <i/>
        <sz val="11"/>
        <color rgb="FF7F7F7F"/>
        <rFont val="Calibri"/>
        <family val="2"/>
        <scheme val="minor"/>
      </rPr>
      <t>!</t>
    </r>
  </si>
  <si>
    <t>Altitude above sea level of Spaceport America</t>
  </si>
  <si>
    <t>launch altitude</t>
  </si>
  <si>
    <t>NPS</t>
  </si>
  <si>
    <r>
      <t>P</t>
    </r>
    <r>
      <rPr>
        <vertAlign val="subscript"/>
        <sz val="11"/>
        <color theme="1"/>
        <rFont val="Calibri"/>
        <family val="2"/>
        <scheme val="minor"/>
      </rPr>
      <t>ox</t>
    </r>
    <r>
      <rPr>
        <sz val="11"/>
        <color theme="1"/>
        <rFont val="Calibri"/>
        <family val="2"/>
        <scheme val="minor"/>
      </rPr>
      <t xml:space="preserve"> </t>
    </r>
  </si>
  <si>
    <r>
      <t>P</t>
    </r>
    <r>
      <rPr>
        <vertAlign val="subscript"/>
        <sz val="11"/>
        <color theme="1"/>
        <rFont val="Calibri"/>
        <family val="2"/>
        <scheme val="minor"/>
      </rPr>
      <t>cc</t>
    </r>
    <r>
      <rPr>
        <sz val="11"/>
        <color theme="1"/>
        <rFont val="Calibri"/>
        <family val="2"/>
        <scheme val="minor"/>
      </rPr>
      <t xml:space="preserve"> </t>
    </r>
  </si>
  <si>
    <t xml:space="preserve">NPS Pipe </t>
  </si>
  <si>
    <t>D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</si>
</sst>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43" formatCode="_-* #,##0.00_-;\-* #,##0.00_-;_-* &quot;-&quot;??_-;_-@_-"/>
    <numFmt numFmtId="164" formatCode="0.000"/>
    <numFmt numFmtId="165" formatCode="0.0000"/>
    <numFmt numFmtId="166" formatCode="0.00000"/>
    <numFmt numFmtId="167" formatCode="0.000000"/>
    <numFmt numFmtId="168" formatCode="0.0000000"/>
  </numFmts>
  <fonts count="19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vertAlign val="subscript"/>
      <sz val="11"/>
      <color theme="1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i/>
      <u/>
      <sz val="11"/>
      <color rgb="FF7F7F7F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11">
    <xf numFmtId="0" fontId="0" fillId="0" borderId="0"/>
    <xf numFmtId="0" fontId="1" fillId="2" borderId="0" applyNumberFormat="0" applyBorder="0" applyAlignment="0" applyProtection="0"/>
    <xf numFmtId="0" fontId="2" fillId="0" borderId="0" applyNumberFormat="0" applyFill="0" applyBorder="0" applyAlignment="0" applyProtection="0"/>
    <xf numFmtId="43" fontId="8" fillId="0" borderId="0" applyFont="0" applyFill="0" applyBorder="0" applyAlignment="0" applyProtection="0"/>
    <xf numFmtId="0" fontId="9" fillId="3" borderId="0" applyNumberFormat="0" applyBorder="0" applyAlignment="0" applyProtection="0"/>
    <xf numFmtId="0" fontId="8" fillId="4" borderId="1" applyNumberFormat="0" applyFont="0" applyAlignment="0" applyProtection="0"/>
    <xf numFmtId="0" fontId="10" fillId="5" borderId="0" applyNumberFormat="0" applyBorder="0" applyAlignment="0" applyProtection="0"/>
    <xf numFmtId="0" fontId="11" fillId="6" borderId="2" applyNumberFormat="0" applyAlignment="0" applyProtection="0"/>
    <xf numFmtId="0" fontId="12" fillId="7" borderId="3" applyNumberFormat="0" applyAlignment="0" applyProtection="0"/>
    <xf numFmtId="0" fontId="16" fillId="7" borderId="2" applyNumberFormat="0" applyAlignment="0" applyProtection="0"/>
    <xf numFmtId="0" fontId="17" fillId="8" borderId="4" applyNumberFormat="0" applyAlignment="0" applyProtection="0"/>
  </cellStyleXfs>
  <cellXfs count="35">
    <xf numFmtId="0" fontId="0" fillId="0" borderId="0" xfId="0"/>
    <xf numFmtId="0" fontId="4" fillId="0" borderId="0" xfId="0" applyFont="1"/>
    <xf numFmtId="0" fontId="2" fillId="0" borderId="0" xfId="2"/>
    <xf numFmtId="0" fontId="1" fillId="2" borderId="0" xfId="1"/>
    <xf numFmtId="2" fontId="0" fillId="0" borderId="0" xfId="0" applyNumberFormat="1"/>
    <xf numFmtId="2" fontId="1" fillId="2" borderId="0" xfId="1" applyNumberFormat="1"/>
    <xf numFmtId="43" fontId="0" fillId="0" borderId="0" xfId="3" applyFont="1"/>
    <xf numFmtId="164" fontId="0" fillId="0" borderId="0" xfId="0" applyNumberFormat="1"/>
    <xf numFmtId="165" fontId="0" fillId="0" borderId="0" xfId="0" applyNumberFormat="1"/>
    <xf numFmtId="0" fontId="9" fillId="3" borderId="0" xfId="4"/>
    <xf numFmtId="0" fontId="0" fillId="4" borderId="1" xfId="5" applyFont="1"/>
    <xf numFmtId="2" fontId="10" fillId="5" borderId="0" xfId="6" applyNumberFormat="1"/>
    <xf numFmtId="0" fontId="11" fillId="6" borderId="2" xfId="7"/>
    <xf numFmtId="2" fontId="11" fillId="6" borderId="2" xfId="7" applyNumberFormat="1"/>
    <xf numFmtId="164" fontId="12" fillId="7" borderId="3" xfId="8" applyNumberFormat="1"/>
    <xf numFmtId="2" fontId="12" fillId="7" borderId="3" xfId="8" applyNumberFormat="1"/>
    <xf numFmtId="166" fontId="12" fillId="7" borderId="3" xfId="8" applyNumberFormat="1"/>
    <xf numFmtId="165" fontId="12" fillId="7" borderId="3" xfId="8" applyNumberFormat="1"/>
    <xf numFmtId="165" fontId="11" fillId="6" borderId="2" xfId="7" applyNumberFormat="1"/>
    <xf numFmtId="2" fontId="0" fillId="0" borderId="0" xfId="0" applyNumberFormat="1" applyFill="1" applyBorder="1"/>
    <xf numFmtId="167" fontId="0" fillId="0" borderId="0" xfId="0" applyNumberFormat="1"/>
    <xf numFmtId="0" fontId="14" fillId="0" borderId="0" xfId="0" applyFont="1"/>
    <xf numFmtId="164" fontId="11" fillId="6" borderId="2" xfId="7" applyNumberFormat="1"/>
    <xf numFmtId="164" fontId="16" fillId="7" borderId="2" xfId="9" applyNumberFormat="1"/>
    <xf numFmtId="165" fontId="17" fillId="8" borderId="4" xfId="10" applyNumberFormat="1"/>
    <xf numFmtId="0" fontId="0" fillId="0" borderId="0" xfId="0"/>
    <xf numFmtId="0" fontId="0" fillId="0" borderId="0" xfId="0" applyNumberFormat="1"/>
    <xf numFmtId="11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2" fillId="7" borderId="3" xfId="8"/>
    <xf numFmtId="0" fontId="0" fillId="9" borderId="0" xfId="0" applyFill="1"/>
    <xf numFmtId="0" fontId="4" fillId="9" borderId="0" xfId="0" applyFont="1" applyFill="1"/>
    <xf numFmtId="168" fontId="0" fillId="0" borderId="0" xfId="0" applyNumberFormat="1"/>
    <xf numFmtId="1" fontId="11" fillId="6" borderId="2" xfId="7" applyNumberFormat="1"/>
  </cellXfs>
  <cellStyles count="11">
    <cellStyle name="Bad" xfId="4" builtinId="27"/>
    <cellStyle name="Calculation" xfId="9" builtinId="22"/>
    <cellStyle name="Check Cell" xfId="10" builtinId="23"/>
    <cellStyle name="Comma" xfId="3" builtinId="3"/>
    <cellStyle name="Explanatory Text" xfId="2" builtinId="53"/>
    <cellStyle name="Good" xfId="1" builtinId="26"/>
    <cellStyle name="Input" xfId="7" builtinId="20"/>
    <cellStyle name="Neutral" xfId="6" builtinId="28"/>
    <cellStyle name="Normal" xfId="0" builtinId="0"/>
    <cellStyle name="Note" xfId="5" builtinId="10"/>
    <cellStyle name="Output" xfId="8" builtinId="2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OF5.4!$C$15:$C$318</c:f>
              <c:numCache>
                <c:formatCode>0.00</c:formatCode>
                <c:ptCount val="304"/>
                <c:pt idx="0">
                  <c:v>10.409493444728808</c:v>
                </c:pt>
                <c:pt idx="1">
                  <c:v>10.342772365307727</c:v>
                </c:pt>
                <c:pt idx="2">
                  <c:v>10.277049891099866</c:v>
                </c:pt>
                <c:pt idx="3">
                  <c:v>10.21230290209227</c:v>
                </c:pt>
                <c:pt idx="4">
                  <c:v>10.148508999391336</c:v>
                </c:pt>
                <c:pt idx="5">
                  <c:v>10.085646477034452</c:v>
                </c:pt>
                <c:pt idx="6">
                  <c:v>10.023694295122839</c:v>
                </c:pt>
                <c:pt idx="7">
                  <c:v>9.9626320542027518</c:v>
                </c:pt>
                <c:pt idx="8">
                  <c:v>9.9024399708284783</c:v>
                </c:pt>
                <c:pt idx="9">
                  <c:v>9.843098854242962</c:v>
                </c:pt>
                <c:pt idx="10">
                  <c:v>9.7845900841169726</c:v>
                </c:pt>
                <c:pt idx="11">
                  <c:v>9.7268955892908728</c:v>
                </c:pt>
                <c:pt idx="12">
                  <c:v>9.6699978274663518</c:v>
                </c:pt>
                <c:pt idx="13">
                  <c:v>9.6138797657989787</c:v>
                </c:pt>
                <c:pt idx="14">
                  <c:v>9.5585248623445995</c:v>
                </c:pt>
                <c:pt idx="15">
                  <c:v>9.5039170483164437</c:v>
                </c:pt>
                <c:pt idx="16">
                  <c:v>9.4500407111113311</c:v>
                </c:pt>
                <c:pt idx="17">
                  <c:v>9.3968806780662</c:v>
                </c:pt>
                <c:pt idx="18">
                  <c:v>9.3444222009086602</c:v>
                </c:pt>
                <c:pt idx="19">
                  <c:v>9.2926509408667339</c:v>
                </c:pt>
                <c:pt idx="20">
                  <c:v>9.241552954405444</c:v>
                </c:pt>
                <c:pt idx="21">
                  <c:v>9.1911146795594636</c:v>
                </c:pt>
                <c:pt idx="22">
                  <c:v>9.1413229228328632</c:v>
                </c:pt>
                <c:pt idx="23">
                  <c:v>9.092164846638596</c:v>
                </c:pt>
                <c:pt idx="24">
                  <c:v>9.0436279572516671</c:v>
                </c:pt>
                <c:pt idx="25">
                  <c:v>8.9957000932517648</c:v>
                </c:pt>
                <c:pt idx="26">
                  <c:v>8.9483694144320367</c:v>
                </c:pt>
                <c:pt idx="27">
                  <c:v>8.9016243911520707</c:v>
                </c:pt>
                <c:pt idx="28">
                  <c:v>8.8554537941146485</c:v>
                </c:pt>
                <c:pt idx="29">
                  <c:v>8.8098466845463062</c:v>
                </c:pt>
                <c:pt idx="30">
                  <c:v>8.7647924047631793</c:v>
                </c:pt>
                <c:pt idx="31">
                  <c:v>8.7202805691048635</c:v>
                </c:pt>
                <c:pt idx="32">
                  <c:v>8.6763010552190121</c:v>
                </c:pt>
                <c:pt idx="33">
                  <c:v>8.6328439956813963</c:v>
                </c:pt>
                <c:pt idx="34">
                  <c:v>8.58989976993605</c:v>
                </c:pt>
                <c:pt idx="35">
                  <c:v>8.5474589965413781</c:v>
                </c:pt>
                <c:pt idx="36">
                  <c:v>8.505512525708685</c:v>
                </c:pt>
                <c:pt idx="37">
                  <c:v>8.4640514321203</c:v>
                </c:pt>
                <c:pt idx="38">
                  <c:v>8.4230670080150958</c:v>
                </c:pt>
                <c:pt idx="39">
                  <c:v>8.3825507565296977</c:v>
                </c:pt>
                <c:pt idx="40">
                  <c:v>8.3424943852844873</c:v>
                </c:pt>
                <c:pt idx="41">
                  <c:v>8.302889800203932</c:v>
                </c:pt>
                <c:pt idx="42">
                  <c:v>8.2637290995610915</c:v>
                </c:pt>
                <c:pt idx="43">
                  <c:v>8.2250045682370807</c:v>
                </c:pt>
                <c:pt idx="44">
                  <c:v>8.1867086721861746</c:v>
                </c:pt>
                <c:pt idx="45">
                  <c:v>8.1488340530982022</c:v>
                </c:pt>
                <c:pt idx="46">
                  <c:v>8.1113735232499007</c:v>
                </c:pt>
                <c:pt idx="47">
                  <c:v>8.0743200605374899</c:v>
                </c:pt>
                <c:pt idx="48">
                  <c:v>8.0376668036829617</c:v>
                </c:pt>
                <c:pt idx="49">
                  <c:v>8.0014070476071488</c:v>
                </c:pt>
                <c:pt idx="50">
                  <c:v>7.9655342389626007</c:v>
                </c:pt>
                <c:pt idx="51">
                  <c:v>7.930041971820077</c:v>
                </c:pt>
                <c:pt idx="52">
                  <c:v>7.8949239835022968</c:v>
                </c:pt>
                <c:pt idx="53">
                  <c:v>7.8601741505591267</c:v>
                </c:pt>
                <c:pt idx="54">
                  <c:v>7.8257864848787619</c:v>
                </c:pt>
                <c:pt idx="55">
                  <c:v>7.7917551299293359</c:v>
                </c:pt>
                <c:pt idx="56">
                  <c:v>7.7580743571259205</c:v>
                </c:pt>
                <c:pt idx="57">
                  <c:v>7.7247385623182208</c:v>
                </c:pt>
                <c:pt idx="58">
                  <c:v>7.6917422623939409</c:v>
                </c:pt>
                <c:pt idx="59">
                  <c:v>7.6590800919937454</c:v>
                </c:pt>
                <c:pt idx="60">
                  <c:v>7.626746800333251</c:v>
                </c:pt>
                <c:pt idx="61">
                  <c:v>7.594737248128145</c:v>
                </c:pt>
                <c:pt idx="62">
                  <c:v>7.5630464046185679</c:v>
                </c:pt>
                <c:pt idx="63">
                  <c:v>7.5316693446887513</c:v>
                </c:pt>
                <c:pt idx="64">
                  <c:v>7.5006012460787641</c:v>
                </c:pt>
                <c:pt idx="65">
                  <c:v>7.4698373866845715</c:v>
                </c:pt>
                <c:pt idx="66">
                  <c:v>7.4393731419432987</c:v>
                </c:pt>
                <c:pt idx="67">
                  <c:v>7.4092039823006575</c:v>
                </c:pt>
                <c:pt idx="68">
                  <c:v>7.3793254707573022</c:v>
                </c:pt>
                <c:pt idx="69">
                  <c:v>7.349733260491341</c:v>
                </c:pt>
                <c:pt idx="70">
                  <c:v>7.3204230925544831</c:v>
                </c:pt>
                <c:pt idx="71">
                  <c:v>7.2913907936386773</c:v>
                </c:pt>
                <c:pt idx="72">
                  <c:v>7.2626322739111693</c:v>
                </c:pt>
                <c:pt idx="73">
                  <c:v>7.2341435249152886</c:v>
                </c:pt>
                <c:pt idx="74">
                  <c:v>7.2059206175347335</c:v>
                </c:pt>
                <c:pt idx="75">
                  <c:v>7.1779597000190991</c:v>
                </c:pt>
                <c:pt idx="76">
                  <c:v>7.1502569960684284</c:v>
                </c:pt>
                <c:pt idx="77">
                  <c:v>7.1228088029749115</c:v>
                </c:pt>
                <c:pt idx="78">
                  <c:v>7.0956114898194143</c:v>
                </c:pt>
                <c:pt idx="79">
                  <c:v>7.0686614957214431</c:v>
                </c:pt>
                <c:pt idx="80">
                  <c:v>7.0419553281400997</c:v>
                </c:pt>
                <c:pt idx="81">
                  <c:v>7.0154895612248573</c:v>
                </c:pt>
                <c:pt idx="82">
                  <c:v>6.989260834214039</c:v>
                </c:pt>
                <c:pt idx="83">
                  <c:v>6.9632658498796607</c:v>
                </c:pt>
                <c:pt idx="84">
                  <c:v>6.9375013730168522</c:v>
                </c:pt>
                <c:pt idx="85">
                  <c:v>6.911964228976613</c:v>
                </c:pt>
                <c:pt idx="86">
                  <c:v>6.8866513022401241</c:v>
                </c:pt>
                <c:pt idx="87">
                  <c:v>6.8615595350336447</c:v>
                </c:pt>
                <c:pt idx="88">
                  <c:v>6.8366859259822901</c:v>
                </c:pt>
                <c:pt idx="89">
                  <c:v>6.8120275288015986</c:v>
                </c:pt>
                <c:pt idx="90">
                  <c:v>6.7875814510256607</c:v>
                </c:pt>
                <c:pt idx="91">
                  <c:v>6.7633448527704569</c:v>
                </c:pt>
                <c:pt idx="92">
                  <c:v>6.7393149455314898</c:v>
                </c:pt>
                <c:pt idx="93">
                  <c:v>6.7154889910144639</c:v>
                </c:pt>
                <c:pt idx="94">
                  <c:v>6.6918642999979401</c:v>
                </c:pt>
                <c:pt idx="95">
                  <c:v>6.6684382312269763</c:v>
                </c:pt>
                <c:pt idx="96">
                  <c:v>6.6452081903369233</c:v>
                </c:pt>
                <c:pt idx="97">
                  <c:v>6.6221716288059946</c:v>
                </c:pt>
                <c:pt idx="98">
                  <c:v>6.5993260429362763</c:v>
                </c:pt>
                <c:pt idx="99">
                  <c:v>6.5766689728617864</c:v>
                </c:pt>
                <c:pt idx="100">
                  <c:v>6.5541980015830426</c:v>
                </c:pt>
                <c:pt idx="101">
                  <c:v>6.5319107540271792</c:v>
                </c:pt>
                <c:pt idx="102">
                  <c:v>6.5098048961328994</c:v>
                </c:pt>
                <c:pt idx="103">
                  <c:v>6.4878781339593559</c:v>
                </c:pt>
                <c:pt idx="104">
                  <c:v>6.4661282128184974</c:v>
                </c:pt>
                <c:pt idx="105">
                  <c:v>6.4445529164298003</c:v>
                </c:pt>
                <c:pt idx="106">
                  <c:v>6.4231500660970928</c:v>
                </c:pt>
                <c:pt idx="107">
                  <c:v>6.4019175199064478</c:v>
                </c:pt>
                <c:pt idx="108">
                  <c:v>6.3808531719447918</c:v>
                </c:pt>
                <c:pt idx="109">
                  <c:v>6.3599549515383815</c:v>
                </c:pt>
                <c:pt idx="110">
                  <c:v>6.3392208225108284</c:v>
                </c:pt>
                <c:pt idx="111">
                  <c:v>6.3186487824597064</c:v>
                </c:pt>
                <c:pt idx="112">
                  <c:v>6.2982368620516125</c:v>
                </c:pt>
                <c:pt idx="113">
                  <c:v>6.2779831243348401</c:v>
                </c:pt>
                <c:pt idx="114">
                  <c:v>6.2578856640692582</c:v>
                </c:pt>
                <c:pt idx="115">
                  <c:v>6.2379426070728412</c:v>
                </c:pt>
                <c:pt idx="116">
                  <c:v>6.2181521095845165</c:v>
                </c:pt>
                <c:pt idx="117">
                  <c:v>6.1985123576426426</c:v>
                </c:pt>
                <c:pt idx="118">
                  <c:v>6.1790215664787942</c:v>
                </c:pt>
                <c:pt idx="119">
                  <c:v>6.1596779799264256</c:v>
                </c:pt>
                <c:pt idx="120">
                  <c:v>6.1404798698438805</c:v>
                </c:pt>
                <c:pt idx="121">
                  <c:v>6.1214255355515625</c:v>
                </c:pt>
                <c:pt idx="122">
                  <c:v>6.1025133032824757</c:v>
                </c:pt>
                <c:pt idx="123">
                  <c:v>6.0837415256462331</c:v>
                </c:pt>
                <c:pt idx="124">
                  <c:v>6.0651085811057603</c:v>
                </c:pt>
                <c:pt idx="125">
                  <c:v>6.0466128734665743</c:v>
                </c:pt>
                <c:pt idx="126">
                  <c:v>6.02825283137817</c:v>
                </c:pt>
                <c:pt idx="127">
                  <c:v>6.0100269078472435</c:v>
                </c:pt>
                <c:pt idx="128">
                  <c:v>5.9919335797623532</c:v>
                </c:pt>
                <c:pt idx="129">
                  <c:v>5.9739713474298481</c:v>
                </c:pt>
                <c:pt idx="130">
                  <c:v>5.9561387341204783</c:v>
                </c:pt>
                <c:pt idx="131">
                  <c:v>5.9384342856267649</c:v>
                </c:pt>
                <c:pt idx="132">
                  <c:v>5.9208565698305291</c:v>
                </c:pt>
                <c:pt idx="133">
                  <c:v>5.903404176280425</c:v>
                </c:pt>
                <c:pt idx="134">
                  <c:v>5.88607571577925</c:v>
                </c:pt>
                <c:pt idx="135">
                  <c:v>5.8688698199806684</c:v>
                </c:pt>
                <c:pt idx="136">
                  <c:v>5.8517851409951938</c:v>
                </c:pt>
                <c:pt idx="137">
                  <c:v>5.8348203510050736</c:v>
                </c:pt>
                <c:pt idx="138">
                  <c:v>5.8179741418879791</c:v>
                </c:pt>
                <c:pt idx="139">
                  <c:v>5.8012452248491169</c:v>
                </c:pt>
                <c:pt idx="140">
                  <c:v>5.7846323300617009</c:v>
                </c:pt>
                <c:pt idx="141">
                  <c:v>5.7681342063153815</c:v>
                </c:pt>
                <c:pt idx="142">
                  <c:v>5.7517496206725625</c:v>
                </c:pt>
                <c:pt idx="143">
                  <c:v>5.7354773581324263</c:v>
                </c:pt>
                <c:pt idx="144">
                  <c:v>5.7193162213022548</c:v>
                </c:pt>
                <c:pt idx="145">
                  <c:v>5.7032650300761247</c:v>
                </c:pt>
                <c:pt idx="146">
                  <c:v>5.6873226213206269</c:v>
                </c:pt>
                <c:pt idx="147">
                  <c:v>5.6714878485674252</c:v>
                </c:pt>
                <c:pt idx="148">
                  <c:v>5.655759581712597</c:v>
                </c:pt>
                <c:pt idx="149">
                  <c:v>5.6401367067224424</c:v>
                </c:pt>
                <c:pt idx="150">
                  <c:v>5.6246181253456822</c:v>
                </c:pt>
                <c:pt idx="151">
                  <c:v>5.6092027548318972</c:v>
                </c:pt>
                <c:pt idx="152">
                  <c:v>5.5938895276559393</c:v>
                </c:pt>
                <c:pt idx="153">
                  <c:v>5.5786773912483438</c:v>
                </c:pt>
                <c:pt idx="154">
                  <c:v>5.5635653077313814</c:v>
                </c:pt>
                <c:pt idx="155">
                  <c:v>5.5485522536608478</c:v>
                </c:pt>
                <c:pt idx="156">
                  <c:v>5.5336372197731709</c:v>
                </c:pt>
                <c:pt idx="157">
                  <c:v>5.5188192107379974</c:v>
                </c:pt>
                <c:pt idx="158">
                  <c:v>5.504097244915882</c:v>
                </c:pt>
                <c:pt idx="159">
                  <c:v>5.4894703541210719</c:v>
                </c:pt>
                <c:pt idx="160">
                  <c:v>5.4749375833892939</c:v>
                </c:pt>
                <c:pt idx="161">
                  <c:v>6.3890953159108639</c:v>
                </c:pt>
                <c:pt idx="162">
                  <c:v>5.4604979907502873</c:v>
                </c:pt>
                <c:pt idx="163">
                  <c:v>5.4461506470051182</c:v>
                </c:pt>
                <c:pt idx="164">
                  <c:v>5.431894635508054</c:v>
                </c:pt>
                <c:pt idx="165">
                  <c:v>5.4177290519529437</c:v>
                </c:pt>
                <c:pt idx="166">
                  <c:v>5.4036530041639619</c:v>
                </c:pt>
                <c:pt idx="167">
                  <c:v>5.3896656118906341</c:v>
                </c:pt>
                <c:pt idx="168">
                  <c:v>5.3757660066070372</c:v>
                </c:pt>
                <c:pt idx="169">
                  <c:v>5.3619533313150729</c:v>
                </c:pt>
                <c:pt idx="170">
                  <c:v>5.3482267403517225</c:v>
                </c:pt>
                <c:pt idx="171">
                  <c:v>5.3345853992001455</c:v>
                </c:pt>
                <c:pt idx="172">
                  <c:v>5.3210284843046471</c:v>
                </c:pt>
                <c:pt idx="173">
                  <c:v>5.30755518288926</c:v>
                </c:pt>
                <c:pt idx="174">
                  <c:v>5.2941646927800052</c:v>
                </c:pt>
                <c:pt idx="175">
                  <c:v>5.2808562222306454</c:v>
                </c:pt>
                <c:pt idx="176">
                  <c:v>5.2676289897519446</c:v>
                </c:pt>
                <c:pt idx="177">
                  <c:v>5.2544822239442013</c:v>
                </c:pt>
                <c:pt idx="178">
                  <c:v>5.2414151633331647</c:v>
                </c:pt>
                <c:pt idx="179">
                  <c:v>5.2284270562091306</c:v>
                </c:pt>
                <c:pt idx="180">
                  <c:v>5.2155171604691732</c:v>
                </c:pt>
                <c:pt idx="181">
                  <c:v>5.2026847434624486</c:v>
                </c:pt>
                <c:pt idx="182">
                  <c:v>5.1899290818385202</c:v>
                </c:pt>
                <c:pt idx="183">
                  <c:v>5.1772494613986009</c:v>
                </c:pt>
                <c:pt idx="184">
                  <c:v>5.1646451769496657</c:v>
                </c:pt>
                <c:pt idx="185">
                  <c:v>5.1521155321613499</c:v>
                </c:pt>
                <c:pt idx="186">
                  <c:v>5.1396598394256214</c:v>
                </c:pt>
                <c:pt idx="187">
                  <c:v>5.1272774197191104</c:v>
                </c:pt>
                <c:pt idx="188">
                  <c:v>5.1149676024680204</c:v>
                </c:pt>
                <c:pt idx="189">
                  <c:v>5.1027297254157054</c:v>
                </c:pt>
                <c:pt idx="190">
                  <c:v>5.0905631344926112</c:v>
                </c:pt>
                <c:pt idx="191">
                  <c:v>5.0784671836887849</c:v>
                </c:pt>
                <c:pt idx="192">
                  <c:v>5.066441234928698</c:v>
                </c:pt>
                <c:pt idx="193">
                  <c:v>5.0544846579484757</c:v>
                </c:pt>
                <c:pt idx="194">
                  <c:v>5.0425968301753308</c:v>
                </c:pt>
                <c:pt idx="195">
                  <c:v>5.030777136609343</c:v>
                </c:pt>
                <c:pt idx="196">
                  <c:v>5.0190249697073392</c:v>
                </c:pt>
                <c:pt idx="197">
                  <c:v>5.0073397292689874</c:v>
                </c:pt>
                <c:pt idx="198">
                  <c:v>4.9957208223249161</c:v>
                </c:pt>
                <c:pt idx="199">
                  <c:v>4.9841676630269811</c:v>
                </c:pt>
                <c:pt idx="200">
                  <c:v>4.9726796725404032</c:v>
                </c:pt>
                <c:pt idx="201">
                  <c:v>4.9612562789380528</c:v>
                </c:pt>
                <c:pt idx="202">
                  <c:v>4.9498969170965195</c:v>
                </c:pt>
                <c:pt idx="203">
                  <c:v>4.9386010285940687</c:v>
                </c:pt>
                <c:pt idx="204">
                  <c:v>4.9273680616105286</c:v>
                </c:pt>
                <c:pt idx="205">
                  <c:v>4.9161974708289264</c:v>
                </c:pt>
                <c:pt idx="206">
                  <c:v>4.9050887173388604</c:v>
                </c:pt>
                <c:pt idx="207">
                  <c:v>4.8940412685416703</c:v>
                </c:pt>
                <c:pt idx="208">
                  <c:v>4.8830545980572619</c:v>
                </c:pt>
                <c:pt idx="209">
                  <c:v>4.8721281856325795</c:v>
                </c:pt>
                <c:pt idx="210">
                  <c:v>4.8612615170517284</c:v>
                </c:pt>
                <c:pt idx="211">
                  <c:v>4.8504540840476595</c:v>
                </c:pt>
                <c:pt idx="212">
                  <c:v>4.8397053842154554</c:v>
                </c:pt>
                <c:pt idx="213">
                  <c:v>4.8290149209270679</c:v>
                </c:pt>
                <c:pt idx="214">
                  <c:v>4.8183822032476291</c:v>
                </c:pt>
                <c:pt idx="215">
                  <c:v>4.8078067458531679</c:v>
                </c:pt>
                <c:pt idx="216">
                  <c:v>4.797288068949773</c:v>
                </c:pt>
                <c:pt idx="217">
                  <c:v>4.7868256981941837</c:v>
                </c:pt>
                <c:pt idx="218">
                  <c:v>4.776419164615735</c:v>
                </c:pt>
                <c:pt idx="219">
                  <c:v>4.7660680045396386</c:v>
                </c:pt>
                <c:pt idx="220">
                  <c:v>4.7557717595115916</c:v>
                </c:pt>
                <c:pt idx="221">
                  <c:v>4.7455299762237173</c:v>
                </c:pt>
                <c:pt idx="222">
                  <c:v>4.7353422064417074</c:v>
                </c:pt>
                <c:pt idx="223">
                  <c:v>4.7252080069332507</c:v>
                </c:pt>
                <c:pt idx="224">
                  <c:v>4.7151269393976767</c:v>
                </c:pt>
                <c:pt idx="225">
                  <c:v>4.7050985703967738</c:v>
                </c:pt>
                <c:pt idx="226">
                  <c:v>4.6951224712867914</c:v>
                </c:pt>
                <c:pt idx="227">
                  <c:v>4.6851982181515677</c:v>
                </c:pt>
                <c:pt idx="228">
                  <c:v>4.6753253917368305</c:v>
                </c:pt>
                <c:pt idx="229">
                  <c:v>4.6655035773855253</c:v>
                </c:pt>
                <c:pt idx="230">
                  <c:v>4.6557323649743099</c:v>
                </c:pt>
                <c:pt idx="231">
                  <c:v>4.6460113488510242</c:v>
                </c:pt>
                <c:pt idx="232">
                  <c:v>4.6363401277732565</c:v>
                </c:pt>
                <c:pt idx="233">
                  <c:v>4.6267183048479099</c:v>
                </c:pt>
                <c:pt idx="234">
                  <c:v>4.6171454874717481</c:v>
                </c:pt>
                <c:pt idx="235">
                  <c:v>4.6076212872729547</c:v>
                </c:pt>
                <c:pt idx="236">
                  <c:v>4.5981453200536411</c:v>
                </c:pt>
                <c:pt idx="237">
                  <c:v>4.5887172057332704</c:v>
                </c:pt>
                <c:pt idx="238">
                  <c:v>4.5793365682930398</c:v>
                </c:pt>
                <c:pt idx="239">
                  <c:v>4.5700030357211503</c:v>
                </c:pt>
                <c:pt idx="240">
                  <c:v>4.5607162399589845</c:v>
                </c:pt>
                <c:pt idx="241">
                  <c:v>4.55147581684811</c:v>
                </c:pt>
                <c:pt idx="242">
                  <c:v>4.5422814060782093</c:v>
                </c:pt>
                <c:pt idx="243">
                  <c:v>4.5331326511357783</c:v>
                </c:pt>
                <c:pt idx="244">
                  <c:v>4.5240291992537127</c:v>
                </c:pt>
                <c:pt idx="245">
                  <c:v>4.51497070136163</c:v>
                </c:pt>
                <c:pt idx="246">
                  <c:v>4.5059568120370512</c:v>
                </c:pt>
                <c:pt idx="247">
                  <c:v>4.4969871894573368</c:v>
                </c:pt>
                <c:pt idx="248">
                  <c:v>4.4880614953523681</c:v>
                </c:pt>
                <c:pt idx="249">
                  <c:v>4.4791793949580088</c:v>
                </c:pt>
                <c:pt idx="250">
                  <c:v>4.4703405569702559</c:v>
                </c:pt>
                <c:pt idx="251">
                  <c:v>4.4615446535001899</c:v>
                </c:pt>
                <c:pt idx="252">
                  <c:v>4.4527913600295594</c:v>
                </c:pt>
                <c:pt idx="253">
                  <c:v>4.4440803553670598</c:v>
                </c:pt>
                <c:pt idx="254">
                  <c:v>4.4354113216054074</c:v>
                </c:pt>
                <c:pt idx="255">
                  <c:v>4.4267839440789105</c:v>
                </c:pt>
                <c:pt idx="256">
                  <c:v>4.4181979113218341</c:v>
                </c:pt>
                <c:pt idx="257">
                  <c:v>4.4096529150273724</c:v>
                </c:pt>
                <c:pt idx="258">
                  <c:v>4.401148650007217</c:v>
                </c:pt>
                <c:pt idx="259">
                  <c:v>4.3926848141518136</c:v>
                </c:pt>
                <c:pt idx="260">
                  <c:v>4.3842611083911729</c:v>
                </c:pt>
                <c:pt idx="261">
                  <c:v>4.3758772366562946</c:v>
                </c:pt>
                <c:pt idx="262">
                  <c:v>4.3675329058412409</c:v>
                </c:pt>
                <c:pt idx="263">
                  <c:v>4.3592278257657036</c:v>
                </c:pt>
                <c:pt idx="264">
                  <c:v>4.3509617091381818</c:v>
                </c:pt>
                <c:pt idx="265">
                  <c:v>4.3427342715197099</c:v>
                </c:pt>
                <c:pt idx="266">
                  <c:v>4.3345452312881569</c:v>
                </c:pt>
                <c:pt idx="267">
                  <c:v>4.3263943096030575</c:v>
                </c:pt>
                <c:pt idx="268">
                  <c:v>4.3182812303709177</c:v>
                </c:pt>
                <c:pt idx="269">
                  <c:v>4.3102057202111048</c:v>
                </c:pt>
                <c:pt idx="270">
                  <c:v>4.3021675084222775</c:v>
                </c:pt>
                <c:pt idx="271">
                  <c:v>4.2941663269492052</c:v>
                </c:pt>
                <c:pt idx="272">
                  <c:v>4.2862019103501696</c:v>
                </c:pt>
                <c:pt idx="273">
                  <c:v>4.278273995764847</c:v>
                </c:pt>
                <c:pt idx="274">
                  <c:v>4.2703823228826208</c:v>
                </c:pt>
                <c:pt idx="275">
                  <c:v>4.2625266339114081</c:v>
                </c:pt>
                <c:pt idx="276">
                  <c:v>4.2547066735469192</c:v>
                </c:pt>
                <c:pt idx="277">
                  <c:v>4.2469221889423796</c:v>
                </c:pt>
                <c:pt idx="278">
                  <c:v>4.2391729296787029</c:v>
                </c:pt>
                <c:pt idx="279">
                  <c:v>4.2314586477350788</c:v>
                </c:pt>
                <c:pt idx="280">
                  <c:v>4.223779097460004</c:v>
                </c:pt>
                <c:pt idx="281">
                  <c:v>4.2161340355427699</c:v>
                </c:pt>
                <c:pt idx="282">
                  <c:v>4.2085232209852768</c:v>
                </c:pt>
                <c:pt idx="283">
                  <c:v>4.2009464150743439</c:v>
                </c:pt>
                <c:pt idx="284">
                  <c:v>4.1934033813543881</c:v>
                </c:pt>
                <c:pt idx="285">
                  <c:v>4.1858938856004668</c:v>
                </c:pt>
                <c:pt idx="286">
                  <c:v>4.178417695791766</c:v>
                </c:pt>
                <c:pt idx="287">
                  <c:v>4.1709745820854307</c:v>
                </c:pt>
                <c:pt idx="288">
                  <c:v>4.1635643167907643</c:v>
                </c:pt>
                <c:pt idx="289">
                  <c:v>4.1561866743438181</c:v>
                </c:pt>
                <c:pt idx="290">
                  <c:v>4.1488414312823503</c:v>
                </c:pt>
                <c:pt idx="291">
                  <c:v>4.1415283662211131</c:v>
                </c:pt>
                <c:pt idx="292">
                  <c:v>4.1342472598274727</c:v>
                </c:pt>
                <c:pt idx="293">
                  <c:v>4.1269978947974675</c:v>
                </c:pt>
                <c:pt idx="294">
                  <c:v>4.1197800558320896</c:v>
                </c:pt>
                <c:pt idx="295">
                  <c:v>4.1125935296139691</c:v>
                </c:pt>
                <c:pt idx="296">
                  <c:v>4.1054381047843593</c:v>
                </c:pt>
                <c:pt idx="297">
                  <c:v>4.098313571920464</c:v>
                </c:pt>
                <c:pt idx="298">
                  <c:v>4.0912197235130598</c:v>
                </c:pt>
                <c:pt idx="299">
                  <c:v>4.0841563539444454</c:v>
                </c:pt>
                <c:pt idx="300">
                  <c:v>4.0771232594666884</c:v>
                </c:pt>
                <c:pt idx="301">
                  <c:v>4.070120238180186</c:v>
                </c:pt>
                <c:pt idx="302">
                  <c:v>4.063147090012496</c:v>
                </c:pt>
                <c:pt idx="303">
                  <c:v>4.0562036166974922</c:v>
                </c:pt>
              </c:numCache>
            </c:numRef>
          </c:xVal>
          <c:yVal>
            <c:numRef>
              <c:f>OF5.4!$E$15:$E$318</c:f>
              <c:numCache>
                <c:formatCode>0.00</c:formatCode>
                <c:ptCount val="304"/>
                <c:pt idx="0">
                  <c:v>180.6757120230709</c:v>
                </c:pt>
                <c:pt idx="1">
                  <c:v>180.88166469887932</c:v>
                </c:pt>
                <c:pt idx="2">
                  <c:v>181.08364362021371</c:v>
                </c:pt>
                <c:pt idx="3">
                  <c:v>181.28174661130922</c:v>
                </c:pt>
                <c:pt idx="4">
                  <c:v>181.47606835917892</c:v>
                </c:pt>
                <c:pt idx="5">
                  <c:v>181.66670053821363</c:v>
                </c:pt>
                <c:pt idx="6">
                  <c:v>181.85373192888241</c:v>
                </c:pt>
                <c:pt idx="7">
                  <c:v>182.03724853085853</c:v>
                </c:pt>
                <c:pt idx="8">
                  <c:v>182.21733367087333</c:v>
                </c:pt>
                <c:pt idx="9">
                  <c:v>182.39406810558404</c:v>
                </c:pt>
                <c:pt idx="10">
                  <c:v>182.56753011972179</c:v>
                </c:pt>
                <c:pt idx="11">
                  <c:v>182.73779561977202</c:v>
                </c:pt>
                <c:pt idx="12">
                  <c:v>182.90493822342225</c:v>
                </c:pt>
                <c:pt idx="13">
                  <c:v>183.0690293449988</c:v>
                </c:pt>
                <c:pt idx="14">
                  <c:v>183.2301382771027</c:v>
                </c:pt>
                <c:pt idx="15">
                  <c:v>183.38833226863878</c:v>
                </c:pt>
                <c:pt idx="16">
                  <c:v>183.54367659942415</c:v>
                </c:pt>
                <c:pt idx="17">
                  <c:v>183.6962346515495</c:v>
                </c:pt>
                <c:pt idx="18">
                  <c:v>183.84606797765738</c:v>
                </c:pt>
                <c:pt idx="19">
                  <c:v>183.99323636629146</c:v>
                </c:pt>
                <c:pt idx="20">
                  <c:v>184.13779790446335</c:v>
                </c:pt>
                <c:pt idx="21">
                  <c:v>184.27980903757341</c:v>
                </c:pt>
                <c:pt idx="22">
                  <c:v>184.41932462681646</c:v>
                </c:pt>
                <c:pt idx="23">
                  <c:v>184.55639800419348</c:v>
                </c:pt>
                <c:pt idx="24">
                  <c:v>184.69108102524689</c:v>
                </c:pt>
                <c:pt idx="25">
                  <c:v>184.82342411962676</c:v>
                </c:pt>
                <c:pt idx="26">
                  <c:v>184.95347633959318</c:v>
                </c:pt>
                <c:pt idx="27">
                  <c:v>185.08128540655113</c:v>
                </c:pt>
                <c:pt idx="28">
                  <c:v>185.20689775571154</c:v>
                </c:pt>
                <c:pt idx="29">
                  <c:v>185.3303585789651</c:v>
                </c:pt>
                <c:pt idx="30">
                  <c:v>185.45171186605302</c:v>
                </c:pt>
                <c:pt idx="31">
                  <c:v>185.5710004441116</c:v>
                </c:pt>
                <c:pt idx="32">
                  <c:v>185.68826601566681</c:v>
                </c:pt>
                <c:pt idx="33">
                  <c:v>185.80354919514821</c:v>
                </c:pt>
                <c:pt idx="34">
                  <c:v>185.91688954398953</c:v>
                </c:pt>
                <c:pt idx="35">
                  <c:v>186.02832560437986</c:v>
                </c:pt>
                <c:pt idx="36">
                  <c:v>186.13789493172456</c:v>
                </c:pt>
                <c:pt idx="37">
                  <c:v>186.24563412587429</c:v>
                </c:pt>
                <c:pt idx="38">
                  <c:v>186.35157886117557</c:v>
                </c:pt>
                <c:pt idx="39">
                  <c:v>186.45576391539481</c:v>
                </c:pt>
                <c:pt idx="40">
                  <c:v>186.55822319756524</c:v>
                </c:pt>
                <c:pt idx="41">
                  <c:v>186.65898977480185</c:v>
                </c:pt>
                <c:pt idx="42">
                  <c:v>186.75809589813096</c:v>
                </c:pt>
                <c:pt idx="43">
                  <c:v>186.85557302737419</c:v>
                </c:pt>
                <c:pt idx="44">
                  <c:v>186.95145185512834</c:v>
                </c:pt>
                <c:pt idx="45">
                  <c:v>187.04576232987924</c:v>
                </c:pt>
                <c:pt idx="46">
                  <c:v>187.138533678285</c:v>
                </c:pt>
                <c:pt idx="47">
                  <c:v>187.2297944266644</c:v>
                </c:pt>
                <c:pt idx="48">
                  <c:v>187.31957242172268</c:v>
                </c:pt>
                <c:pt idx="49">
                  <c:v>187.40789485054583</c:v>
                </c:pt>
                <c:pt idx="50">
                  <c:v>187.49478825989459</c:v>
                </c:pt>
                <c:pt idx="51">
                  <c:v>187.58027857482506</c:v>
                </c:pt>
                <c:pt idx="52">
                  <c:v>187.66439111666429</c:v>
                </c:pt>
                <c:pt idx="53">
                  <c:v>187.74715062036657</c:v>
                </c:pt>
                <c:pt idx="54">
                  <c:v>187.82858125127453</c:v>
                </c:pt>
                <c:pt idx="55">
                  <c:v>187.90870662130993</c:v>
                </c:pt>
                <c:pt idx="56">
                  <c:v>187.98754980461558</c:v>
                </c:pt>
                <c:pt idx="57">
                  <c:v>188.06513335267024</c:v>
                </c:pt>
                <c:pt idx="58">
                  <c:v>188.14147930889791</c:v>
                </c:pt>
                <c:pt idx="59">
                  <c:v>188.21660922278954</c:v>
                </c:pt>
                <c:pt idx="60">
                  <c:v>188.29054416355814</c:v>
                </c:pt>
                <c:pt idx="61">
                  <c:v>188.36330473334283</c:v>
                </c:pt>
                <c:pt idx="62">
                  <c:v>188.43491107998142</c:v>
                </c:pt>
                <c:pt idx="63">
                  <c:v>188.50538290936598</c:v>
                </c:pt>
                <c:pt idx="64">
                  <c:v>188.57473949739841</c:v>
                </c:pt>
                <c:pt idx="65">
                  <c:v>188.64299970156083</c:v>
                </c:pt>
                <c:pt idx="66">
                  <c:v>188.7101819721143</c:v>
                </c:pt>
                <c:pt idx="67">
                  <c:v>188.77630436294137</c:v>
                </c:pt>
                <c:pt idx="68">
                  <c:v>188.84138454204378</c:v>
                </c:pt>
                <c:pt idx="69">
                  <c:v>188.90543980170972</c:v>
                </c:pt>
                <c:pt idx="70">
                  <c:v>188.96848706836124</c:v>
                </c:pt>
                <c:pt idx="71">
                  <c:v>189.03054291209466</c:v>
                </c:pt>
                <c:pt idx="72">
                  <c:v>189.09162355592451</c:v>
                </c:pt>
                <c:pt idx="73">
                  <c:v>189.15174488474156</c:v>
                </c:pt>
                <c:pt idx="74">
                  <c:v>189.21092245399575</c:v>
                </c:pt>
                <c:pt idx="75">
                  <c:v>189.26917149811339</c:v>
                </c:pt>
                <c:pt idx="76">
                  <c:v>189.32650693865799</c:v>
                </c:pt>
                <c:pt idx="77">
                  <c:v>189.38294339224427</c:v>
                </c:pt>
                <c:pt idx="78">
                  <c:v>189.43849517821386</c:v>
                </c:pt>
                <c:pt idx="79">
                  <c:v>189.49317632608009</c:v>
                </c:pt>
                <c:pt idx="80">
                  <c:v>189.54700058275188</c:v>
                </c:pt>
                <c:pt idx="81">
                  <c:v>189.59998141954205</c:v>
                </c:pt>
                <c:pt idx="82">
                  <c:v>189.65213203896965</c:v>
                </c:pt>
                <c:pt idx="83">
                  <c:v>189.7034653813615</c:v>
                </c:pt>
                <c:pt idx="84">
                  <c:v>189.75399413126127</c:v>
                </c:pt>
                <c:pt idx="85">
                  <c:v>189.80373072365143</c:v>
                </c:pt>
                <c:pt idx="86">
                  <c:v>189.85268734999579</c:v>
                </c:pt>
                <c:pt idx="87">
                  <c:v>189.90087596410675</c:v>
                </c:pt>
                <c:pt idx="88">
                  <c:v>189.94830828784518</c:v>
                </c:pt>
                <c:pt idx="89">
                  <c:v>189.99499581665719</c:v>
                </c:pt>
                <c:pt idx="90">
                  <c:v>190.04094982495309</c:v>
                </c:pt>
                <c:pt idx="91">
                  <c:v>190.0861813713349</c:v>
                </c:pt>
                <c:pt idx="92">
                  <c:v>190.13070130367649</c:v>
                </c:pt>
                <c:pt idx="93">
                  <c:v>190.17452026406099</c:v>
                </c:pt>
                <c:pt idx="94">
                  <c:v>190.21764869358071</c:v>
                </c:pt>
                <c:pt idx="95">
                  <c:v>190.260096837004</c:v>
                </c:pt>
                <c:pt idx="96">
                  <c:v>190.30187474731287</c:v>
                </c:pt>
                <c:pt idx="97">
                  <c:v>190.34299229011563</c:v>
                </c:pt>
                <c:pt idx="98">
                  <c:v>190.38345914793922</c:v>
                </c:pt>
                <c:pt idx="99">
                  <c:v>190.42328482440365</c:v>
                </c:pt>
                <c:pt idx="100">
                  <c:v>190.46247864828422</c:v>
                </c:pt>
                <c:pt idx="101">
                  <c:v>190.50104977746298</c:v>
                </c:pt>
                <c:pt idx="102">
                  <c:v>190.53900720277457</c:v>
                </c:pt>
                <c:pt idx="103">
                  <c:v>190.57635975174858</c:v>
                </c:pt>
                <c:pt idx="104">
                  <c:v>190.61311609225265</c:v>
                </c:pt>
                <c:pt idx="105">
                  <c:v>190.64928473603834</c:v>
                </c:pt>
                <c:pt idx="106">
                  <c:v>190.68487404219374</c:v>
                </c:pt>
                <c:pt idx="107">
                  <c:v>190.71989222050482</c:v>
                </c:pt>
                <c:pt idx="108">
                  <c:v>190.75434733472906</c:v>
                </c:pt>
                <c:pt idx="109">
                  <c:v>190.78824730578344</c:v>
                </c:pt>
                <c:pt idx="110">
                  <c:v>190.82159991484971</c:v>
                </c:pt>
                <c:pt idx="111">
                  <c:v>190.85441280639952</c:v>
                </c:pt>
                <c:pt idx="112">
                  <c:v>190.88669349114122</c:v>
                </c:pt>
                <c:pt idx="113">
                  <c:v>190.91844934889144</c:v>
                </c:pt>
                <c:pt idx="114">
                  <c:v>190.94968763137331</c:v>
                </c:pt>
                <c:pt idx="115">
                  <c:v>190.98041546494343</c:v>
                </c:pt>
                <c:pt idx="116">
                  <c:v>191.01063985324973</c:v>
                </c:pt>
                <c:pt idx="117">
                  <c:v>191.04036767982248</c:v>
                </c:pt>
                <c:pt idx="118">
                  <c:v>191.06960571060003</c:v>
                </c:pt>
                <c:pt idx="119">
                  <c:v>191.09836059639159</c:v>
                </c:pt>
                <c:pt idx="120">
                  <c:v>191.12663887527853</c:v>
                </c:pt>
                <c:pt idx="121">
                  <c:v>191.15444697495624</c:v>
                </c:pt>
                <c:pt idx="122">
                  <c:v>191.1817912150178</c:v>
                </c:pt>
                <c:pt idx="123">
                  <c:v>191.20867780918203</c:v>
                </c:pt>
                <c:pt idx="124">
                  <c:v>191.23511286746648</c:v>
                </c:pt>
                <c:pt idx="125">
                  <c:v>191.26110239830746</c:v>
                </c:pt>
                <c:pt idx="126">
                  <c:v>191.2866523106288</c:v>
                </c:pt>
                <c:pt idx="127">
                  <c:v>191.31176841586012</c:v>
                </c:pt>
                <c:pt idx="128">
                  <c:v>191.33645642990697</c:v>
                </c:pt>
                <c:pt idx="129">
                  <c:v>191.36072197507306</c:v>
                </c:pt>
                <c:pt idx="130">
                  <c:v>191.38457058193666</c:v>
                </c:pt>
                <c:pt idx="131">
                  <c:v>191.40800769118283</c:v>
                </c:pt>
                <c:pt idx="132">
                  <c:v>191.43103865539123</c:v>
                </c:pt>
                <c:pt idx="133">
                  <c:v>191.45366874078255</c:v>
                </c:pt>
                <c:pt idx="134">
                  <c:v>191.47590312892316</c:v>
                </c:pt>
                <c:pt idx="135">
                  <c:v>191.49774691838996</c:v>
                </c:pt>
                <c:pt idx="136">
                  <c:v>191.51920512639666</c:v>
                </c:pt>
                <c:pt idx="137">
                  <c:v>191.54028269038156</c:v>
                </c:pt>
                <c:pt idx="138">
                  <c:v>191.56098446955895</c:v>
                </c:pt>
                <c:pt idx="139">
                  <c:v>191.58131524643468</c:v>
                </c:pt>
                <c:pt idx="140">
                  <c:v>191.60127972828656</c:v>
                </c:pt>
                <c:pt idx="141">
                  <c:v>191.62088254861095</c:v>
                </c:pt>
                <c:pt idx="142">
                  <c:v>191.6401282685365</c:v>
                </c:pt>
                <c:pt idx="143">
                  <c:v>191.6590213782053</c:v>
                </c:pt>
                <c:pt idx="144">
                  <c:v>191.67756629812294</c:v>
                </c:pt>
                <c:pt idx="145">
                  <c:v>191.69576738047834</c:v>
                </c:pt>
                <c:pt idx="146">
                  <c:v>191.71362891043321</c:v>
                </c:pt>
                <c:pt idx="147">
                  <c:v>191.73115510738333</c:v>
                </c:pt>
                <c:pt idx="148">
                  <c:v>191.74835012619101</c:v>
                </c:pt>
                <c:pt idx="149">
                  <c:v>191.76521805839056</c:v>
                </c:pt>
                <c:pt idx="150">
                  <c:v>191.78176293336685</c:v>
                </c:pt>
                <c:pt idx="151">
                  <c:v>191.79798871950757</c:v>
                </c:pt>
                <c:pt idx="152">
                  <c:v>191.81389932533088</c:v>
                </c:pt>
                <c:pt idx="153">
                  <c:v>191.82949860058741</c:v>
                </c:pt>
                <c:pt idx="154">
                  <c:v>191.84479033733865</c:v>
                </c:pt>
                <c:pt idx="155">
                  <c:v>191.85977827101166</c:v>
                </c:pt>
                <c:pt idx="156">
                  <c:v>191.87446608143131</c:v>
                </c:pt>
                <c:pt idx="157">
                  <c:v>191.88885739382957</c:v>
                </c:pt>
                <c:pt idx="158">
                  <c:v>191.90295577983341</c:v>
                </c:pt>
                <c:pt idx="159">
                  <c:v>191.91676475843144</c:v>
                </c:pt>
                <c:pt idx="160">
                  <c:v>191.93028779691983</c:v>
                </c:pt>
                <c:pt idx="161">
                  <c:v>190.7408996261243</c:v>
                </c:pt>
                <c:pt idx="162">
                  <c:v>191.94352831182803</c:v>
                </c:pt>
                <c:pt idx="163">
                  <c:v>191.9564896698248</c:v>
                </c:pt>
                <c:pt idx="164">
                  <c:v>191.96917518860522</c:v>
                </c:pt>
                <c:pt idx="165">
                  <c:v>191.98158813775851</c:v>
                </c:pt>
                <c:pt idx="166">
                  <c:v>191.99373173961854</c:v>
                </c:pt>
                <c:pt idx="167">
                  <c:v>192.005609170095</c:v>
                </c:pt>
                <c:pt idx="168">
                  <c:v>192.01722355948908</c:v>
                </c:pt>
                <c:pt idx="169">
                  <c:v>192.02857799329033</c:v>
                </c:pt>
                <c:pt idx="170">
                  <c:v>192.0396755129583</c:v>
                </c:pt>
                <c:pt idx="171">
                  <c:v>192.05051911668752</c:v>
                </c:pt>
                <c:pt idx="172">
                  <c:v>192.06111176015659</c:v>
                </c:pt>
                <c:pt idx="173">
                  <c:v>192.07145635726204</c:v>
                </c:pt>
                <c:pt idx="174">
                  <c:v>192.08155578083725</c:v>
                </c:pt>
                <c:pt idx="175">
                  <c:v>192.09141286335665</c:v>
                </c:pt>
                <c:pt idx="176">
                  <c:v>192.10103039762538</c:v>
                </c:pt>
                <c:pt idx="177">
                  <c:v>192.11041113745517</c:v>
                </c:pt>
                <c:pt idx="178">
                  <c:v>192.11955779832667</c:v>
                </c:pt>
                <c:pt idx="179">
                  <c:v>192.12847305803811</c:v>
                </c:pt>
                <c:pt idx="180">
                  <c:v>192.13715955734142</c:v>
                </c:pt>
                <c:pt idx="181">
                  <c:v>192.14561990056495</c:v>
                </c:pt>
                <c:pt idx="182">
                  <c:v>192.15385665622443</c:v>
                </c:pt>
                <c:pt idx="183">
                  <c:v>192.16187235762149</c:v>
                </c:pt>
                <c:pt idx="184">
                  <c:v>192.16966950343024</c:v>
                </c:pt>
                <c:pt idx="185">
                  <c:v>192.17725055827236</c:v>
                </c:pt>
                <c:pt idx="186">
                  <c:v>192.18461795328102</c:v>
                </c:pt>
                <c:pt idx="187">
                  <c:v>192.19177408665348</c:v>
                </c:pt>
                <c:pt idx="188">
                  <c:v>192.198721324193</c:v>
                </c:pt>
                <c:pt idx="189">
                  <c:v>192.20546199984</c:v>
                </c:pt>
                <c:pt idx="190">
                  <c:v>192.21199841619352</c:v>
                </c:pt>
                <c:pt idx="191">
                  <c:v>192.21833284502159</c:v>
                </c:pt>
                <c:pt idx="192">
                  <c:v>192.22446752776258</c:v>
                </c:pt>
                <c:pt idx="193">
                  <c:v>192.2304046760166</c:v>
                </c:pt>
                <c:pt idx="194">
                  <c:v>192.23614647202717</c:v>
                </c:pt>
                <c:pt idx="195">
                  <c:v>192.24169506915433</c:v>
                </c:pt>
                <c:pt idx="196">
                  <c:v>192.24705259233804</c:v>
                </c:pt>
                <c:pt idx="197">
                  <c:v>192.25222113855321</c:v>
                </c:pt>
                <c:pt idx="198">
                  <c:v>192.257202777256</c:v>
                </c:pt>
                <c:pt idx="199">
                  <c:v>192.26199955082157</c:v>
                </c:pt>
                <c:pt idx="200">
                  <c:v>192.26661347497361</c:v>
                </c:pt>
                <c:pt idx="201">
                  <c:v>192.271046539206</c:v>
                </c:pt>
                <c:pt idx="202">
                  <c:v>192.27530070719641</c:v>
                </c:pt>
                <c:pt idx="203">
                  <c:v>192.27937791721189</c:v>
                </c:pt>
                <c:pt idx="204">
                  <c:v>192.2832800825077</c:v>
                </c:pt>
                <c:pt idx="205">
                  <c:v>192.28700909171781</c:v>
                </c:pt>
                <c:pt idx="206">
                  <c:v>192.29056680923878</c:v>
                </c:pt>
                <c:pt idx="207">
                  <c:v>192.29395507560648</c:v>
                </c:pt>
                <c:pt idx="208">
                  <c:v>192.29717570786556</c:v>
                </c:pt>
                <c:pt idx="209">
                  <c:v>192.30023049993255</c:v>
                </c:pt>
                <c:pt idx="210">
                  <c:v>192.303121222952</c:v>
                </c:pt>
                <c:pt idx="211">
                  <c:v>192.3058496256464</c:v>
                </c:pt>
                <c:pt idx="212">
                  <c:v>192.30841743465945</c:v>
                </c:pt>
                <c:pt idx="213">
                  <c:v>192.31082635489344</c:v>
                </c:pt>
                <c:pt idx="214">
                  <c:v>192.31307806984006</c:v>
                </c:pt>
                <c:pt idx="215">
                  <c:v>192.31517424190594</c:v>
                </c:pt>
                <c:pt idx="216">
                  <c:v>192.31711651273147</c:v>
                </c:pt>
                <c:pt idx="217">
                  <c:v>192.31890650350479</c:v>
                </c:pt>
                <c:pt idx="218">
                  <c:v>192.32054581526953</c:v>
                </c:pt>
                <c:pt idx="219">
                  <c:v>192.32203602922723</c:v>
                </c:pt>
                <c:pt idx="220">
                  <c:v>192.32337870703483</c:v>
                </c:pt>
                <c:pt idx="221">
                  <c:v>192.32457539109586</c:v>
                </c:pt>
                <c:pt idx="222">
                  <c:v>192.3256276048478</c:v>
                </c:pt>
                <c:pt idx="223">
                  <c:v>192.32653685304328</c:v>
                </c:pt>
                <c:pt idx="224">
                  <c:v>192.32730462202707</c:v>
                </c:pt>
                <c:pt idx="225">
                  <c:v>192.32793238000752</c:v>
                </c:pt>
                <c:pt idx="226">
                  <c:v>192.32842157732429</c:v>
                </c:pt>
                <c:pt idx="227">
                  <c:v>192.32877364671012</c:v>
                </c:pt>
                <c:pt idx="228">
                  <c:v>192.32899000354908</c:v>
                </c:pt>
                <c:pt idx="229">
                  <c:v>192.32907204612999</c:v>
                </c:pt>
                <c:pt idx="230">
                  <c:v>192.32902115589553</c:v>
                </c:pt>
                <c:pt idx="231">
                  <c:v>192.32883869768671</c:v>
                </c:pt>
                <c:pt idx="232">
                  <c:v>192.32852601998374</c:v>
                </c:pt>
                <c:pt idx="233">
                  <c:v>192.32808445514215</c:v>
                </c:pt>
                <c:pt idx="234">
                  <c:v>192.32751531962546</c:v>
                </c:pt>
                <c:pt idx="235">
                  <c:v>192.32681991423362</c:v>
                </c:pt>
                <c:pt idx="236">
                  <c:v>192.32599952432736</c:v>
                </c:pt>
                <c:pt idx="237">
                  <c:v>192.32505542004907</c:v>
                </c:pt>
                <c:pt idx="238">
                  <c:v>192.32398885653967</c:v>
                </c:pt>
                <c:pt idx="239">
                  <c:v>192.32280107415238</c:v>
                </c:pt>
                <c:pt idx="240">
                  <c:v>192.32149329866195</c:v>
                </c:pt>
                <c:pt idx="241">
                  <c:v>192.32006674147138</c:v>
                </c:pt>
                <c:pt idx="242">
                  <c:v>192.31852259981443</c:v>
                </c:pt>
                <c:pt idx="243">
                  <c:v>192.31686205695524</c:v>
                </c:pt>
                <c:pt idx="244">
                  <c:v>192.31508628238444</c:v>
                </c:pt>
                <c:pt idx="245">
                  <c:v>192.31319643201189</c:v>
                </c:pt>
                <c:pt idx="246">
                  <c:v>192.31119364835641</c:v>
                </c:pt>
                <c:pt idx="247">
                  <c:v>192.30907906073239</c:v>
                </c:pt>
                <c:pt idx="248">
                  <c:v>192.30685378543325</c:v>
                </c:pt>
                <c:pt idx="249">
                  <c:v>192.30451892591188</c:v>
                </c:pt>
                <c:pt idx="250">
                  <c:v>192.30207557295816</c:v>
                </c:pt>
                <c:pt idx="251">
                  <c:v>192.29952480487361</c:v>
                </c:pt>
                <c:pt idx="252">
                  <c:v>192.29686768764316</c:v>
                </c:pt>
                <c:pt idx="253">
                  <c:v>192.29410527510399</c:v>
                </c:pt>
                <c:pt idx="254">
                  <c:v>192.2912386091121</c:v>
                </c:pt>
                <c:pt idx="255">
                  <c:v>192.2882687197056</c:v>
                </c:pt>
                <c:pt idx="256">
                  <c:v>192.28519662526563</c:v>
                </c:pt>
                <c:pt idx="257">
                  <c:v>192.28202333267504</c:v>
                </c:pt>
                <c:pt idx="258">
                  <c:v>192.27874983747367</c:v>
                </c:pt>
                <c:pt idx="259">
                  <c:v>192.27537712401218</c:v>
                </c:pt>
                <c:pt idx="260">
                  <c:v>192.27190616560253</c:v>
                </c:pt>
                <c:pt idx="261">
                  <c:v>192.26833792466672</c:v>
                </c:pt>
                <c:pt idx="262">
                  <c:v>192.26467335288268</c:v>
                </c:pt>
                <c:pt idx="263">
                  <c:v>192.26091339132836</c:v>
                </c:pt>
                <c:pt idx="264">
                  <c:v>192.25705897062281</c:v>
                </c:pt>
                <c:pt idx="265">
                  <c:v>192.25311101106598</c:v>
                </c:pt>
                <c:pt idx="266">
                  <c:v>192.24907042277553</c:v>
                </c:pt>
                <c:pt idx="267">
                  <c:v>192.24493810582183</c:v>
                </c:pt>
                <c:pt idx="268">
                  <c:v>192.24071495036091</c:v>
                </c:pt>
                <c:pt idx="269">
                  <c:v>192.23640183676505</c:v>
                </c:pt>
                <c:pt idx="270">
                  <c:v>192.23199963575192</c:v>
                </c:pt>
                <c:pt idx="271">
                  <c:v>192.22750920851087</c:v>
                </c:pt>
                <c:pt idx="272">
                  <c:v>192.222931406828</c:v>
                </c:pt>
                <c:pt idx="273">
                  <c:v>192.21826707320889</c:v>
                </c:pt>
                <c:pt idx="274">
                  <c:v>192.21351704099976</c:v>
                </c:pt>
                <c:pt idx="275">
                  <c:v>192.20868213450629</c:v>
                </c:pt>
                <c:pt idx="276">
                  <c:v>192.20376316911117</c:v>
                </c:pt>
                <c:pt idx="277">
                  <c:v>192.1987609513896</c:v>
                </c:pt>
                <c:pt idx="278">
                  <c:v>192.19367627922259</c:v>
                </c:pt>
                <c:pt idx="279">
                  <c:v>192.1885099419097</c:v>
                </c:pt>
                <c:pt idx="280">
                  <c:v>192.18326272027855</c:v>
                </c:pt>
                <c:pt idx="281">
                  <c:v>192.17793538679413</c:v>
                </c:pt>
                <c:pt idx="282">
                  <c:v>192.17252870566534</c:v>
                </c:pt>
                <c:pt idx="283">
                  <c:v>192.16704343295055</c:v>
                </c:pt>
                <c:pt idx="284">
                  <c:v>192.1614803166614</c:v>
                </c:pt>
                <c:pt idx="285">
                  <c:v>192.15584009686484</c:v>
                </c:pt>
                <c:pt idx="286">
                  <c:v>192.15012350578425</c:v>
                </c:pt>
                <c:pt idx="287">
                  <c:v>192.14433126789825</c:v>
                </c:pt>
                <c:pt idx="288">
                  <c:v>192.13846410003856</c:v>
                </c:pt>
                <c:pt idx="289">
                  <c:v>192.13252271148633</c:v>
                </c:pt>
                <c:pt idx="290">
                  <c:v>192.12650780406702</c:v>
                </c:pt>
                <c:pt idx="291">
                  <c:v>192.12042007224352</c:v>
                </c:pt>
                <c:pt idx="292">
                  <c:v>192.11426020320872</c:v>
                </c:pt>
                <c:pt idx="293">
                  <c:v>192.10802887697579</c:v>
                </c:pt>
                <c:pt idx="294">
                  <c:v>192.10172676646789</c:v>
                </c:pt>
                <c:pt idx="295">
                  <c:v>192.09535453760597</c:v>
                </c:pt>
                <c:pt idx="296">
                  <c:v>192.08891284939571</c:v>
                </c:pt>
                <c:pt idx="297">
                  <c:v>192.08240235401294</c:v>
                </c:pt>
                <c:pt idx="298">
                  <c:v>192.07582369688802</c:v>
                </c:pt>
                <c:pt idx="299">
                  <c:v>192.06917751678878</c:v>
                </c:pt>
                <c:pt idx="300">
                  <c:v>192.06246444590255</c:v>
                </c:pt>
                <c:pt idx="301">
                  <c:v>192.05568510991657</c:v>
                </c:pt>
                <c:pt idx="302">
                  <c:v>192.04884012809765</c:v>
                </c:pt>
                <c:pt idx="303">
                  <c:v>192.04193011337037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OF5.4!$E$14</c15:sqref>
                        </c15:formulaRef>
                      </c:ext>
                    </c:extLst>
                    <c:strCache>
                      <c:ptCount val="1"/>
                      <c:pt idx="0">
                        <c:v>Isp (s)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C0D2-4CFE-B6E7-C3146E38F4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4708088"/>
        <c:axId val="224712008"/>
      </c:scatterChart>
      <c:valAx>
        <c:axId val="224708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Nozzle Area Expansion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712008"/>
        <c:crosses val="autoZero"/>
        <c:crossBetween val="midCat"/>
      </c:valAx>
      <c:valAx>
        <c:axId val="224712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</a:t>
                </a:r>
                <a:r>
                  <a:rPr lang="en-US" baseline="-25000"/>
                  <a:t>sp</a:t>
                </a:r>
                <a:r>
                  <a:rPr lang="en-US" baseline="0"/>
                  <a:t> Initial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708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OF5.4!$C$15:$C$318</c:f>
              <c:numCache>
                <c:formatCode>0.00</c:formatCode>
                <c:ptCount val="304"/>
                <c:pt idx="0">
                  <c:v>10.409493444728808</c:v>
                </c:pt>
                <c:pt idx="1">
                  <c:v>10.342772365307727</c:v>
                </c:pt>
                <c:pt idx="2">
                  <c:v>10.277049891099866</c:v>
                </c:pt>
                <c:pt idx="3">
                  <c:v>10.21230290209227</c:v>
                </c:pt>
                <c:pt idx="4">
                  <c:v>10.148508999391336</c:v>
                </c:pt>
                <c:pt idx="5">
                  <c:v>10.085646477034452</c:v>
                </c:pt>
                <c:pt idx="6">
                  <c:v>10.023694295122839</c:v>
                </c:pt>
                <c:pt idx="7">
                  <c:v>9.9626320542027518</c:v>
                </c:pt>
                <c:pt idx="8">
                  <c:v>9.9024399708284783</c:v>
                </c:pt>
                <c:pt idx="9">
                  <c:v>9.843098854242962</c:v>
                </c:pt>
                <c:pt idx="10">
                  <c:v>9.7845900841169726</c:v>
                </c:pt>
                <c:pt idx="11">
                  <c:v>9.7268955892908728</c:v>
                </c:pt>
                <c:pt idx="12">
                  <c:v>9.6699978274663518</c:v>
                </c:pt>
                <c:pt idx="13">
                  <c:v>9.6138797657989787</c:v>
                </c:pt>
                <c:pt idx="14">
                  <c:v>9.5585248623445995</c:v>
                </c:pt>
                <c:pt idx="15">
                  <c:v>9.5039170483164437</c:v>
                </c:pt>
                <c:pt idx="16">
                  <c:v>9.4500407111113311</c:v>
                </c:pt>
                <c:pt idx="17">
                  <c:v>9.3968806780662</c:v>
                </c:pt>
                <c:pt idx="18">
                  <c:v>9.3444222009086602</c:v>
                </c:pt>
                <c:pt idx="19">
                  <c:v>9.2926509408667339</c:v>
                </c:pt>
                <c:pt idx="20">
                  <c:v>9.241552954405444</c:v>
                </c:pt>
                <c:pt idx="21">
                  <c:v>9.1911146795594636</c:v>
                </c:pt>
                <c:pt idx="22">
                  <c:v>9.1413229228328632</c:v>
                </c:pt>
                <c:pt idx="23">
                  <c:v>9.092164846638596</c:v>
                </c:pt>
                <c:pt idx="24">
                  <c:v>9.0436279572516671</c:v>
                </c:pt>
                <c:pt idx="25">
                  <c:v>8.9957000932517648</c:v>
                </c:pt>
                <c:pt idx="26">
                  <c:v>8.9483694144320367</c:v>
                </c:pt>
                <c:pt idx="27">
                  <c:v>8.9016243911520707</c:v>
                </c:pt>
                <c:pt idx="28">
                  <c:v>8.8554537941146485</c:v>
                </c:pt>
                <c:pt idx="29">
                  <c:v>8.8098466845463062</c:v>
                </c:pt>
                <c:pt idx="30">
                  <c:v>8.7647924047631793</c:v>
                </c:pt>
                <c:pt idx="31">
                  <c:v>8.7202805691048635</c:v>
                </c:pt>
                <c:pt idx="32">
                  <c:v>8.6763010552190121</c:v>
                </c:pt>
                <c:pt idx="33">
                  <c:v>8.6328439956813963</c:v>
                </c:pt>
                <c:pt idx="34">
                  <c:v>8.58989976993605</c:v>
                </c:pt>
                <c:pt idx="35">
                  <c:v>8.5474589965413781</c:v>
                </c:pt>
                <c:pt idx="36">
                  <c:v>8.505512525708685</c:v>
                </c:pt>
                <c:pt idx="37">
                  <c:v>8.4640514321203</c:v>
                </c:pt>
                <c:pt idx="38">
                  <c:v>8.4230670080150958</c:v>
                </c:pt>
                <c:pt idx="39">
                  <c:v>8.3825507565296977</c:v>
                </c:pt>
                <c:pt idx="40">
                  <c:v>8.3424943852844873</c:v>
                </c:pt>
                <c:pt idx="41">
                  <c:v>8.302889800203932</c:v>
                </c:pt>
                <c:pt idx="42">
                  <c:v>8.2637290995610915</c:v>
                </c:pt>
                <c:pt idx="43">
                  <c:v>8.2250045682370807</c:v>
                </c:pt>
                <c:pt idx="44">
                  <c:v>8.1867086721861746</c:v>
                </c:pt>
                <c:pt idx="45">
                  <c:v>8.1488340530982022</c:v>
                </c:pt>
                <c:pt idx="46">
                  <c:v>8.1113735232499007</c:v>
                </c:pt>
                <c:pt idx="47">
                  <c:v>8.0743200605374899</c:v>
                </c:pt>
                <c:pt idx="48">
                  <c:v>8.0376668036829617</c:v>
                </c:pt>
                <c:pt idx="49">
                  <c:v>8.0014070476071488</c:v>
                </c:pt>
                <c:pt idx="50">
                  <c:v>7.9655342389626007</c:v>
                </c:pt>
                <c:pt idx="51">
                  <c:v>7.930041971820077</c:v>
                </c:pt>
                <c:pt idx="52">
                  <c:v>7.8949239835022968</c:v>
                </c:pt>
                <c:pt idx="53">
                  <c:v>7.8601741505591267</c:v>
                </c:pt>
                <c:pt idx="54">
                  <c:v>7.8257864848787619</c:v>
                </c:pt>
                <c:pt idx="55">
                  <c:v>7.7917551299293359</c:v>
                </c:pt>
                <c:pt idx="56">
                  <c:v>7.7580743571259205</c:v>
                </c:pt>
                <c:pt idx="57">
                  <c:v>7.7247385623182208</c:v>
                </c:pt>
                <c:pt idx="58">
                  <c:v>7.6917422623939409</c:v>
                </c:pt>
                <c:pt idx="59">
                  <c:v>7.6590800919937454</c:v>
                </c:pt>
                <c:pt idx="60">
                  <c:v>7.626746800333251</c:v>
                </c:pt>
                <c:pt idx="61">
                  <c:v>7.594737248128145</c:v>
                </c:pt>
                <c:pt idx="62">
                  <c:v>7.5630464046185679</c:v>
                </c:pt>
                <c:pt idx="63">
                  <c:v>7.5316693446887513</c:v>
                </c:pt>
                <c:pt idx="64">
                  <c:v>7.5006012460787641</c:v>
                </c:pt>
                <c:pt idx="65">
                  <c:v>7.4698373866845715</c:v>
                </c:pt>
                <c:pt idx="66">
                  <c:v>7.4393731419432987</c:v>
                </c:pt>
                <c:pt idx="67">
                  <c:v>7.4092039823006575</c:v>
                </c:pt>
                <c:pt idx="68">
                  <c:v>7.3793254707573022</c:v>
                </c:pt>
                <c:pt idx="69">
                  <c:v>7.349733260491341</c:v>
                </c:pt>
                <c:pt idx="70">
                  <c:v>7.3204230925544831</c:v>
                </c:pt>
                <c:pt idx="71">
                  <c:v>7.2913907936386773</c:v>
                </c:pt>
                <c:pt idx="72">
                  <c:v>7.2626322739111693</c:v>
                </c:pt>
                <c:pt idx="73">
                  <c:v>7.2341435249152886</c:v>
                </c:pt>
                <c:pt idx="74">
                  <c:v>7.2059206175347335</c:v>
                </c:pt>
                <c:pt idx="75">
                  <c:v>7.1779597000190991</c:v>
                </c:pt>
                <c:pt idx="76">
                  <c:v>7.1502569960684284</c:v>
                </c:pt>
                <c:pt idx="77">
                  <c:v>7.1228088029749115</c:v>
                </c:pt>
                <c:pt idx="78">
                  <c:v>7.0956114898194143</c:v>
                </c:pt>
                <c:pt idx="79">
                  <c:v>7.0686614957214431</c:v>
                </c:pt>
                <c:pt idx="80">
                  <c:v>7.0419553281400997</c:v>
                </c:pt>
                <c:pt idx="81">
                  <c:v>7.0154895612248573</c:v>
                </c:pt>
                <c:pt idx="82">
                  <c:v>6.989260834214039</c:v>
                </c:pt>
                <c:pt idx="83">
                  <c:v>6.9632658498796607</c:v>
                </c:pt>
                <c:pt idx="84">
                  <c:v>6.9375013730168522</c:v>
                </c:pt>
                <c:pt idx="85">
                  <c:v>6.911964228976613</c:v>
                </c:pt>
                <c:pt idx="86">
                  <c:v>6.8866513022401241</c:v>
                </c:pt>
                <c:pt idx="87">
                  <c:v>6.8615595350336447</c:v>
                </c:pt>
                <c:pt idx="88">
                  <c:v>6.8366859259822901</c:v>
                </c:pt>
                <c:pt idx="89">
                  <c:v>6.8120275288015986</c:v>
                </c:pt>
                <c:pt idx="90">
                  <c:v>6.7875814510256607</c:v>
                </c:pt>
                <c:pt idx="91">
                  <c:v>6.7633448527704569</c:v>
                </c:pt>
                <c:pt idx="92">
                  <c:v>6.7393149455314898</c:v>
                </c:pt>
                <c:pt idx="93">
                  <c:v>6.7154889910144639</c:v>
                </c:pt>
                <c:pt idx="94">
                  <c:v>6.6918642999979401</c:v>
                </c:pt>
                <c:pt idx="95">
                  <c:v>6.6684382312269763</c:v>
                </c:pt>
                <c:pt idx="96">
                  <c:v>6.6452081903369233</c:v>
                </c:pt>
                <c:pt idx="97">
                  <c:v>6.6221716288059946</c:v>
                </c:pt>
                <c:pt idx="98">
                  <c:v>6.5993260429362763</c:v>
                </c:pt>
                <c:pt idx="99">
                  <c:v>6.5766689728617864</c:v>
                </c:pt>
                <c:pt idx="100">
                  <c:v>6.5541980015830426</c:v>
                </c:pt>
                <c:pt idx="101">
                  <c:v>6.5319107540271792</c:v>
                </c:pt>
                <c:pt idx="102">
                  <c:v>6.5098048961328994</c:v>
                </c:pt>
                <c:pt idx="103">
                  <c:v>6.4878781339593559</c:v>
                </c:pt>
                <c:pt idx="104">
                  <c:v>6.4661282128184974</c:v>
                </c:pt>
                <c:pt idx="105">
                  <c:v>6.4445529164298003</c:v>
                </c:pt>
                <c:pt idx="106">
                  <c:v>6.4231500660970928</c:v>
                </c:pt>
                <c:pt idx="107">
                  <c:v>6.4019175199064478</c:v>
                </c:pt>
                <c:pt idx="108">
                  <c:v>6.3808531719447918</c:v>
                </c:pt>
                <c:pt idx="109">
                  <c:v>6.3599549515383815</c:v>
                </c:pt>
                <c:pt idx="110">
                  <c:v>6.3392208225108284</c:v>
                </c:pt>
                <c:pt idx="111">
                  <c:v>6.3186487824597064</c:v>
                </c:pt>
                <c:pt idx="112">
                  <c:v>6.2982368620516125</c:v>
                </c:pt>
                <c:pt idx="113">
                  <c:v>6.2779831243348401</c:v>
                </c:pt>
                <c:pt idx="114">
                  <c:v>6.2578856640692582</c:v>
                </c:pt>
                <c:pt idx="115">
                  <c:v>6.2379426070728412</c:v>
                </c:pt>
                <c:pt idx="116">
                  <c:v>6.2181521095845165</c:v>
                </c:pt>
                <c:pt idx="117">
                  <c:v>6.1985123576426426</c:v>
                </c:pt>
                <c:pt idx="118">
                  <c:v>6.1790215664787942</c:v>
                </c:pt>
                <c:pt idx="119">
                  <c:v>6.1596779799264256</c:v>
                </c:pt>
                <c:pt idx="120">
                  <c:v>6.1404798698438805</c:v>
                </c:pt>
                <c:pt idx="121">
                  <c:v>6.1214255355515625</c:v>
                </c:pt>
                <c:pt idx="122">
                  <c:v>6.1025133032824757</c:v>
                </c:pt>
                <c:pt idx="123">
                  <c:v>6.0837415256462331</c:v>
                </c:pt>
                <c:pt idx="124">
                  <c:v>6.0651085811057603</c:v>
                </c:pt>
                <c:pt idx="125">
                  <c:v>6.0466128734665743</c:v>
                </c:pt>
                <c:pt idx="126">
                  <c:v>6.02825283137817</c:v>
                </c:pt>
                <c:pt idx="127">
                  <c:v>6.0100269078472435</c:v>
                </c:pt>
                <c:pt idx="128">
                  <c:v>5.9919335797623532</c:v>
                </c:pt>
                <c:pt idx="129">
                  <c:v>5.9739713474298481</c:v>
                </c:pt>
                <c:pt idx="130">
                  <c:v>5.9561387341204783</c:v>
                </c:pt>
                <c:pt idx="131">
                  <c:v>5.9384342856267649</c:v>
                </c:pt>
                <c:pt idx="132">
                  <c:v>5.9208565698305291</c:v>
                </c:pt>
                <c:pt idx="133">
                  <c:v>5.903404176280425</c:v>
                </c:pt>
                <c:pt idx="134">
                  <c:v>5.88607571577925</c:v>
                </c:pt>
                <c:pt idx="135">
                  <c:v>5.8688698199806684</c:v>
                </c:pt>
                <c:pt idx="136">
                  <c:v>5.8517851409951938</c:v>
                </c:pt>
                <c:pt idx="137">
                  <c:v>5.8348203510050736</c:v>
                </c:pt>
                <c:pt idx="138">
                  <c:v>5.8179741418879791</c:v>
                </c:pt>
                <c:pt idx="139">
                  <c:v>5.8012452248491169</c:v>
                </c:pt>
                <c:pt idx="140">
                  <c:v>5.7846323300617009</c:v>
                </c:pt>
                <c:pt idx="141">
                  <c:v>5.7681342063153815</c:v>
                </c:pt>
                <c:pt idx="142">
                  <c:v>5.7517496206725625</c:v>
                </c:pt>
                <c:pt idx="143">
                  <c:v>5.7354773581324263</c:v>
                </c:pt>
                <c:pt idx="144">
                  <c:v>5.7193162213022548</c:v>
                </c:pt>
                <c:pt idx="145">
                  <c:v>5.7032650300761247</c:v>
                </c:pt>
                <c:pt idx="146">
                  <c:v>5.6873226213206269</c:v>
                </c:pt>
                <c:pt idx="147">
                  <c:v>5.6714878485674252</c:v>
                </c:pt>
                <c:pt idx="148">
                  <c:v>5.655759581712597</c:v>
                </c:pt>
                <c:pt idx="149">
                  <c:v>5.6401367067224424</c:v>
                </c:pt>
                <c:pt idx="150">
                  <c:v>5.6246181253456822</c:v>
                </c:pt>
                <c:pt idx="151">
                  <c:v>5.6092027548318972</c:v>
                </c:pt>
                <c:pt idx="152">
                  <c:v>5.5938895276559393</c:v>
                </c:pt>
                <c:pt idx="153">
                  <c:v>5.5786773912483438</c:v>
                </c:pt>
                <c:pt idx="154">
                  <c:v>5.5635653077313814</c:v>
                </c:pt>
                <c:pt idx="155">
                  <c:v>5.5485522536608478</c:v>
                </c:pt>
                <c:pt idx="156">
                  <c:v>5.5336372197731709</c:v>
                </c:pt>
                <c:pt idx="157">
                  <c:v>5.5188192107379974</c:v>
                </c:pt>
                <c:pt idx="158">
                  <c:v>5.504097244915882</c:v>
                </c:pt>
                <c:pt idx="159">
                  <c:v>5.4894703541210719</c:v>
                </c:pt>
                <c:pt idx="160">
                  <c:v>5.4749375833892939</c:v>
                </c:pt>
                <c:pt idx="161">
                  <c:v>6.3890953159108639</c:v>
                </c:pt>
                <c:pt idx="162">
                  <c:v>5.4604979907502873</c:v>
                </c:pt>
                <c:pt idx="163">
                  <c:v>5.4461506470051182</c:v>
                </c:pt>
                <c:pt idx="164">
                  <c:v>5.431894635508054</c:v>
                </c:pt>
                <c:pt idx="165">
                  <c:v>5.4177290519529437</c:v>
                </c:pt>
                <c:pt idx="166">
                  <c:v>5.4036530041639619</c:v>
                </c:pt>
                <c:pt idx="167">
                  <c:v>5.3896656118906341</c:v>
                </c:pt>
                <c:pt idx="168">
                  <c:v>5.3757660066070372</c:v>
                </c:pt>
                <c:pt idx="169">
                  <c:v>5.3619533313150729</c:v>
                </c:pt>
                <c:pt idx="170">
                  <c:v>5.3482267403517225</c:v>
                </c:pt>
                <c:pt idx="171">
                  <c:v>5.3345853992001455</c:v>
                </c:pt>
                <c:pt idx="172">
                  <c:v>5.3210284843046471</c:v>
                </c:pt>
                <c:pt idx="173">
                  <c:v>5.30755518288926</c:v>
                </c:pt>
                <c:pt idx="174">
                  <c:v>5.2941646927800052</c:v>
                </c:pt>
                <c:pt idx="175">
                  <c:v>5.2808562222306454</c:v>
                </c:pt>
                <c:pt idx="176">
                  <c:v>5.2676289897519446</c:v>
                </c:pt>
                <c:pt idx="177">
                  <c:v>5.2544822239442013</c:v>
                </c:pt>
                <c:pt idx="178">
                  <c:v>5.2414151633331647</c:v>
                </c:pt>
                <c:pt idx="179">
                  <c:v>5.2284270562091306</c:v>
                </c:pt>
                <c:pt idx="180">
                  <c:v>5.2155171604691732</c:v>
                </c:pt>
                <c:pt idx="181">
                  <c:v>5.2026847434624486</c:v>
                </c:pt>
                <c:pt idx="182">
                  <c:v>5.1899290818385202</c:v>
                </c:pt>
                <c:pt idx="183">
                  <c:v>5.1772494613986009</c:v>
                </c:pt>
                <c:pt idx="184">
                  <c:v>5.1646451769496657</c:v>
                </c:pt>
                <c:pt idx="185">
                  <c:v>5.1521155321613499</c:v>
                </c:pt>
                <c:pt idx="186">
                  <c:v>5.1396598394256214</c:v>
                </c:pt>
                <c:pt idx="187">
                  <c:v>5.1272774197191104</c:v>
                </c:pt>
                <c:pt idx="188">
                  <c:v>5.1149676024680204</c:v>
                </c:pt>
                <c:pt idx="189">
                  <c:v>5.1027297254157054</c:v>
                </c:pt>
                <c:pt idx="190">
                  <c:v>5.0905631344926112</c:v>
                </c:pt>
                <c:pt idx="191">
                  <c:v>5.0784671836887849</c:v>
                </c:pt>
                <c:pt idx="192">
                  <c:v>5.066441234928698</c:v>
                </c:pt>
                <c:pt idx="193">
                  <c:v>5.0544846579484757</c:v>
                </c:pt>
                <c:pt idx="194">
                  <c:v>5.0425968301753308</c:v>
                </c:pt>
                <c:pt idx="195">
                  <c:v>5.030777136609343</c:v>
                </c:pt>
                <c:pt idx="196">
                  <c:v>5.0190249697073392</c:v>
                </c:pt>
                <c:pt idx="197">
                  <c:v>5.0073397292689874</c:v>
                </c:pt>
                <c:pt idx="198">
                  <c:v>4.9957208223249161</c:v>
                </c:pt>
                <c:pt idx="199">
                  <c:v>4.9841676630269811</c:v>
                </c:pt>
                <c:pt idx="200">
                  <c:v>4.9726796725404032</c:v>
                </c:pt>
                <c:pt idx="201">
                  <c:v>4.9612562789380528</c:v>
                </c:pt>
                <c:pt idx="202">
                  <c:v>4.9498969170965195</c:v>
                </c:pt>
                <c:pt idx="203">
                  <c:v>4.9386010285940687</c:v>
                </c:pt>
                <c:pt idx="204">
                  <c:v>4.9273680616105286</c:v>
                </c:pt>
                <c:pt idx="205">
                  <c:v>4.9161974708289264</c:v>
                </c:pt>
                <c:pt idx="206">
                  <c:v>4.9050887173388604</c:v>
                </c:pt>
                <c:pt idx="207">
                  <c:v>4.8940412685416703</c:v>
                </c:pt>
                <c:pt idx="208">
                  <c:v>4.8830545980572619</c:v>
                </c:pt>
                <c:pt idx="209">
                  <c:v>4.8721281856325795</c:v>
                </c:pt>
                <c:pt idx="210">
                  <c:v>4.8612615170517284</c:v>
                </c:pt>
                <c:pt idx="211">
                  <c:v>4.8504540840476595</c:v>
                </c:pt>
                <c:pt idx="212">
                  <c:v>4.8397053842154554</c:v>
                </c:pt>
                <c:pt idx="213">
                  <c:v>4.8290149209270679</c:v>
                </c:pt>
                <c:pt idx="214">
                  <c:v>4.8183822032476291</c:v>
                </c:pt>
                <c:pt idx="215">
                  <c:v>4.8078067458531679</c:v>
                </c:pt>
                <c:pt idx="216">
                  <c:v>4.797288068949773</c:v>
                </c:pt>
                <c:pt idx="217">
                  <c:v>4.7868256981941837</c:v>
                </c:pt>
                <c:pt idx="218">
                  <c:v>4.776419164615735</c:v>
                </c:pt>
                <c:pt idx="219">
                  <c:v>4.7660680045396386</c:v>
                </c:pt>
                <c:pt idx="220">
                  <c:v>4.7557717595115916</c:v>
                </c:pt>
                <c:pt idx="221">
                  <c:v>4.7455299762237173</c:v>
                </c:pt>
                <c:pt idx="222">
                  <c:v>4.7353422064417074</c:v>
                </c:pt>
                <c:pt idx="223">
                  <c:v>4.7252080069332507</c:v>
                </c:pt>
                <c:pt idx="224">
                  <c:v>4.7151269393976767</c:v>
                </c:pt>
                <c:pt idx="225">
                  <c:v>4.7050985703967738</c:v>
                </c:pt>
                <c:pt idx="226">
                  <c:v>4.6951224712867914</c:v>
                </c:pt>
                <c:pt idx="227">
                  <c:v>4.6851982181515677</c:v>
                </c:pt>
                <c:pt idx="228">
                  <c:v>4.6753253917368305</c:v>
                </c:pt>
                <c:pt idx="229">
                  <c:v>4.6655035773855253</c:v>
                </c:pt>
                <c:pt idx="230">
                  <c:v>4.6557323649743099</c:v>
                </c:pt>
                <c:pt idx="231">
                  <c:v>4.6460113488510242</c:v>
                </c:pt>
                <c:pt idx="232">
                  <c:v>4.6363401277732565</c:v>
                </c:pt>
                <c:pt idx="233">
                  <c:v>4.6267183048479099</c:v>
                </c:pt>
                <c:pt idx="234">
                  <c:v>4.6171454874717481</c:v>
                </c:pt>
                <c:pt idx="235">
                  <c:v>4.6076212872729547</c:v>
                </c:pt>
                <c:pt idx="236">
                  <c:v>4.5981453200536411</c:v>
                </c:pt>
                <c:pt idx="237">
                  <c:v>4.5887172057332704</c:v>
                </c:pt>
                <c:pt idx="238">
                  <c:v>4.5793365682930398</c:v>
                </c:pt>
                <c:pt idx="239">
                  <c:v>4.5700030357211503</c:v>
                </c:pt>
                <c:pt idx="240">
                  <c:v>4.5607162399589845</c:v>
                </c:pt>
                <c:pt idx="241">
                  <c:v>4.55147581684811</c:v>
                </c:pt>
                <c:pt idx="242">
                  <c:v>4.5422814060782093</c:v>
                </c:pt>
                <c:pt idx="243">
                  <c:v>4.5331326511357783</c:v>
                </c:pt>
                <c:pt idx="244">
                  <c:v>4.5240291992537127</c:v>
                </c:pt>
                <c:pt idx="245">
                  <c:v>4.51497070136163</c:v>
                </c:pt>
                <c:pt idx="246">
                  <c:v>4.5059568120370512</c:v>
                </c:pt>
                <c:pt idx="247">
                  <c:v>4.4969871894573368</c:v>
                </c:pt>
                <c:pt idx="248">
                  <c:v>4.4880614953523681</c:v>
                </c:pt>
                <c:pt idx="249">
                  <c:v>4.4791793949580088</c:v>
                </c:pt>
                <c:pt idx="250">
                  <c:v>4.4703405569702559</c:v>
                </c:pt>
                <c:pt idx="251">
                  <c:v>4.4615446535001899</c:v>
                </c:pt>
                <c:pt idx="252">
                  <c:v>4.4527913600295594</c:v>
                </c:pt>
                <c:pt idx="253">
                  <c:v>4.4440803553670598</c:v>
                </c:pt>
                <c:pt idx="254">
                  <c:v>4.4354113216054074</c:v>
                </c:pt>
                <c:pt idx="255">
                  <c:v>4.4267839440789105</c:v>
                </c:pt>
                <c:pt idx="256">
                  <c:v>4.4181979113218341</c:v>
                </c:pt>
                <c:pt idx="257">
                  <c:v>4.4096529150273724</c:v>
                </c:pt>
                <c:pt idx="258">
                  <c:v>4.401148650007217</c:v>
                </c:pt>
                <c:pt idx="259">
                  <c:v>4.3926848141518136</c:v>
                </c:pt>
                <c:pt idx="260">
                  <c:v>4.3842611083911729</c:v>
                </c:pt>
                <c:pt idx="261">
                  <c:v>4.3758772366562946</c:v>
                </c:pt>
                <c:pt idx="262">
                  <c:v>4.3675329058412409</c:v>
                </c:pt>
                <c:pt idx="263">
                  <c:v>4.3592278257657036</c:v>
                </c:pt>
                <c:pt idx="264">
                  <c:v>4.3509617091381818</c:v>
                </c:pt>
                <c:pt idx="265">
                  <c:v>4.3427342715197099</c:v>
                </c:pt>
                <c:pt idx="266">
                  <c:v>4.3345452312881569</c:v>
                </c:pt>
                <c:pt idx="267">
                  <c:v>4.3263943096030575</c:v>
                </c:pt>
                <c:pt idx="268">
                  <c:v>4.3182812303709177</c:v>
                </c:pt>
                <c:pt idx="269">
                  <c:v>4.3102057202111048</c:v>
                </c:pt>
                <c:pt idx="270">
                  <c:v>4.3021675084222775</c:v>
                </c:pt>
                <c:pt idx="271">
                  <c:v>4.2941663269492052</c:v>
                </c:pt>
                <c:pt idx="272">
                  <c:v>4.2862019103501696</c:v>
                </c:pt>
                <c:pt idx="273">
                  <c:v>4.278273995764847</c:v>
                </c:pt>
                <c:pt idx="274">
                  <c:v>4.2703823228826208</c:v>
                </c:pt>
                <c:pt idx="275">
                  <c:v>4.2625266339114081</c:v>
                </c:pt>
                <c:pt idx="276">
                  <c:v>4.2547066735469192</c:v>
                </c:pt>
                <c:pt idx="277">
                  <c:v>4.2469221889423796</c:v>
                </c:pt>
                <c:pt idx="278">
                  <c:v>4.2391729296787029</c:v>
                </c:pt>
                <c:pt idx="279">
                  <c:v>4.2314586477350788</c:v>
                </c:pt>
                <c:pt idx="280">
                  <c:v>4.223779097460004</c:v>
                </c:pt>
                <c:pt idx="281">
                  <c:v>4.2161340355427699</c:v>
                </c:pt>
                <c:pt idx="282">
                  <c:v>4.2085232209852768</c:v>
                </c:pt>
                <c:pt idx="283">
                  <c:v>4.2009464150743439</c:v>
                </c:pt>
                <c:pt idx="284">
                  <c:v>4.1934033813543881</c:v>
                </c:pt>
                <c:pt idx="285">
                  <c:v>4.1858938856004668</c:v>
                </c:pt>
                <c:pt idx="286">
                  <c:v>4.178417695791766</c:v>
                </c:pt>
                <c:pt idx="287">
                  <c:v>4.1709745820854307</c:v>
                </c:pt>
                <c:pt idx="288">
                  <c:v>4.1635643167907643</c:v>
                </c:pt>
                <c:pt idx="289">
                  <c:v>4.1561866743438181</c:v>
                </c:pt>
                <c:pt idx="290">
                  <c:v>4.1488414312823503</c:v>
                </c:pt>
                <c:pt idx="291">
                  <c:v>4.1415283662211131</c:v>
                </c:pt>
                <c:pt idx="292">
                  <c:v>4.1342472598274727</c:v>
                </c:pt>
                <c:pt idx="293">
                  <c:v>4.1269978947974675</c:v>
                </c:pt>
                <c:pt idx="294">
                  <c:v>4.1197800558320896</c:v>
                </c:pt>
                <c:pt idx="295">
                  <c:v>4.1125935296139691</c:v>
                </c:pt>
                <c:pt idx="296">
                  <c:v>4.1054381047843593</c:v>
                </c:pt>
                <c:pt idx="297">
                  <c:v>4.098313571920464</c:v>
                </c:pt>
                <c:pt idx="298">
                  <c:v>4.0912197235130598</c:v>
                </c:pt>
                <c:pt idx="299">
                  <c:v>4.0841563539444454</c:v>
                </c:pt>
                <c:pt idx="300">
                  <c:v>4.0771232594666884</c:v>
                </c:pt>
                <c:pt idx="301">
                  <c:v>4.070120238180186</c:v>
                </c:pt>
                <c:pt idx="302">
                  <c:v>4.063147090012496</c:v>
                </c:pt>
                <c:pt idx="303">
                  <c:v>4.0562036166974922</c:v>
                </c:pt>
              </c:numCache>
            </c:numRef>
          </c:xVal>
          <c:yVal>
            <c:numRef>
              <c:f>OF5.4!$E$15:$E$318</c:f>
              <c:numCache>
                <c:formatCode>0.00</c:formatCode>
                <c:ptCount val="304"/>
                <c:pt idx="0">
                  <c:v>180.6757120230709</c:v>
                </c:pt>
                <c:pt idx="1">
                  <c:v>180.88166469887932</c:v>
                </c:pt>
                <c:pt idx="2">
                  <c:v>181.08364362021371</c:v>
                </c:pt>
                <c:pt idx="3">
                  <c:v>181.28174661130922</c:v>
                </c:pt>
                <c:pt idx="4">
                  <c:v>181.47606835917892</c:v>
                </c:pt>
                <c:pt idx="5">
                  <c:v>181.66670053821363</c:v>
                </c:pt>
                <c:pt idx="6">
                  <c:v>181.85373192888241</c:v>
                </c:pt>
                <c:pt idx="7">
                  <c:v>182.03724853085853</c:v>
                </c:pt>
                <c:pt idx="8">
                  <c:v>182.21733367087333</c:v>
                </c:pt>
                <c:pt idx="9">
                  <c:v>182.39406810558404</c:v>
                </c:pt>
                <c:pt idx="10">
                  <c:v>182.56753011972179</c:v>
                </c:pt>
                <c:pt idx="11">
                  <c:v>182.73779561977202</c:v>
                </c:pt>
                <c:pt idx="12">
                  <c:v>182.90493822342225</c:v>
                </c:pt>
                <c:pt idx="13">
                  <c:v>183.0690293449988</c:v>
                </c:pt>
                <c:pt idx="14">
                  <c:v>183.2301382771027</c:v>
                </c:pt>
                <c:pt idx="15">
                  <c:v>183.38833226863878</c:v>
                </c:pt>
                <c:pt idx="16">
                  <c:v>183.54367659942415</c:v>
                </c:pt>
                <c:pt idx="17">
                  <c:v>183.6962346515495</c:v>
                </c:pt>
                <c:pt idx="18">
                  <c:v>183.84606797765738</c:v>
                </c:pt>
                <c:pt idx="19">
                  <c:v>183.99323636629146</c:v>
                </c:pt>
                <c:pt idx="20">
                  <c:v>184.13779790446335</c:v>
                </c:pt>
                <c:pt idx="21">
                  <c:v>184.27980903757341</c:v>
                </c:pt>
                <c:pt idx="22">
                  <c:v>184.41932462681646</c:v>
                </c:pt>
                <c:pt idx="23">
                  <c:v>184.55639800419348</c:v>
                </c:pt>
                <c:pt idx="24">
                  <c:v>184.69108102524689</c:v>
                </c:pt>
                <c:pt idx="25">
                  <c:v>184.82342411962676</c:v>
                </c:pt>
                <c:pt idx="26">
                  <c:v>184.95347633959318</c:v>
                </c:pt>
                <c:pt idx="27">
                  <c:v>185.08128540655113</c:v>
                </c:pt>
                <c:pt idx="28">
                  <c:v>185.20689775571154</c:v>
                </c:pt>
                <c:pt idx="29">
                  <c:v>185.3303585789651</c:v>
                </c:pt>
                <c:pt idx="30">
                  <c:v>185.45171186605302</c:v>
                </c:pt>
                <c:pt idx="31">
                  <c:v>185.5710004441116</c:v>
                </c:pt>
                <c:pt idx="32">
                  <c:v>185.68826601566681</c:v>
                </c:pt>
                <c:pt idx="33">
                  <c:v>185.80354919514821</c:v>
                </c:pt>
                <c:pt idx="34">
                  <c:v>185.91688954398953</c:v>
                </c:pt>
                <c:pt idx="35">
                  <c:v>186.02832560437986</c:v>
                </c:pt>
                <c:pt idx="36">
                  <c:v>186.13789493172456</c:v>
                </c:pt>
                <c:pt idx="37">
                  <c:v>186.24563412587429</c:v>
                </c:pt>
                <c:pt idx="38">
                  <c:v>186.35157886117557</c:v>
                </c:pt>
                <c:pt idx="39">
                  <c:v>186.45576391539481</c:v>
                </c:pt>
                <c:pt idx="40">
                  <c:v>186.55822319756524</c:v>
                </c:pt>
                <c:pt idx="41">
                  <c:v>186.65898977480185</c:v>
                </c:pt>
                <c:pt idx="42">
                  <c:v>186.75809589813096</c:v>
                </c:pt>
                <c:pt idx="43">
                  <c:v>186.85557302737419</c:v>
                </c:pt>
                <c:pt idx="44">
                  <c:v>186.95145185512834</c:v>
                </c:pt>
                <c:pt idx="45">
                  <c:v>187.04576232987924</c:v>
                </c:pt>
                <c:pt idx="46">
                  <c:v>187.138533678285</c:v>
                </c:pt>
                <c:pt idx="47">
                  <c:v>187.2297944266644</c:v>
                </c:pt>
                <c:pt idx="48">
                  <c:v>187.31957242172268</c:v>
                </c:pt>
                <c:pt idx="49">
                  <c:v>187.40789485054583</c:v>
                </c:pt>
                <c:pt idx="50">
                  <c:v>187.49478825989459</c:v>
                </c:pt>
                <c:pt idx="51">
                  <c:v>187.58027857482506</c:v>
                </c:pt>
                <c:pt idx="52">
                  <c:v>187.66439111666429</c:v>
                </c:pt>
                <c:pt idx="53">
                  <c:v>187.74715062036657</c:v>
                </c:pt>
                <c:pt idx="54">
                  <c:v>187.82858125127453</c:v>
                </c:pt>
                <c:pt idx="55">
                  <c:v>187.90870662130993</c:v>
                </c:pt>
                <c:pt idx="56">
                  <c:v>187.98754980461558</c:v>
                </c:pt>
                <c:pt idx="57">
                  <c:v>188.06513335267024</c:v>
                </c:pt>
                <c:pt idx="58">
                  <c:v>188.14147930889791</c:v>
                </c:pt>
                <c:pt idx="59">
                  <c:v>188.21660922278954</c:v>
                </c:pt>
                <c:pt idx="60">
                  <c:v>188.29054416355814</c:v>
                </c:pt>
                <c:pt idx="61">
                  <c:v>188.36330473334283</c:v>
                </c:pt>
                <c:pt idx="62">
                  <c:v>188.43491107998142</c:v>
                </c:pt>
                <c:pt idx="63">
                  <c:v>188.50538290936598</c:v>
                </c:pt>
                <c:pt idx="64">
                  <c:v>188.57473949739841</c:v>
                </c:pt>
                <c:pt idx="65">
                  <c:v>188.64299970156083</c:v>
                </c:pt>
                <c:pt idx="66">
                  <c:v>188.7101819721143</c:v>
                </c:pt>
                <c:pt idx="67">
                  <c:v>188.77630436294137</c:v>
                </c:pt>
                <c:pt idx="68">
                  <c:v>188.84138454204378</c:v>
                </c:pt>
                <c:pt idx="69">
                  <c:v>188.90543980170972</c:v>
                </c:pt>
                <c:pt idx="70">
                  <c:v>188.96848706836124</c:v>
                </c:pt>
                <c:pt idx="71">
                  <c:v>189.03054291209466</c:v>
                </c:pt>
                <c:pt idx="72">
                  <c:v>189.09162355592451</c:v>
                </c:pt>
                <c:pt idx="73">
                  <c:v>189.15174488474156</c:v>
                </c:pt>
                <c:pt idx="74">
                  <c:v>189.21092245399575</c:v>
                </c:pt>
                <c:pt idx="75">
                  <c:v>189.26917149811339</c:v>
                </c:pt>
                <c:pt idx="76">
                  <c:v>189.32650693865799</c:v>
                </c:pt>
                <c:pt idx="77">
                  <c:v>189.38294339224427</c:v>
                </c:pt>
                <c:pt idx="78">
                  <c:v>189.43849517821386</c:v>
                </c:pt>
                <c:pt idx="79">
                  <c:v>189.49317632608009</c:v>
                </c:pt>
                <c:pt idx="80">
                  <c:v>189.54700058275188</c:v>
                </c:pt>
                <c:pt idx="81">
                  <c:v>189.59998141954205</c:v>
                </c:pt>
                <c:pt idx="82">
                  <c:v>189.65213203896965</c:v>
                </c:pt>
                <c:pt idx="83">
                  <c:v>189.7034653813615</c:v>
                </c:pt>
                <c:pt idx="84">
                  <c:v>189.75399413126127</c:v>
                </c:pt>
                <c:pt idx="85">
                  <c:v>189.80373072365143</c:v>
                </c:pt>
                <c:pt idx="86">
                  <c:v>189.85268734999579</c:v>
                </c:pt>
                <c:pt idx="87">
                  <c:v>189.90087596410675</c:v>
                </c:pt>
                <c:pt idx="88">
                  <c:v>189.94830828784518</c:v>
                </c:pt>
                <c:pt idx="89">
                  <c:v>189.99499581665719</c:v>
                </c:pt>
                <c:pt idx="90">
                  <c:v>190.04094982495309</c:v>
                </c:pt>
                <c:pt idx="91">
                  <c:v>190.0861813713349</c:v>
                </c:pt>
                <c:pt idx="92">
                  <c:v>190.13070130367649</c:v>
                </c:pt>
                <c:pt idx="93">
                  <c:v>190.17452026406099</c:v>
                </c:pt>
                <c:pt idx="94">
                  <c:v>190.21764869358071</c:v>
                </c:pt>
                <c:pt idx="95">
                  <c:v>190.260096837004</c:v>
                </c:pt>
                <c:pt idx="96">
                  <c:v>190.30187474731287</c:v>
                </c:pt>
                <c:pt idx="97">
                  <c:v>190.34299229011563</c:v>
                </c:pt>
                <c:pt idx="98">
                  <c:v>190.38345914793922</c:v>
                </c:pt>
                <c:pt idx="99">
                  <c:v>190.42328482440365</c:v>
                </c:pt>
                <c:pt idx="100">
                  <c:v>190.46247864828422</c:v>
                </c:pt>
                <c:pt idx="101">
                  <c:v>190.50104977746298</c:v>
                </c:pt>
                <c:pt idx="102">
                  <c:v>190.53900720277457</c:v>
                </c:pt>
                <c:pt idx="103">
                  <c:v>190.57635975174858</c:v>
                </c:pt>
                <c:pt idx="104">
                  <c:v>190.61311609225265</c:v>
                </c:pt>
                <c:pt idx="105">
                  <c:v>190.64928473603834</c:v>
                </c:pt>
                <c:pt idx="106">
                  <c:v>190.68487404219374</c:v>
                </c:pt>
                <c:pt idx="107">
                  <c:v>190.71989222050482</c:v>
                </c:pt>
                <c:pt idx="108">
                  <c:v>190.75434733472906</c:v>
                </c:pt>
                <c:pt idx="109">
                  <c:v>190.78824730578344</c:v>
                </c:pt>
                <c:pt idx="110">
                  <c:v>190.82159991484971</c:v>
                </c:pt>
                <c:pt idx="111">
                  <c:v>190.85441280639952</c:v>
                </c:pt>
                <c:pt idx="112">
                  <c:v>190.88669349114122</c:v>
                </c:pt>
                <c:pt idx="113">
                  <c:v>190.91844934889144</c:v>
                </c:pt>
                <c:pt idx="114">
                  <c:v>190.94968763137331</c:v>
                </c:pt>
                <c:pt idx="115">
                  <c:v>190.98041546494343</c:v>
                </c:pt>
                <c:pt idx="116">
                  <c:v>191.01063985324973</c:v>
                </c:pt>
                <c:pt idx="117">
                  <c:v>191.04036767982248</c:v>
                </c:pt>
                <c:pt idx="118">
                  <c:v>191.06960571060003</c:v>
                </c:pt>
                <c:pt idx="119">
                  <c:v>191.09836059639159</c:v>
                </c:pt>
                <c:pt idx="120">
                  <c:v>191.12663887527853</c:v>
                </c:pt>
                <c:pt idx="121">
                  <c:v>191.15444697495624</c:v>
                </c:pt>
                <c:pt idx="122">
                  <c:v>191.1817912150178</c:v>
                </c:pt>
                <c:pt idx="123">
                  <c:v>191.20867780918203</c:v>
                </c:pt>
                <c:pt idx="124">
                  <c:v>191.23511286746648</c:v>
                </c:pt>
                <c:pt idx="125">
                  <c:v>191.26110239830746</c:v>
                </c:pt>
                <c:pt idx="126">
                  <c:v>191.2866523106288</c:v>
                </c:pt>
                <c:pt idx="127">
                  <c:v>191.31176841586012</c:v>
                </c:pt>
                <c:pt idx="128">
                  <c:v>191.33645642990697</c:v>
                </c:pt>
                <c:pt idx="129">
                  <c:v>191.36072197507306</c:v>
                </c:pt>
                <c:pt idx="130">
                  <c:v>191.38457058193666</c:v>
                </c:pt>
                <c:pt idx="131">
                  <c:v>191.40800769118283</c:v>
                </c:pt>
                <c:pt idx="132">
                  <c:v>191.43103865539123</c:v>
                </c:pt>
                <c:pt idx="133">
                  <c:v>191.45366874078255</c:v>
                </c:pt>
                <c:pt idx="134">
                  <c:v>191.47590312892316</c:v>
                </c:pt>
                <c:pt idx="135">
                  <c:v>191.49774691838996</c:v>
                </c:pt>
                <c:pt idx="136">
                  <c:v>191.51920512639666</c:v>
                </c:pt>
                <c:pt idx="137">
                  <c:v>191.54028269038156</c:v>
                </c:pt>
                <c:pt idx="138">
                  <c:v>191.56098446955895</c:v>
                </c:pt>
                <c:pt idx="139">
                  <c:v>191.58131524643468</c:v>
                </c:pt>
                <c:pt idx="140">
                  <c:v>191.60127972828656</c:v>
                </c:pt>
                <c:pt idx="141">
                  <c:v>191.62088254861095</c:v>
                </c:pt>
                <c:pt idx="142">
                  <c:v>191.6401282685365</c:v>
                </c:pt>
                <c:pt idx="143">
                  <c:v>191.6590213782053</c:v>
                </c:pt>
                <c:pt idx="144">
                  <c:v>191.67756629812294</c:v>
                </c:pt>
                <c:pt idx="145">
                  <c:v>191.69576738047834</c:v>
                </c:pt>
                <c:pt idx="146">
                  <c:v>191.71362891043321</c:v>
                </c:pt>
                <c:pt idx="147">
                  <c:v>191.73115510738333</c:v>
                </c:pt>
                <c:pt idx="148">
                  <c:v>191.74835012619101</c:v>
                </c:pt>
                <c:pt idx="149">
                  <c:v>191.76521805839056</c:v>
                </c:pt>
                <c:pt idx="150">
                  <c:v>191.78176293336685</c:v>
                </c:pt>
                <c:pt idx="151">
                  <c:v>191.79798871950757</c:v>
                </c:pt>
                <c:pt idx="152">
                  <c:v>191.81389932533088</c:v>
                </c:pt>
                <c:pt idx="153">
                  <c:v>191.82949860058741</c:v>
                </c:pt>
                <c:pt idx="154">
                  <c:v>191.84479033733865</c:v>
                </c:pt>
                <c:pt idx="155">
                  <c:v>191.85977827101166</c:v>
                </c:pt>
                <c:pt idx="156">
                  <c:v>191.87446608143131</c:v>
                </c:pt>
                <c:pt idx="157">
                  <c:v>191.88885739382957</c:v>
                </c:pt>
                <c:pt idx="158">
                  <c:v>191.90295577983341</c:v>
                </c:pt>
                <c:pt idx="159">
                  <c:v>191.91676475843144</c:v>
                </c:pt>
                <c:pt idx="160">
                  <c:v>191.93028779691983</c:v>
                </c:pt>
                <c:pt idx="161">
                  <c:v>190.7408996261243</c:v>
                </c:pt>
                <c:pt idx="162">
                  <c:v>191.94352831182803</c:v>
                </c:pt>
                <c:pt idx="163">
                  <c:v>191.9564896698248</c:v>
                </c:pt>
                <c:pt idx="164">
                  <c:v>191.96917518860522</c:v>
                </c:pt>
                <c:pt idx="165">
                  <c:v>191.98158813775851</c:v>
                </c:pt>
                <c:pt idx="166">
                  <c:v>191.99373173961854</c:v>
                </c:pt>
                <c:pt idx="167">
                  <c:v>192.005609170095</c:v>
                </c:pt>
                <c:pt idx="168">
                  <c:v>192.01722355948908</c:v>
                </c:pt>
                <c:pt idx="169">
                  <c:v>192.02857799329033</c:v>
                </c:pt>
                <c:pt idx="170">
                  <c:v>192.0396755129583</c:v>
                </c:pt>
                <c:pt idx="171">
                  <c:v>192.05051911668752</c:v>
                </c:pt>
                <c:pt idx="172">
                  <c:v>192.06111176015659</c:v>
                </c:pt>
                <c:pt idx="173">
                  <c:v>192.07145635726204</c:v>
                </c:pt>
                <c:pt idx="174">
                  <c:v>192.08155578083725</c:v>
                </c:pt>
                <c:pt idx="175">
                  <c:v>192.09141286335665</c:v>
                </c:pt>
                <c:pt idx="176">
                  <c:v>192.10103039762538</c:v>
                </c:pt>
                <c:pt idx="177">
                  <c:v>192.11041113745517</c:v>
                </c:pt>
                <c:pt idx="178">
                  <c:v>192.11955779832667</c:v>
                </c:pt>
                <c:pt idx="179">
                  <c:v>192.12847305803811</c:v>
                </c:pt>
                <c:pt idx="180">
                  <c:v>192.13715955734142</c:v>
                </c:pt>
                <c:pt idx="181">
                  <c:v>192.14561990056495</c:v>
                </c:pt>
                <c:pt idx="182">
                  <c:v>192.15385665622443</c:v>
                </c:pt>
                <c:pt idx="183">
                  <c:v>192.16187235762149</c:v>
                </c:pt>
                <c:pt idx="184">
                  <c:v>192.16966950343024</c:v>
                </c:pt>
                <c:pt idx="185">
                  <c:v>192.17725055827236</c:v>
                </c:pt>
                <c:pt idx="186">
                  <c:v>192.18461795328102</c:v>
                </c:pt>
                <c:pt idx="187">
                  <c:v>192.19177408665348</c:v>
                </c:pt>
                <c:pt idx="188">
                  <c:v>192.198721324193</c:v>
                </c:pt>
                <c:pt idx="189">
                  <c:v>192.20546199984</c:v>
                </c:pt>
                <c:pt idx="190">
                  <c:v>192.21199841619352</c:v>
                </c:pt>
                <c:pt idx="191">
                  <c:v>192.21833284502159</c:v>
                </c:pt>
                <c:pt idx="192">
                  <c:v>192.22446752776258</c:v>
                </c:pt>
                <c:pt idx="193">
                  <c:v>192.2304046760166</c:v>
                </c:pt>
                <c:pt idx="194">
                  <c:v>192.23614647202717</c:v>
                </c:pt>
                <c:pt idx="195">
                  <c:v>192.24169506915433</c:v>
                </c:pt>
                <c:pt idx="196">
                  <c:v>192.24705259233804</c:v>
                </c:pt>
                <c:pt idx="197">
                  <c:v>192.25222113855321</c:v>
                </c:pt>
                <c:pt idx="198">
                  <c:v>192.257202777256</c:v>
                </c:pt>
                <c:pt idx="199">
                  <c:v>192.26199955082157</c:v>
                </c:pt>
                <c:pt idx="200">
                  <c:v>192.26661347497361</c:v>
                </c:pt>
                <c:pt idx="201">
                  <c:v>192.271046539206</c:v>
                </c:pt>
                <c:pt idx="202">
                  <c:v>192.27530070719641</c:v>
                </c:pt>
                <c:pt idx="203">
                  <c:v>192.27937791721189</c:v>
                </c:pt>
                <c:pt idx="204">
                  <c:v>192.2832800825077</c:v>
                </c:pt>
                <c:pt idx="205">
                  <c:v>192.28700909171781</c:v>
                </c:pt>
                <c:pt idx="206">
                  <c:v>192.29056680923878</c:v>
                </c:pt>
                <c:pt idx="207">
                  <c:v>192.29395507560648</c:v>
                </c:pt>
                <c:pt idx="208">
                  <c:v>192.29717570786556</c:v>
                </c:pt>
                <c:pt idx="209">
                  <c:v>192.30023049993255</c:v>
                </c:pt>
                <c:pt idx="210">
                  <c:v>192.303121222952</c:v>
                </c:pt>
                <c:pt idx="211">
                  <c:v>192.3058496256464</c:v>
                </c:pt>
                <c:pt idx="212">
                  <c:v>192.30841743465945</c:v>
                </c:pt>
                <c:pt idx="213">
                  <c:v>192.31082635489344</c:v>
                </c:pt>
                <c:pt idx="214">
                  <c:v>192.31307806984006</c:v>
                </c:pt>
                <c:pt idx="215">
                  <c:v>192.31517424190594</c:v>
                </c:pt>
                <c:pt idx="216">
                  <c:v>192.31711651273147</c:v>
                </c:pt>
                <c:pt idx="217">
                  <c:v>192.31890650350479</c:v>
                </c:pt>
                <c:pt idx="218">
                  <c:v>192.32054581526953</c:v>
                </c:pt>
                <c:pt idx="219">
                  <c:v>192.32203602922723</c:v>
                </c:pt>
                <c:pt idx="220">
                  <c:v>192.32337870703483</c:v>
                </c:pt>
                <c:pt idx="221">
                  <c:v>192.32457539109586</c:v>
                </c:pt>
                <c:pt idx="222">
                  <c:v>192.3256276048478</c:v>
                </c:pt>
                <c:pt idx="223">
                  <c:v>192.32653685304328</c:v>
                </c:pt>
                <c:pt idx="224">
                  <c:v>192.32730462202707</c:v>
                </c:pt>
                <c:pt idx="225">
                  <c:v>192.32793238000752</c:v>
                </c:pt>
                <c:pt idx="226">
                  <c:v>192.32842157732429</c:v>
                </c:pt>
                <c:pt idx="227">
                  <c:v>192.32877364671012</c:v>
                </c:pt>
                <c:pt idx="228">
                  <c:v>192.32899000354908</c:v>
                </c:pt>
                <c:pt idx="229">
                  <c:v>192.32907204612999</c:v>
                </c:pt>
                <c:pt idx="230">
                  <c:v>192.32902115589553</c:v>
                </c:pt>
                <c:pt idx="231">
                  <c:v>192.32883869768671</c:v>
                </c:pt>
                <c:pt idx="232">
                  <c:v>192.32852601998374</c:v>
                </c:pt>
                <c:pt idx="233">
                  <c:v>192.32808445514215</c:v>
                </c:pt>
                <c:pt idx="234">
                  <c:v>192.32751531962546</c:v>
                </c:pt>
                <c:pt idx="235">
                  <c:v>192.32681991423362</c:v>
                </c:pt>
                <c:pt idx="236">
                  <c:v>192.32599952432736</c:v>
                </c:pt>
                <c:pt idx="237">
                  <c:v>192.32505542004907</c:v>
                </c:pt>
                <c:pt idx="238">
                  <c:v>192.32398885653967</c:v>
                </c:pt>
                <c:pt idx="239">
                  <c:v>192.32280107415238</c:v>
                </c:pt>
                <c:pt idx="240">
                  <c:v>192.32149329866195</c:v>
                </c:pt>
                <c:pt idx="241">
                  <c:v>192.32006674147138</c:v>
                </c:pt>
                <c:pt idx="242">
                  <c:v>192.31852259981443</c:v>
                </c:pt>
                <c:pt idx="243">
                  <c:v>192.31686205695524</c:v>
                </c:pt>
                <c:pt idx="244">
                  <c:v>192.31508628238444</c:v>
                </c:pt>
                <c:pt idx="245">
                  <c:v>192.31319643201189</c:v>
                </c:pt>
                <c:pt idx="246">
                  <c:v>192.31119364835641</c:v>
                </c:pt>
                <c:pt idx="247">
                  <c:v>192.30907906073239</c:v>
                </c:pt>
                <c:pt idx="248">
                  <c:v>192.30685378543325</c:v>
                </c:pt>
                <c:pt idx="249">
                  <c:v>192.30451892591188</c:v>
                </c:pt>
                <c:pt idx="250">
                  <c:v>192.30207557295816</c:v>
                </c:pt>
                <c:pt idx="251">
                  <c:v>192.29952480487361</c:v>
                </c:pt>
                <c:pt idx="252">
                  <c:v>192.29686768764316</c:v>
                </c:pt>
                <c:pt idx="253">
                  <c:v>192.29410527510399</c:v>
                </c:pt>
                <c:pt idx="254">
                  <c:v>192.2912386091121</c:v>
                </c:pt>
                <c:pt idx="255">
                  <c:v>192.2882687197056</c:v>
                </c:pt>
                <c:pt idx="256">
                  <c:v>192.28519662526563</c:v>
                </c:pt>
                <c:pt idx="257">
                  <c:v>192.28202333267504</c:v>
                </c:pt>
                <c:pt idx="258">
                  <c:v>192.27874983747367</c:v>
                </c:pt>
                <c:pt idx="259">
                  <c:v>192.27537712401218</c:v>
                </c:pt>
                <c:pt idx="260">
                  <c:v>192.27190616560253</c:v>
                </c:pt>
                <c:pt idx="261">
                  <c:v>192.26833792466672</c:v>
                </c:pt>
                <c:pt idx="262">
                  <c:v>192.26467335288268</c:v>
                </c:pt>
                <c:pt idx="263">
                  <c:v>192.26091339132836</c:v>
                </c:pt>
                <c:pt idx="264">
                  <c:v>192.25705897062281</c:v>
                </c:pt>
                <c:pt idx="265">
                  <c:v>192.25311101106598</c:v>
                </c:pt>
                <c:pt idx="266">
                  <c:v>192.24907042277553</c:v>
                </c:pt>
                <c:pt idx="267">
                  <c:v>192.24493810582183</c:v>
                </c:pt>
                <c:pt idx="268">
                  <c:v>192.24071495036091</c:v>
                </c:pt>
                <c:pt idx="269">
                  <c:v>192.23640183676505</c:v>
                </c:pt>
                <c:pt idx="270">
                  <c:v>192.23199963575192</c:v>
                </c:pt>
                <c:pt idx="271">
                  <c:v>192.22750920851087</c:v>
                </c:pt>
                <c:pt idx="272">
                  <c:v>192.222931406828</c:v>
                </c:pt>
                <c:pt idx="273">
                  <c:v>192.21826707320889</c:v>
                </c:pt>
                <c:pt idx="274">
                  <c:v>192.21351704099976</c:v>
                </c:pt>
                <c:pt idx="275">
                  <c:v>192.20868213450629</c:v>
                </c:pt>
                <c:pt idx="276">
                  <c:v>192.20376316911117</c:v>
                </c:pt>
                <c:pt idx="277">
                  <c:v>192.1987609513896</c:v>
                </c:pt>
                <c:pt idx="278">
                  <c:v>192.19367627922259</c:v>
                </c:pt>
                <c:pt idx="279">
                  <c:v>192.1885099419097</c:v>
                </c:pt>
                <c:pt idx="280">
                  <c:v>192.18326272027855</c:v>
                </c:pt>
                <c:pt idx="281">
                  <c:v>192.17793538679413</c:v>
                </c:pt>
                <c:pt idx="282">
                  <c:v>192.17252870566534</c:v>
                </c:pt>
                <c:pt idx="283">
                  <c:v>192.16704343295055</c:v>
                </c:pt>
                <c:pt idx="284">
                  <c:v>192.1614803166614</c:v>
                </c:pt>
                <c:pt idx="285">
                  <c:v>192.15584009686484</c:v>
                </c:pt>
                <c:pt idx="286">
                  <c:v>192.15012350578425</c:v>
                </c:pt>
                <c:pt idx="287">
                  <c:v>192.14433126789825</c:v>
                </c:pt>
                <c:pt idx="288">
                  <c:v>192.13846410003856</c:v>
                </c:pt>
                <c:pt idx="289">
                  <c:v>192.13252271148633</c:v>
                </c:pt>
                <c:pt idx="290">
                  <c:v>192.12650780406702</c:v>
                </c:pt>
                <c:pt idx="291">
                  <c:v>192.12042007224352</c:v>
                </c:pt>
                <c:pt idx="292">
                  <c:v>192.11426020320872</c:v>
                </c:pt>
                <c:pt idx="293">
                  <c:v>192.10802887697579</c:v>
                </c:pt>
                <c:pt idx="294">
                  <c:v>192.10172676646789</c:v>
                </c:pt>
                <c:pt idx="295">
                  <c:v>192.09535453760597</c:v>
                </c:pt>
                <c:pt idx="296">
                  <c:v>192.08891284939571</c:v>
                </c:pt>
                <c:pt idx="297">
                  <c:v>192.08240235401294</c:v>
                </c:pt>
                <c:pt idx="298">
                  <c:v>192.07582369688802</c:v>
                </c:pt>
                <c:pt idx="299">
                  <c:v>192.06917751678878</c:v>
                </c:pt>
                <c:pt idx="300">
                  <c:v>192.06246444590255</c:v>
                </c:pt>
                <c:pt idx="301">
                  <c:v>192.05568510991657</c:v>
                </c:pt>
                <c:pt idx="302">
                  <c:v>192.04884012809765</c:v>
                </c:pt>
                <c:pt idx="303">
                  <c:v>192.04193011337037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OF5.4!$E$14</c15:sqref>
                        </c15:formulaRef>
                      </c:ext>
                    </c:extLst>
                    <c:strCache>
                      <c:ptCount val="1"/>
                      <c:pt idx="0">
                        <c:v>Isp (s)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123D-49E2-8915-A923C237D1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4708480"/>
        <c:axId val="224709656"/>
      </c:scatterChart>
      <c:valAx>
        <c:axId val="224708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Nozzle Area Expansion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709656"/>
        <c:crosses val="autoZero"/>
        <c:crossBetween val="midCat"/>
      </c:valAx>
      <c:valAx>
        <c:axId val="224709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</a:t>
                </a:r>
                <a:r>
                  <a:rPr lang="en-US" baseline="-25000"/>
                  <a:t>sp</a:t>
                </a:r>
                <a:r>
                  <a:rPr lang="en-US" baseline="0"/>
                  <a:t> Initial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708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OF5.4!$C$15:$C$318</c:f>
              <c:numCache>
                <c:formatCode>0.00</c:formatCode>
                <c:ptCount val="304"/>
                <c:pt idx="0">
                  <c:v>10.409493444728808</c:v>
                </c:pt>
                <c:pt idx="1">
                  <c:v>10.342772365307727</c:v>
                </c:pt>
                <c:pt idx="2">
                  <c:v>10.277049891099866</c:v>
                </c:pt>
                <c:pt idx="3">
                  <c:v>10.21230290209227</c:v>
                </c:pt>
                <c:pt idx="4">
                  <c:v>10.148508999391336</c:v>
                </c:pt>
                <c:pt idx="5">
                  <c:v>10.085646477034452</c:v>
                </c:pt>
                <c:pt idx="6">
                  <c:v>10.023694295122839</c:v>
                </c:pt>
                <c:pt idx="7">
                  <c:v>9.9626320542027518</c:v>
                </c:pt>
                <c:pt idx="8">
                  <c:v>9.9024399708284783</c:v>
                </c:pt>
                <c:pt idx="9">
                  <c:v>9.843098854242962</c:v>
                </c:pt>
                <c:pt idx="10">
                  <c:v>9.7845900841169726</c:v>
                </c:pt>
                <c:pt idx="11">
                  <c:v>9.7268955892908728</c:v>
                </c:pt>
                <c:pt idx="12">
                  <c:v>9.6699978274663518</c:v>
                </c:pt>
                <c:pt idx="13">
                  <c:v>9.6138797657989787</c:v>
                </c:pt>
                <c:pt idx="14">
                  <c:v>9.5585248623445995</c:v>
                </c:pt>
                <c:pt idx="15">
                  <c:v>9.5039170483164437</c:v>
                </c:pt>
                <c:pt idx="16">
                  <c:v>9.4500407111113311</c:v>
                </c:pt>
                <c:pt idx="17">
                  <c:v>9.3968806780662</c:v>
                </c:pt>
                <c:pt idx="18">
                  <c:v>9.3444222009086602</c:v>
                </c:pt>
                <c:pt idx="19">
                  <c:v>9.2926509408667339</c:v>
                </c:pt>
                <c:pt idx="20">
                  <c:v>9.241552954405444</c:v>
                </c:pt>
                <c:pt idx="21">
                  <c:v>9.1911146795594636</c:v>
                </c:pt>
                <c:pt idx="22">
                  <c:v>9.1413229228328632</c:v>
                </c:pt>
                <c:pt idx="23">
                  <c:v>9.092164846638596</c:v>
                </c:pt>
                <c:pt idx="24">
                  <c:v>9.0436279572516671</c:v>
                </c:pt>
                <c:pt idx="25">
                  <c:v>8.9957000932517648</c:v>
                </c:pt>
                <c:pt idx="26">
                  <c:v>8.9483694144320367</c:v>
                </c:pt>
                <c:pt idx="27">
                  <c:v>8.9016243911520707</c:v>
                </c:pt>
                <c:pt idx="28">
                  <c:v>8.8554537941146485</c:v>
                </c:pt>
                <c:pt idx="29">
                  <c:v>8.8098466845463062</c:v>
                </c:pt>
                <c:pt idx="30">
                  <c:v>8.7647924047631793</c:v>
                </c:pt>
                <c:pt idx="31">
                  <c:v>8.7202805691048635</c:v>
                </c:pt>
                <c:pt idx="32">
                  <c:v>8.6763010552190121</c:v>
                </c:pt>
                <c:pt idx="33">
                  <c:v>8.6328439956813963</c:v>
                </c:pt>
                <c:pt idx="34">
                  <c:v>8.58989976993605</c:v>
                </c:pt>
                <c:pt idx="35">
                  <c:v>8.5474589965413781</c:v>
                </c:pt>
                <c:pt idx="36">
                  <c:v>8.505512525708685</c:v>
                </c:pt>
                <c:pt idx="37">
                  <c:v>8.4640514321203</c:v>
                </c:pt>
                <c:pt idx="38">
                  <c:v>8.4230670080150958</c:v>
                </c:pt>
                <c:pt idx="39">
                  <c:v>8.3825507565296977</c:v>
                </c:pt>
                <c:pt idx="40">
                  <c:v>8.3424943852844873</c:v>
                </c:pt>
                <c:pt idx="41">
                  <c:v>8.302889800203932</c:v>
                </c:pt>
                <c:pt idx="42">
                  <c:v>8.2637290995610915</c:v>
                </c:pt>
                <c:pt idx="43">
                  <c:v>8.2250045682370807</c:v>
                </c:pt>
                <c:pt idx="44">
                  <c:v>8.1867086721861746</c:v>
                </c:pt>
                <c:pt idx="45">
                  <c:v>8.1488340530982022</c:v>
                </c:pt>
                <c:pt idx="46">
                  <c:v>8.1113735232499007</c:v>
                </c:pt>
                <c:pt idx="47">
                  <c:v>8.0743200605374899</c:v>
                </c:pt>
                <c:pt idx="48">
                  <c:v>8.0376668036829617</c:v>
                </c:pt>
                <c:pt idx="49">
                  <c:v>8.0014070476071488</c:v>
                </c:pt>
                <c:pt idx="50">
                  <c:v>7.9655342389626007</c:v>
                </c:pt>
                <c:pt idx="51">
                  <c:v>7.930041971820077</c:v>
                </c:pt>
                <c:pt idx="52">
                  <c:v>7.8949239835022968</c:v>
                </c:pt>
                <c:pt idx="53">
                  <c:v>7.8601741505591267</c:v>
                </c:pt>
                <c:pt idx="54">
                  <c:v>7.8257864848787619</c:v>
                </c:pt>
                <c:pt idx="55">
                  <c:v>7.7917551299293359</c:v>
                </c:pt>
                <c:pt idx="56">
                  <c:v>7.7580743571259205</c:v>
                </c:pt>
                <c:pt idx="57">
                  <c:v>7.7247385623182208</c:v>
                </c:pt>
                <c:pt idx="58">
                  <c:v>7.6917422623939409</c:v>
                </c:pt>
                <c:pt idx="59">
                  <c:v>7.6590800919937454</c:v>
                </c:pt>
                <c:pt idx="60">
                  <c:v>7.626746800333251</c:v>
                </c:pt>
                <c:pt idx="61">
                  <c:v>7.594737248128145</c:v>
                </c:pt>
                <c:pt idx="62">
                  <c:v>7.5630464046185679</c:v>
                </c:pt>
                <c:pt idx="63">
                  <c:v>7.5316693446887513</c:v>
                </c:pt>
                <c:pt idx="64">
                  <c:v>7.5006012460787641</c:v>
                </c:pt>
                <c:pt idx="65">
                  <c:v>7.4698373866845715</c:v>
                </c:pt>
                <c:pt idx="66">
                  <c:v>7.4393731419432987</c:v>
                </c:pt>
                <c:pt idx="67">
                  <c:v>7.4092039823006575</c:v>
                </c:pt>
                <c:pt idx="68">
                  <c:v>7.3793254707573022</c:v>
                </c:pt>
                <c:pt idx="69">
                  <c:v>7.349733260491341</c:v>
                </c:pt>
                <c:pt idx="70">
                  <c:v>7.3204230925544831</c:v>
                </c:pt>
                <c:pt idx="71">
                  <c:v>7.2913907936386773</c:v>
                </c:pt>
                <c:pt idx="72">
                  <c:v>7.2626322739111693</c:v>
                </c:pt>
                <c:pt idx="73">
                  <c:v>7.2341435249152886</c:v>
                </c:pt>
                <c:pt idx="74">
                  <c:v>7.2059206175347335</c:v>
                </c:pt>
                <c:pt idx="75">
                  <c:v>7.1779597000190991</c:v>
                </c:pt>
                <c:pt idx="76">
                  <c:v>7.1502569960684284</c:v>
                </c:pt>
                <c:pt idx="77">
                  <c:v>7.1228088029749115</c:v>
                </c:pt>
                <c:pt idx="78">
                  <c:v>7.0956114898194143</c:v>
                </c:pt>
                <c:pt idx="79">
                  <c:v>7.0686614957214431</c:v>
                </c:pt>
                <c:pt idx="80">
                  <c:v>7.0419553281400997</c:v>
                </c:pt>
                <c:pt idx="81">
                  <c:v>7.0154895612248573</c:v>
                </c:pt>
                <c:pt idx="82">
                  <c:v>6.989260834214039</c:v>
                </c:pt>
                <c:pt idx="83">
                  <c:v>6.9632658498796607</c:v>
                </c:pt>
                <c:pt idx="84">
                  <c:v>6.9375013730168522</c:v>
                </c:pt>
                <c:pt idx="85">
                  <c:v>6.911964228976613</c:v>
                </c:pt>
                <c:pt idx="86">
                  <c:v>6.8866513022401241</c:v>
                </c:pt>
                <c:pt idx="87">
                  <c:v>6.8615595350336447</c:v>
                </c:pt>
                <c:pt idx="88">
                  <c:v>6.8366859259822901</c:v>
                </c:pt>
                <c:pt idx="89">
                  <c:v>6.8120275288015986</c:v>
                </c:pt>
                <c:pt idx="90">
                  <c:v>6.7875814510256607</c:v>
                </c:pt>
                <c:pt idx="91">
                  <c:v>6.7633448527704569</c:v>
                </c:pt>
                <c:pt idx="92">
                  <c:v>6.7393149455314898</c:v>
                </c:pt>
                <c:pt idx="93">
                  <c:v>6.7154889910144639</c:v>
                </c:pt>
                <c:pt idx="94">
                  <c:v>6.6918642999979401</c:v>
                </c:pt>
                <c:pt idx="95">
                  <c:v>6.6684382312269763</c:v>
                </c:pt>
                <c:pt idx="96">
                  <c:v>6.6452081903369233</c:v>
                </c:pt>
                <c:pt idx="97">
                  <c:v>6.6221716288059946</c:v>
                </c:pt>
                <c:pt idx="98">
                  <c:v>6.5993260429362763</c:v>
                </c:pt>
                <c:pt idx="99">
                  <c:v>6.5766689728617864</c:v>
                </c:pt>
                <c:pt idx="100">
                  <c:v>6.5541980015830426</c:v>
                </c:pt>
                <c:pt idx="101">
                  <c:v>6.5319107540271792</c:v>
                </c:pt>
                <c:pt idx="102">
                  <c:v>6.5098048961328994</c:v>
                </c:pt>
                <c:pt idx="103">
                  <c:v>6.4878781339593559</c:v>
                </c:pt>
                <c:pt idx="104">
                  <c:v>6.4661282128184974</c:v>
                </c:pt>
                <c:pt idx="105">
                  <c:v>6.4445529164298003</c:v>
                </c:pt>
                <c:pt idx="106">
                  <c:v>6.4231500660970928</c:v>
                </c:pt>
                <c:pt idx="107">
                  <c:v>6.4019175199064478</c:v>
                </c:pt>
                <c:pt idx="108">
                  <c:v>6.3808531719447918</c:v>
                </c:pt>
                <c:pt idx="109">
                  <c:v>6.3599549515383815</c:v>
                </c:pt>
                <c:pt idx="110">
                  <c:v>6.3392208225108284</c:v>
                </c:pt>
                <c:pt idx="111">
                  <c:v>6.3186487824597064</c:v>
                </c:pt>
                <c:pt idx="112">
                  <c:v>6.2982368620516125</c:v>
                </c:pt>
                <c:pt idx="113">
                  <c:v>6.2779831243348401</c:v>
                </c:pt>
                <c:pt idx="114">
                  <c:v>6.2578856640692582</c:v>
                </c:pt>
                <c:pt idx="115">
                  <c:v>6.2379426070728412</c:v>
                </c:pt>
                <c:pt idx="116">
                  <c:v>6.2181521095845165</c:v>
                </c:pt>
                <c:pt idx="117">
                  <c:v>6.1985123576426426</c:v>
                </c:pt>
                <c:pt idx="118">
                  <c:v>6.1790215664787942</c:v>
                </c:pt>
                <c:pt idx="119">
                  <c:v>6.1596779799264256</c:v>
                </c:pt>
                <c:pt idx="120">
                  <c:v>6.1404798698438805</c:v>
                </c:pt>
                <c:pt idx="121">
                  <c:v>6.1214255355515625</c:v>
                </c:pt>
                <c:pt idx="122">
                  <c:v>6.1025133032824757</c:v>
                </c:pt>
                <c:pt idx="123">
                  <c:v>6.0837415256462331</c:v>
                </c:pt>
                <c:pt idx="124">
                  <c:v>6.0651085811057603</c:v>
                </c:pt>
                <c:pt idx="125">
                  <c:v>6.0466128734665743</c:v>
                </c:pt>
                <c:pt idx="126">
                  <c:v>6.02825283137817</c:v>
                </c:pt>
                <c:pt idx="127">
                  <c:v>6.0100269078472435</c:v>
                </c:pt>
                <c:pt idx="128">
                  <c:v>5.9919335797623532</c:v>
                </c:pt>
                <c:pt idx="129">
                  <c:v>5.9739713474298481</c:v>
                </c:pt>
                <c:pt idx="130">
                  <c:v>5.9561387341204783</c:v>
                </c:pt>
                <c:pt idx="131">
                  <c:v>5.9384342856267649</c:v>
                </c:pt>
                <c:pt idx="132">
                  <c:v>5.9208565698305291</c:v>
                </c:pt>
                <c:pt idx="133">
                  <c:v>5.903404176280425</c:v>
                </c:pt>
                <c:pt idx="134">
                  <c:v>5.88607571577925</c:v>
                </c:pt>
                <c:pt idx="135">
                  <c:v>5.8688698199806684</c:v>
                </c:pt>
                <c:pt idx="136">
                  <c:v>5.8517851409951938</c:v>
                </c:pt>
                <c:pt idx="137">
                  <c:v>5.8348203510050736</c:v>
                </c:pt>
                <c:pt idx="138">
                  <c:v>5.8179741418879791</c:v>
                </c:pt>
                <c:pt idx="139">
                  <c:v>5.8012452248491169</c:v>
                </c:pt>
                <c:pt idx="140">
                  <c:v>5.7846323300617009</c:v>
                </c:pt>
                <c:pt idx="141">
                  <c:v>5.7681342063153815</c:v>
                </c:pt>
                <c:pt idx="142">
                  <c:v>5.7517496206725625</c:v>
                </c:pt>
                <c:pt idx="143">
                  <c:v>5.7354773581324263</c:v>
                </c:pt>
                <c:pt idx="144">
                  <c:v>5.7193162213022548</c:v>
                </c:pt>
                <c:pt idx="145">
                  <c:v>5.7032650300761247</c:v>
                </c:pt>
                <c:pt idx="146">
                  <c:v>5.6873226213206269</c:v>
                </c:pt>
                <c:pt idx="147">
                  <c:v>5.6714878485674252</c:v>
                </c:pt>
                <c:pt idx="148">
                  <c:v>5.655759581712597</c:v>
                </c:pt>
                <c:pt idx="149">
                  <c:v>5.6401367067224424</c:v>
                </c:pt>
                <c:pt idx="150">
                  <c:v>5.6246181253456822</c:v>
                </c:pt>
                <c:pt idx="151">
                  <c:v>5.6092027548318972</c:v>
                </c:pt>
                <c:pt idx="152">
                  <c:v>5.5938895276559393</c:v>
                </c:pt>
                <c:pt idx="153">
                  <c:v>5.5786773912483438</c:v>
                </c:pt>
                <c:pt idx="154">
                  <c:v>5.5635653077313814</c:v>
                </c:pt>
                <c:pt idx="155">
                  <c:v>5.5485522536608478</c:v>
                </c:pt>
                <c:pt idx="156">
                  <c:v>5.5336372197731709</c:v>
                </c:pt>
                <c:pt idx="157">
                  <c:v>5.5188192107379974</c:v>
                </c:pt>
                <c:pt idx="158">
                  <c:v>5.504097244915882</c:v>
                </c:pt>
                <c:pt idx="159">
                  <c:v>5.4894703541210719</c:v>
                </c:pt>
                <c:pt idx="160">
                  <c:v>5.4749375833892939</c:v>
                </c:pt>
                <c:pt idx="161">
                  <c:v>6.3890953159108639</c:v>
                </c:pt>
                <c:pt idx="162">
                  <c:v>5.4604979907502873</c:v>
                </c:pt>
                <c:pt idx="163">
                  <c:v>5.4461506470051182</c:v>
                </c:pt>
                <c:pt idx="164">
                  <c:v>5.431894635508054</c:v>
                </c:pt>
                <c:pt idx="165">
                  <c:v>5.4177290519529437</c:v>
                </c:pt>
                <c:pt idx="166">
                  <c:v>5.4036530041639619</c:v>
                </c:pt>
                <c:pt idx="167">
                  <c:v>5.3896656118906341</c:v>
                </c:pt>
                <c:pt idx="168">
                  <c:v>5.3757660066070372</c:v>
                </c:pt>
                <c:pt idx="169">
                  <c:v>5.3619533313150729</c:v>
                </c:pt>
                <c:pt idx="170">
                  <c:v>5.3482267403517225</c:v>
                </c:pt>
                <c:pt idx="171">
                  <c:v>5.3345853992001455</c:v>
                </c:pt>
                <c:pt idx="172">
                  <c:v>5.3210284843046471</c:v>
                </c:pt>
                <c:pt idx="173">
                  <c:v>5.30755518288926</c:v>
                </c:pt>
                <c:pt idx="174">
                  <c:v>5.2941646927800052</c:v>
                </c:pt>
                <c:pt idx="175">
                  <c:v>5.2808562222306454</c:v>
                </c:pt>
                <c:pt idx="176">
                  <c:v>5.2676289897519446</c:v>
                </c:pt>
                <c:pt idx="177">
                  <c:v>5.2544822239442013</c:v>
                </c:pt>
                <c:pt idx="178">
                  <c:v>5.2414151633331647</c:v>
                </c:pt>
                <c:pt idx="179">
                  <c:v>5.2284270562091306</c:v>
                </c:pt>
                <c:pt idx="180">
                  <c:v>5.2155171604691732</c:v>
                </c:pt>
                <c:pt idx="181">
                  <c:v>5.2026847434624486</c:v>
                </c:pt>
                <c:pt idx="182">
                  <c:v>5.1899290818385202</c:v>
                </c:pt>
                <c:pt idx="183">
                  <c:v>5.1772494613986009</c:v>
                </c:pt>
                <c:pt idx="184">
                  <c:v>5.1646451769496657</c:v>
                </c:pt>
                <c:pt idx="185">
                  <c:v>5.1521155321613499</c:v>
                </c:pt>
                <c:pt idx="186">
                  <c:v>5.1396598394256214</c:v>
                </c:pt>
                <c:pt idx="187">
                  <c:v>5.1272774197191104</c:v>
                </c:pt>
                <c:pt idx="188">
                  <c:v>5.1149676024680204</c:v>
                </c:pt>
                <c:pt idx="189">
                  <c:v>5.1027297254157054</c:v>
                </c:pt>
                <c:pt idx="190">
                  <c:v>5.0905631344926112</c:v>
                </c:pt>
                <c:pt idx="191">
                  <c:v>5.0784671836887849</c:v>
                </c:pt>
                <c:pt idx="192">
                  <c:v>5.066441234928698</c:v>
                </c:pt>
                <c:pt idx="193">
                  <c:v>5.0544846579484757</c:v>
                </c:pt>
                <c:pt idx="194">
                  <c:v>5.0425968301753308</c:v>
                </c:pt>
                <c:pt idx="195">
                  <c:v>5.030777136609343</c:v>
                </c:pt>
                <c:pt idx="196">
                  <c:v>5.0190249697073392</c:v>
                </c:pt>
                <c:pt idx="197">
                  <c:v>5.0073397292689874</c:v>
                </c:pt>
                <c:pt idx="198">
                  <c:v>4.9957208223249161</c:v>
                </c:pt>
                <c:pt idx="199">
                  <c:v>4.9841676630269811</c:v>
                </c:pt>
                <c:pt idx="200">
                  <c:v>4.9726796725404032</c:v>
                </c:pt>
                <c:pt idx="201">
                  <c:v>4.9612562789380528</c:v>
                </c:pt>
                <c:pt idx="202">
                  <c:v>4.9498969170965195</c:v>
                </c:pt>
                <c:pt idx="203">
                  <c:v>4.9386010285940687</c:v>
                </c:pt>
                <c:pt idx="204">
                  <c:v>4.9273680616105286</c:v>
                </c:pt>
                <c:pt idx="205">
                  <c:v>4.9161974708289264</c:v>
                </c:pt>
                <c:pt idx="206">
                  <c:v>4.9050887173388604</c:v>
                </c:pt>
                <c:pt idx="207">
                  <c:v>4.8940412685416703</c:v>
                </c:pt>
                <c:pt idx="208">
                  <c:v>4.8830545980572619</c:v>
                </c:pt>
                <c:pt idx="209">
                  <c:v>4.8721281856325795</c:v>
                </c:pt>
                <c:pt idx="210">
                  <c:v>4.8612615170517284</c:v>
                </c:pt>
                <c:pt idx="211">
                  <c:v>4.8504540840476595</c:v>
                </c:pt>
                <c:pt idx="212">
                  <c:v>4.8397053842154554</c:v>
                </c:pt>
                <c:pt idx="213">
                  <c:v>4.8290149209270679</c:v>
                </c:pt>
                <c:pt idx="214">
                  <c:v>4.8183822032476291</c:v>
                </c:pt>
                <c:pt idx="215">
                  <c:v>4.8078067458531679</c:v>
                </c:pt>
                <c:pt idx="216">
                  <c:v>4.797288068949773</c:v>
                </c:pt>
                <c:pt idx="217">
                  <c:v>4.7868256981941837</c:v>
                </c:pt>
                <c:pt idx="218">
                  <c:v>4.776419164615735</c:v>
                </c:pt>
                <c:pt idx="219">
                  <c:v>4.7660680045396386</c:v>
                </c:pt>
                <c:pt idx="220">
                  <c:v>4.7557717595115916</c:v>
                </c:pt>
                <c:pt idx="221">
                  <c:v>4.7455299762237173</c:v>
                </c:pt>
                <c:pt idx="222">
                  <c:v>4.7353422064417074</c:v>
                </c:pt>
                <c:pt idx="223">
                  <c:v>4.7252080069332507</c:v>
                </c:pt>
                <c:pt idx="224">
                  <c:v>4.7151269393976767</c:v>
                </c:pt>
                <c:pt idx="225">
                  <c:v>4.7050985703967738</c:v>
                </c:pt>
                <c:pt idx="226">
                  <c:v>4.6951224712867914</c:v>
                </c:pt>
                <c:pt idx="227">
                  <c:v>4.6851982181515677</c:v>
                </c:pt>
                <c:pt idx="228">
                  <c:v>4.6753253917368305</c:v>
                </c:pt>
                <c:pt idx="229">
                  <c:v>4.6655035773855253</c:v>
                </c:pt>
                <c:pt idx="230">
                  <c:v>4.6557323649743099</c:v>
                </c:pt>
                <c:pt idx="231">
                  <c:v>4.6460113488510242</c:v>
                </c:pt>
                <c:pt idx="232">
                  <c:v>4.6363401277732565</c:v>
                </c:pt>
                <c:pt idx="233">
                  <c:v>4.6267183048479099</c:v>
                </c:pt>
                <c:pt idx="234">
                  <c:v>4.6171454874717481</c:v>
                </c:pt>
                <c:pt idx="235">
                  <c:v>4.6076212872729547</c:v>
                </c:pt>
                <c:pt idx="236">
                  <c:v>4.5981453200536411</c:v>
                </c:pt>
                <c:pt idx="237">
                  <c:v>4.5887172057332704</c:v>
                </c:pt>
                <c:pt idx="238">
                  <c:v>4.5793365682930398</c:v>
                </c:pt>
                <c:pt idx="239">
                  <c:v>4.5700030357211503</c:v>
                </c:pt>
                <c:pt idx="240">
                  <c:v>4.5607162399589845</c:v>
                </c:pt>
                <c:pt idx="241">
                  <c:v>4.55147581684811</c:v>
                </c:pt>
                <c:pt idx="242">
                  <c:v>4.5422814060782093</c:v>
                </c:pt>
                <c:pt idx="243">
                  <c:v>4.5331326511357783</c:v>
                </c:pt>
                <c:pt idx="244">
                  <c:v>4.5240291992537127</c:v>
                </c:pt>
                <c:pt idx="245">
                  <c:v>4.51497070136163</c:v>
                </c:pt>
                <c:pt idx="246">
                  <c:v>4.5059568120370512</c:v>
                </c:pt>
                <c:pt idx="247">
                  <c:v>4.4969871894573368</c:v>
                </c:pt>
                <c:pt idx="248">
                  <c:v>4.4880614953523681</c:v>
                </c:pt>
                <c:pt idx="249">
                  <c:v>4.4791793949580088</c:v>
                </c:pt>
                <c:pt idx="250">
                  <c:v>4.4703405569702559</c:v>
                </c:pt>
                <c:pt idx="251">
                  <c:v>4.4615446535001899</c:v>
                </c:pt>
                <c:pt idx="252">
                  <c:v>4.4527913600295594</c:v>
                </c:pt>
                <c:pt idx="253">
                  <c:v>4.4440803553670598</c:v>
                </c:pt>
                <c:pt idx="254">
                  <c:v>4.4354113216054074</c:v>
                </c:pt>
                <c:pt idx="255">
                  <c:v>4.4267839440789105</c:v>
                </c:pt>
                <c:pt idx="256">
                  <c:v>4.4181979113218341</c:v>
                </c:pt>
                <c:pt idx="257">
                  <c:v>4.4096529150273724</c:v>
                </c:pt>
                <c:pt idx="258">
                  <c:v>4.401148650007217</c:v>
                </c:pt>
                <c:pt idx="259">
                  <c:v>4.3926848141518136</c:v>
                </c:pt>
                <c:pt idx="260">
                  <c:v>4.3842611083911729</c:v>
                </c:pt>
                <c:pt idx="261">
                  <c:v>4.3758772366562946</c:v>
                </c:pt>
                <c:pt idx="262">
                  <c:v>4.3675329058412409</c:v>
                </c:pt>
                <c:pt idx="263">
                  <c:v>4.3592278257657036</c:v>
                </c:pt>
                <c:pt idx="264">
                  <c:v>4.3509617091381818</c:v>
                </c:pt>
                <c:pt idx="265">
                  <c:v>4.3427342715197099</c:v>
                </c:pt>
                <c:pt idx="266">
                  <c:v>4.3345452312881569</c:v>
                </c:pt>
                <c:pt idx="267">
                  <c:v>4.3263943096030575</c:v>
                </c:pt>
                <c:pt idx="268">
                  <c:v>4.3182812303709177</c:v>
                </c:pt>
                <c:pt idx="269">
                  <c:v>4.3102057202111048</c:v>
                </c:pt>
                <c:pt idx="270">
                  <c:v>4.3021675084222775</c:v>
                </c:pt>
                <c:pt idx="271">
                  <c:v>4.2941663269492052</c:v>
                </c:pt>
                <c:pt idx="272">
                  <c:v>4.2862019103501696</c:v>
                </c:pt>
                <c:pt idx="273">
                  <c:v>4.278273995764847</c:v>
                </c:pt>
                <c:pt idx="274">
                  <c:v>4.2703823228826208</c:v>
                </c:pt>
                <c:pt idx="275">
                  <c:v>4.2625266339114081</c:v>
                </c:pt>
                <c:pt idx="276">
                  <c:v>4.2547066735469192</c:v>
                </c:pt>
                <c:pt idx="277">
                  <c:v>4.2469221889423796</c:v>
                </c:pt>
                <c:pt idx="278">
                  <c:v>4.2391729296787029</c:v>
                </c:pt>
                <c:pt idx="279">
                  <c:v>4.2314586477350788</c:v>
                </c:pt>
                <c:pt idx="280">
                  <c:v>4.223779097460004</c:v>
                </c:pt>
                <c:pt idx="281">
                  <c:v>4.2161340355427699</c:v>
                </c:pt>
                <c:pt idx="282">
                  <c:v>4.2085232209852768</c:v>
                </c:pt>
                <c:pt idx="283">
                  <c:v>4.2009464150743439</c:v>
                </c:pt>
                <c:pt idx="284">
                  <c:v>4.1934033813543881</c:v>
                </c:pt>
                <c:pt idx="285">
                  <c:v>4.1858938856004668</c:v>
                </c:pt>
                <c:pt idx="286">
                  <c:v>4.178417695791766</c:v>
                </c:pt>
                <c:pt idx="287">
                  <c:v>4.1709745820854307</c:v>
                </c:pt>
                <c:pt idx="288">
                  <c:v>4.1635643167907643</c:v>
                </c:pt>
                <c:pt idx="289">
                  <c:v>4.1561866743438181</c:v>
                </c:pt>
                <c:pt idx="290">
                  <c:v>4.1488414312823503</c:v>
                </c:pt>
                <c:pt idx="291">
                  <c:v>4.1415283662211131</c:v>
                </c:pt>
                <c:pt idx="292">
                  <c:v>4.1342472598274727</c:v>
                </c:pt>
                <c:pt idx="293">
                  <c:v>4.1269978947974675</c:v>
                </c:pt>
                <c:pt idx="294">
                  <c:v>4.1197800558320896</c:v>
                </c:pt>
                <c:pt idx="295">
                  <c:v>4.1125935296139691</c:v>
                </c:pt>
                <c:pt idx="296">
                  <c:v>4.1054381047843593</c:v>
                </c:pt>
                <c:pt idx="297">
                  <c:v>4.098313571920464</c:v>
                </c:pt>
                <c:pt idx="298">
                  <c:v>4.0912197235130598</c:v>
                </c:pt>
                <c:pt idx="299">
                  <c:v>4.0841563539444454</c:v>
                </c:pt>
                <c:pt idx="300">
                  <c:v>4.0771232594666884</c:v>
                </c:pt>
                <c:pt idx="301">
                  <c:v>4.070120238180186</c:v>
                </c:pt>
                <c:pt idx="302">
                  <c:v>4.063147090012496</c:v>
                </c:pt>
                <c:pt idx="303">
                  <c:v>4.0562036166974922</c:v>
                </c:pt>
              </c:numCache>
            </c:numRef>
          </c:xVal>
          <c:yVal>
            <c:numRef>
              <c:f>OF5.4!$E$15:$E$318</c:f>
              <c:numCache>
                <c:formatCode>0.00</c:formatCode>
                <c:ptCount val="304"/>
                <c:pt idx="0">
                  <c:v>180.6757120230709</c:v>
                </c:pt>
                <c:pt idx="1">
                  <c:v>180.88166469887932</c:v>
                </c:pt>
                <c:pt idx="2">
                  <c:v>181.08364362021371</c:v>
                </c:pt>
                <c:pt idx="3">
                  <c:v>181.28174661130922</c:v>
                </c:pt>
                <c:pt idx="4">
                  <c:v>181.47606835917892</c:v>
                </c:pt>
                <c:pt idx="5">
                  <c:v>181.66670053821363</c:v>
                </c:pt>
                <c:pt idx="6">
                  <c:v>181.85373192888241</c:v>
                </c:pt>
                <c:pt idx="7">
                  <c:v>182.03724853085853</c:v>
                </c:pt>
                <c:pt idx="8">
                  <c:v>182.21733367087333</c:v>
                </c:pt>
                <c:pt idx="9">
                  <c:v>182.39406810558404</c:v>
                </c:pt>
                <c:pt idx="10">
                  <c:v>182.56753011972179</c:v>
                </c:pt>
                <c:pt idx="11">
                  <c:v>182.73779561977202</c:v>
                </c:pt>
                <c:pt idx="12">
                  <c:v>182.90493822342225</c:v>
                </c:pt>
                <c:pt idx="13">
                  <c:v>183.0690293449988</c:v>
                </c:pt>
                <c:pt idx="14">
                  <c:v>183.2301382771027</c:v>
                </c:pt>
                <c:pt idx="15">
                  <c:v>183.38833226863878</c:v>
                </c:pt>
                <c:pt idx="16">
                  <c:v>183.54367659942415</c:v>
                </c:pt>
                <c:pt idx="17">
                  <c:v>183.6962346515495</c:v>
                </c:pt>
                <c:pt idx="18">
                  <c:v>183.84606797765738</c:v>
                </c:pt>
                <c:pt idx="19">
                  <c:v>183.99323636629146</c:v>
                </c:pt>
                <c:pt idx="20">
                  <c:v>184.13779790446335</c:v>
                </c:pt>
                <c:pt idx="21">
                  <c:v>184.27980903757341</c:v>
                </c:pt>
                <c:pt idx="22">
                  <c:v>184.41932462681646</c:v>
                </c:pt>
                <c:pt idx="23">
                  <c:v>184.55639800419348</c:v>
                </c:pt>
                <c:pt idx="24">
                  <c:v>184.69108102524689</c:v>
                </c:pt>
                <c:pt idx="25">
                  <c:v>184.82342411962676</c:v>
                </c:pt>
                <c:pt idx="26">
                  <c:v>184.95347633959318</c:v>
                </c:pt>
                <c:pt idx="27">
                  <c:v>185.08128540655113</c:v>
                </c:pt>
                <c:pt idx="28">
                  <c:v>185.20689775571154</c:v>
                </c:pt>
                <c:pt idx="29">
                  <c:v>185.3303585789651</c:v>
                </c:pt>
                <c:pt idx="30">
                  <c:v>185.45171186605302</c:v>
                </c:pt>
                <c:pt idx="31">
                  <c:v>185.5710004441116</c:v>
                </c:pt>
                <c:pt idx="32">
                  <c:v>185.68826601566681</c:v>
                </c:pt>
                <c:pt idx="33">
                  <c:v>185.80354919514821</c:v>
                </c:pt>
                <c:pt idx="34">
                  <c:v>185.91688954398953</c:v>
                </c:pt>
                <c:pt idx="35">
                  <c:v>186.02832560437986</c:v>
                </c:pt>
                <c:pt idx="36">
                  <c:v>186.13789493172456</c:v>
                </c:pt>
                <c:pt idx="37">
                  <c:v>186.24563412587429</c:v>
                </c:pt>
                <c:pt idx="38">
                  <c:v>186.35157886117557</c:v>
                </c:pt>
                <c:pt idx="39">
                  <c:v>186.45576391539481</c:v>
                </c:pt>
                <c:pt idx="40">
                  <c:v>186.55822319756524</c:v>
                </c:pt>
                <c:pt idx="41">
                  <c:v>186.65898977480185</c:v>
                </c:pt>
                <c:pt idx="42">
                  <c:v>186.75809589813096</c:v>
                </c:pt>
                <c:pt idx="43">
                  <c:v>186.85557302737419</c:v>
                </c:pt>
                <c:pt idx="44">
                  <c:v>186.95145185512834</c:v>
                </c:pt>
                <c:pt idx="45">
                  <c:v>187.04576232987924</c:v>
                </c:pt>
                <c:pt idx="46">
                  <c:v>187.138533678285</c:v>
                </c:pt>
                <c:pt idx="47">
                  <c:v>187.2297944266644</c:v>
                </c:pt>
                <c:pt idx="48">
                  <c:v>187.31957242172268</c:v>
                </c:pt>
                <c:pt idx="49">
                  <c:v>187.40789485054583</c:v>
                </c:pt>
                <c:pt idx="50">
                  <c:v>187.49478825989459</c:v>
                </c:pt>
                <c:pt idx="51">
                  <c:v>187.58027857482506</c:v>
                </c:pt>
                <c:pt idx="52">
                  <c:v>187.66439111666429</c:v>
                </c:pt>
                <c:pt idx="53">
                  <c:v>187.74715062036657</c:v>
                </c:pt>
                <c:pt idx="54">
                  <c:v>187.82858125127453</c:v>
                </c:pt>
                <c:pt idx="55">
                  <c:v>187.90870662130993</c:v>
                </c:pt>
                <c:pt idx="56">
                  <c:v>187.98754980461558</c:v>
                </c:pt>
                <c:pt idx="57">
                  <c:v>188.06513335267024</c:v>
                </c:pt>
                <c:pt idx="58">
                  <c:v>188.14147930889791</c:v>
                </c:pt>
                <c:pt idx="59">
                  <c:v>188.21660922278954</c:v>
                </c:pt>
                <c:pt idx="60">
                  <c:v>188.29054416355814</c:v>
                </c:pt>
                <c:pt idx="61">
                  <c:v>188.36330473334283</c:v>
                </c:pt>
                <c:pt idx="62">
                  <c:v>188.43491107998142</c:v>
                </c:pt>
                <c:pt idx="63">
                  <c:v>188.50538290936598</c:v>
                </c:pt>
                <c:pt idx="64">
                  <c:v>188.57473949739841</c:v>
                </c:pt>
                <c:pt idx="65">
                  <c:v>188.64299970156083</c:v>
                </c:pt>
                <c:pt idx="66">
                  <c:v>188.7101819721143</c:v>
                </c:pt>
                <c:pt idx="67">
                  <c:v>188.77630436294137</c:v>
                </c:pt>
                <c:pt idx="68">
                  <c:v>188.84138454204378</c:v>
                </c:pt>
                <c:pt idx="69">
                  <c:v>188.90543980170972</c:v>
                </c:pt>
                <c:pt idx="70">
                  <c:v>188.96848706836124</c:v>
                </c:pt>
                <c:pt idx="71">
                  <c:v>189.03054291209466</c:v>
                </c:pt>
                <c:pt idx="72">
                  <c:v>189.09162355592451</c:v>
                </c:pt>
                <c:pt idx="73">
                  <c:v>189.15174488474156</c:v>
                </c:pt>
                <c:pt idx="74">
                  <c:v>189.21092245399575</c:v>
                </c:pt>
                <c:pt idx="75">
                  <c:v>189.26917149811339</c:v>
                </c:pt>
                <c:pt idx="76">
                  <c:v>189.32650693865799</c:v>
                </c:pt>
                <c:pt idx="77">
                  <c:v>189.38294339224427</c:v>
                </c:pt>
                <c:pt idx="78">
                  <c:v>189.43849517821386</c:v>
                </c:pt>
                <c:pt idx="79">
                  <c:v>189.49317632608009</c:v>
                </c:pt>
                <c:pt idx="80">
                  <c:v>189.54700058275188</c:v>
                </c:pt>
                <c:pt idx="81">
                  <c:v>189.59998141954205</c:v>
                </c:pt>
                <c:pt idx="82">
                  <c:v>189.65213203896965</c:v>
                </c:pt>
                <c:pt idx="83">
                  <c:v>189.7034653813615</c:v>
                </c:pt>
                <c:pt idx="84">
                  <c:v>189.75399413126127</c:v>
                </c:pt>
                <c:pt idx="85">
                  <c:v>189.80373072365143</c:v>
                </c:pt>
                <c:pt idx="86">
                  <c:v>189.85268734999579</c:v>
                </c:pt>
                <c:pt idx="87">
                  <c:v>189.90087596410675</c:v>
                </c:pt>
                <c:pt idx="88">
                  <c:v>189.94830828784518</c:v>
                </c:pt>
                <c:pt idx="89">
                  <c:v>189.99499581665719</c:v>
                </c:pt>
                <c:pt idx="90">
                  <c:v>190.04094982495309</c:v>
                </c:pt>
                <c:pt idx="91">
                  <c:v>190.0861813713349</c:v>
                </c:pt>
                <c:pt idx="92">
                  <c:v>190.13070130367649</c:v>
                </c:pt>
                <c:pt idx="93">
                  <c:v>190.17452026406099</c:v>
                </c:pt>
                <c:pt idx="94">
                  <c:v>190.21764869358071</c:v>
                </c:pt>
                <c:pt idx="95">
                  <c:v>190.260096837004</c:v>
                </c:pt>
                <c:pt idx="96">
                  <c:v>190.30187474731287</c:v>
                </c:pt>
                <c:pt idx="97">
                  <c:v>190.34299229011563</c:v>
                </c:pt>
                <c:pt idx="98">
                  <c:v>190.38345914793922</c:v>
                </c:pt>
                <c:pt idx="99">
                  <c:v>190.42328482440365</c:v>
                </c:pt>
                <c:pt idx="100">
                  <c:v>190.46247864828422</c:v>
                </c:pt>
                <c:pt idx="101">
                  <c:v>190.50104977746298</c:v>
                </c:pt>
                <c:pt idx="102">
                  <c:v>190.53900720277457</c:v>
                </c:pt>
                <c:pt idx="103">
                  <c:v>190.57635975174858</c:v>
                </c:pt>
                <c:pt idx="104">
                  <c:v>190.61311609225265</c:v>
                </c:pt>
                <c:pt idx="105">
                  <c:v>190.64928473603834</c:v>
                </c:pt>
                <c:pt idx="106">
                  <c:v>190.68487404219374</c:v>
                </c:pt>
                <c:pt idx="107">
                  <c:v>190.71989222050482</c:v>
                </c:pt>
                <c:pt idx="108">
                  <c:v>190.75434733472906</c:v>
                </c:pt>
                <c:pt idx="109">
                  <c:v>190.78824730578344</c:v>
                </c:pt>
                <c:pt idx="110">
                  <c:v>190.82159991484971</c:v>
                </c:pt>
                <c:pt idx="111">
                  <c:v>190.85441280639952</c:v>
                </c:pt>
                <c:pt idx="112">
                  <c:v>190.88669349114122</c:v>
                </c:pt>
                <c:pt idx="113">
                  <c:v>190.91844934889144</c:v>
                </c:pt>
                <c:pt idx="114">
                  <c:v>190.94968763137331</c:v>
                </c:pt>
                <c:pt idx="115">
                  <c:v>190.98041546494343</c:v>
                </c:pt>
                <c:pt idx="116">
                  <c:v>191.01063985324973</c:v>
                </c:pt>
                <c:pt idx="117">
                  <c:v>191.04036767982248</c:v>
                </c:pt>
                <c:pt idx="118">
                  <c:v>191.06960571060003</c:v>
                </c:pt>
                <c:pt idx="119">
                  <c:v>191.09836059639159</c:v>
                </c:pt>
                <c:pt idx="120">
                  <c:v>191.12663887527853</c:v>
                </c:pt>
                <c:pt idx="121">
                  <c:v>191.15444697495624</c:v>
                </c:pt>
                <c:pt idx="122">
                  <c:v>191.1817912150178</c:v>
                </c:pt>
                <c:pt idx="123">
                  <c:v>191.20867780918203</c:v>
                </c:pt>
                <c:pt idx="124">
                  <c:v>191.23511286746648</c:v>
                </c:pt>
                <c:pt idx="125">
                  <c:v>191.26110239830746</c:v>
                </c:pt>
                <c:pt idx="126">
                  <c:v>191.2866523106288</c:v>
                </c:pt>
                <c:pt idx="127">
                  <c:v>191.31176841586012</c:v>
                </c:pt>
                <c:pt idx="128">
                  <c:v>191.33645642990697</c:v>
                </c:pt>
                <c:pt idx="129">
                  <c:v>191.36072197507306</c:v>
                </c:pt>
                <c:pt idx="130">
                  <c:v>191.38457058193666</c:v>
                </c:pt>
                <c:pt idx="131">
                  <c:v>191.40800769118283</c:v>
                </c:pt>
                <c:pt idx="132">
                  <c:v>191.43103865539123</c:v>
                </c:pt>
                <c:pt idx="133">
                  <c:v>191.45366874078255</c:v>
                </c:pt>
                <c:pt idx="134">
                  <c:v>191.47590312892316</c:v>
                </c:pt>
                <c:pt idx="135">
                  <c:v>191.49774691838996</c:v>
                </c:pt>
                <c:pt idx="136">
                  <c:v>191.51920512639666</c:v>
                </c:pt>
                <c:pt idx="137">
                  <c:v>191.54028269038156</c:v>
                </c:pt>
                <c:pt idx="138">
                  <c:v>191.56098446955895</c:v>
                </c:pt>
                <c:pt idx="139">
                  <c:v>191.58131524643468</c:v>
                </c:pt>
                <c:pt idx="140">
                  <c:v>191.60127972828656</c:v>
                </c:pt>
                <c:pt idx="141">
                  <c:v>191.62088254861095</c:v>
                </c:pt>
                <c:pt idx="142">
                  <c:v>191.6401282685365</c:v>
                </c:pt>
                <c:pt idx="143">
                  <c:v>191.6590213782053</c:v>
                </c:pt>
                <c:pt idx="144">
                  <c:v>191.67756629812294</c:v>
                </c:pt>
                <c:pt idx="145">
                  <c:v>191.69576738047834</c:v>
                </c:pt>
                <c:pt idx="146">
                  <c:v>191.71362891043321</c:v>
                </c:pt>
                <c:pt idx="147">
                  <c:v>191.73115510738333</c:v>
                </c:pt>
                <c:pt idx="148">
                  <c:v>191.74835012619101</c:v>
                </c:pt>
                <c:pt idx="149">
                  <c:v>191.76521805839056</c:v>
                </c:pt>
                <c:pt idx="150">
                  <c:v>191.78176293336685</c:v>
                </c:pt>
                <c:pt idx="151">
                  <c:v>191.79798871950757</c:v>
                </c:pt>
                <c:pt idx="152">
                  <c:v>191.81389932533088</c:v>
                </c:pt>
                <c:pt idx="153">
                  <c:v>191.82949860058741</c:v>
                </c:pt>
                <c:pt idx="154">
                  <c:v>191.84479033733865</c:v>
                </c:pt>
                <c:pt idx="155">
                  <c:v>191.85977827101166</c:v>
                </c:pt>
                <c:pt idx="156">
                  <c:v>191.87446608143131</c:v>
                </c:pt>
                <c:pt idx="157">
                  <c:v>191.88885739382957</c:v>
                </c:pt>
                <c:pt idx="158">
                  <c:v>191.90295577983341</c:v>
                </c:pt>
                <c:pt idx="159">
                  <c:v>191.91676475843144</c:v>
                </c:pt>
                <c:pt idx="160">
                  <c:v>191.93028779691983</c:v>
                </c:pt>
                <c:pt idx="161">
                  <c:v>190.7408996261243</c:v>
                </c:pt>
                <c:pt idx="162">
                  <c:v>191.94352831182803</c:v>
                </c:pt>
                <c:pt idx="163">
                  <c:v>191.9564896698248</c:v>
                </c:pt>
                <c:pt idx="164">
                  <c:v>191.96917518860522</c:v>
                </c:pt>
                <c:pt idx="165">
                  <c:v>191.98158813775851</c:v>
                </c:pt>
                <c:pt idx="166">
                  <c:v>191.99373173961854</c:v>
                </c:pt>
                <c:pt idx="167">
                  <c:v>192.005609170095</c:v>
                </c:pt>
                <c:pt idx="168">
                  <c:v>192.01722355948908</c:v>
                </c:pt>
                <c:pt idx="169">
                  <c:v>192.02857799329033</c:v>
                </c:pt>
                <c:pt idx="170">
                  <c:v>192.0396755129583</c:v>
                </c:pt>
                <c:pt idx="171">
                  <c:v>192.05051911668752</c:v>
                </c:pt>
                <c:pt idx="172">
                  <c:v>192.06111176015659</c:v>
                </c:pt>
                <c:pt idx="173">
                  <c:v>192.07145635726204</c:v>
                </c:pt>
                <c:pt idx="174">
                  <c:v>192.08155578083725</c:v>
                </c:pt>
                <c:pt idx="175">
                  <c:v>192.09141286335665</c:v>
                </c:pt>
                <c:pt idx="176">
                  <c:v>192.10103039762538</c:v>
                </c:pt>
                <c:pt idx="177">
                  <c:v>192.11041113745517</c:v>
                </c:pt>
                <c:pt idx="178">
                  <c:v>192.11955779832667</c:v>
                </c:pt>
                <c:pt idx="179">
                  <c:v>192.12847305803811</c:v>
                </c:pt>
                <c:pt idx="180">
                  <c:v>192.13715955734142</c:v>
                </c:pt>
                <c:pt idx="181">
                  <c:v>192.14561990056495</c:v>
                </c:pt>
                <c:pt idx="182">
                  <c:v>192.15385665622443</c:v>
                </c:pt>
                <c:pt idx="183">
                  <c:v>192.16187235762149</c:v>
                </c:pt>
                <c:pt idx="184">
                  <c:v>192.16966950343024</c:v>
                </c:pt>
                <c:pt idx="185">
                  <c:v>192.17725055827236</c:v>
                </c:pt>
                <c:pt idx="186">
                  <c:v>192.18461795328102</c:v>
                </c:pt>
                <c:pt idx="187">
                  <c:v>192.19177408665348</c:v>
                </c:pt>
                <c:pt idx="188">
                  <c:v>192.198721324193</c:v>
                </c:pt>
                <c:pt idx="189">
                  <c:v>192.20546199984</c:v>
                </c:pt>
                <c:pt idx="190">
                  <c:v>192.21199841619352</c:v>
                </c:pt>
                <c:pt idx="191">
                  <c:v>192.21833284502159</c:v>
                </c:pt>
                <c:pt idx="192">
                  <c:v>192.22446752776258</c:v>
                </c:pt>
                <c:pt idx="193">
                  <c:v>192.2304046760166</c:v>
                </c:pt>
                <c:pt idx="194">
                  <c:v>192.23614647202717</c:v>
                </c:pt>
                <c:pt idx="195">
                  <c:v>192.24169506915433</c:v>
                </c:pt>
                <c:pt idx="196">
                  <c:v>192.24705259233804</c:v>
                </c:pt>
                <c:pt idx="197">
                  <c:v>192.25222113855321</c:v>
                </c:pt>
                <c:pt idx="198">
                  <c:v>192.257202777256</c:v>
                </c:pt>
                <c:pt idx="199">
                  <c:v>192.26199955082157</c:v>
                </c:pt>
                <c:pt idx="200">
                  <c:v>192.26661347497361</c:v>
                </c:pt>
                <c:pt idx="201">
                  <c:v>192.271046539206</c:v>
                </c:pt>
                <c:pt idx="202">
                  <c:v>192.27530070719641</c:v>
                </c:pt>
                <c:pt idx="203">
                  <c:v>192.27937791721189</c:v>
                </c:pt>
                <c:pt idx="204">
                  <c:v>192.2832800825077</c:v>
                </c:pt>
                <c:pt idx="205">
                  <c:v>192.28700909171781</c:v>
                </c:pt>
                <c:pt idx="206">
                  <c:v>192.29056680923878</c:v>
                </c:pt>
                <c:pt idx="207">
                  <c:v>192.29395507560648</c:v>
                </c:pt>
                <c:pt idx="208">
                  <c:v>192.29717570786556</c:v>
                </c:pt>
                <c:pt idx="209">
                  <c:v>192.30023049993255</c:v>
                </c:pt>
                <c:pt idx="210">
                  <c:v>192.303121222952</c:v>
                </c:pt>
                <c:pt idx="211">
                  <c:v>192.3058496256464</c:v>
                </c:pt>
                <c:pt idx="212">
                  <c:v>192.30841743465945</c:v>
                </c:pt>
                <c:pt idx="213">
                  <c:v>192.31082635489344</c:v>
                </c:pt>
                <c:pt idx="214">
                  <c:v>192.31307806984006</c:v>
                </c:pt>
                <c:pt idx="215">
                  <c:v>192.31517424190594</c:v>
                </c:pt>
                <c:pt idx="216">
                  <c:v>192.31711651273147</c:v>
                </c:pt>
                <c:pt idx="217">
                  <c:v>192.31890650350479</c:v>
                </c:pt>
                <c:pt idx="218">
                  <c:v>192.32054581526953</c:v>
                </c:pt>
                <c:pt idx="219">
                  <c:v>192.32203602922723</c:v>
                </c:pt>
                <c:pt idx="220">
                  <c:v>192.32337870703483</c:v>
                </c:pt>
                <c:pt idx="221">
                  <c:v>192.32457539109586</c:v>
                </c:pt>
                <c:pt idx="222">
                  <c:v>192.3256276048478</c:v>
                </c:pt>
                <c:pt idx="223">
                  <c:v>192.32653685304328</c:v>
                </c:pt>
                <c:pt idx="224">
                  <c:v>192.32730462202707</c:v>
                </c:pt>
                <c:pt idx="225">
                  <c:v>192.32793238000752</c:v>
                </c:pt>
                <c:pt idx="226">
                  <c:v>192.32842157732429</c:v>
                </c:pt>
                <c:pt idx="227">
                  <c:v>192.32877364671012</c:v>
                </c:pt>
                <c:pt idx="228">
                  <c:v>192.32899000354908</c:v>
                </c:pt>
                <c:pt idx="229">
                  <c:v>192.32907204612999</c:v>
                </c:pt>
                <c:pt idx="230">
                  <c:v>192.32902115589553</c:v>
                </c:pt>
                <c:pt idx="231">
                  <c:v>192.32883869768671</c:v>
                </c:pt>
                <c:pt idx="232">
                  <c:v>192.32852601998374</c:v>
                </c:pt>
                <c:pt idx="233">
                  <c:v>192.32808445514215</c:v>
                </c:pt>
                <c:pt idx="234">
                  <c:v>192.32751531962546</c:v>
                </c:pt>
                <c:pt idx="235">
                  <c:v>192.32681991423362</c:v>
                </c:pt>
                <c:pt idx="236">
                  <c:v>192.32599952432736</c:v>
                </c:pt>
                <c:pt idx="237">
                  <c:v>192.32505542004907</c:v>
                </c:pt>
                <c:pt idx="238">
                  <c:v>192.32398885653967</c:v>
                </c:pt>
                <c:pt idx="239">
                  <c:v>192.32280107415238</c:v>
                </c:pt>
                <c:pt idx="240">
                  <c:v>192.32149329866195</c:v>
                </c:pt>
                <c:pt idx="241">
                  <c:v>192.32006674147138</c:v>
                </c:pt>
                <c:pt idx="242">
                  <c:v>192.31852259981443</c:v>
                </c:pt>
                <c:pt idx="243">
                  <c:v>192.31686205695524</c:v>
                </c:pt>
                <c:pt idx="244">
                  <c:v>192.31508628238444</c:v>
                </c:pt>
                <c:pt idx="245">
                  <c:v>192.31319643201189</c:v>
                </c:pt>
                <c:pt idx="246">
                  <c:v>192.31119364835641</c:v>
                </c:pt>
                <c:pt idx="247">
                  <c:v>192.30907906073239</c:v>
                </c:pt>
                <c:pt idx="248">
                  <c:v>192.30685378543325</c:v>
                </c:pt>
                <c:pt idx="249">
                  <c:v>192.30451892591188</c:v>
                </c:pt>
                <c:pt idx="250">
                  <c:v>192.30207557295816</c:v>
                </c:pt>
                <c:pt idx="251">
                  <c:v>192.29952480487361</c:v>
                </c:pt>
                <c:pt idx="252">
                  <c:v>192.29686768764316</c:v>
                </c:pt>
                <c:pt idx="253">
                  <c:v>192.29410527510399</c:v>
                </c:pt>
                <c:pt idx="254">
                  <c:v>192.2912386091121</c:v>
                </c:pt>
                <c:pt idx="255">
                  <c:v>192.2882687197056</c:v>
                </c:pt>
                <c:pt idx="256">
                  <c:v>192.28519662526563</c:v>
                </c:pt>
                <c:pt idx="257">
                  <c:v>192.28202333267504</c:v>
                </c:pt>
                <c:pt idx="258">
                  <c:v>192.27874983747367</c:v>
                </c:pt>
                <c:pt idx="259">
                  <c:v>192.27537712401218</c:v>
                </c:pt>
                <c:pt idx="260">
                  <c:v>192.27190616560253</c:v>
                </c:pt>
                <c:pt idx="261">
                  <c:v>192.26833792466672</c:v>
                </c:pt>
                <c:pt idx="262">
                  <c:v>192.26467335288268</c:v>
                </c:pt>
                <c:pt idx="263">
                  <c:v>192.26091339132836</c:v>
                </c:pt>
                <c:pt idx="264">
                  <c:v>192.25705897062281</c:v>
                </c:pt>
                <c:pt idx="265">
                  <c:v>192.25311101106598</c:v>
                </c:pt>
                <c:pt idx="266">
                  <c:v>192.24907042277553</c:v>
                </c:pt>
                <c:pt idx="267">
                  <c:v>192.24493810582183</c:v>
                </c:pt>
                <c:pt idx="268">
                  <c:v>192.24071495036091</c:v>
                </c:pt>
                <c:pt idx="269">
                  <c:v>192.23640183676505</c:v>
                </c:pt>
                <c:pt idx="270">
                  <c:v>192.23199963575192</c:v>
                </c:pt>
                <c:pt idx="271">
                  <c:v>192.22750920851087</c:v>
                </c:pt>
                <c:pt idx="272">
                  <c:v>192.222931406828</c:v>
                </c:pt>
                <c:pt idx="273">
                  <c:v>192.21826707320889</c:v>
                </c:pt>
                <c:pt idx="274">
                  <c:v>192.21351704099976</c:v>
                </c:pt>
                <c:pt idx="275">
                  <c:v>192.20868213450629</c:v>
                </c:pt>
                <c:pt idx="276">
                  <c:v>192.20376316911117</c:v>
                </c:pt>
                <c:pt idx="277">
                  <c:v>192.1987609513896</c:v>
                </c:pt>
                <c:pt idx="278">
                  <c:v>192.19367627922259</c:v>
                </c:pt>
                <c:pt idx="279">
                  <c:v>192.1885099419097</c:v>
                </c:pt>
                <c:pt idx="280">
                  <c:v>192.18326272027855</c:v>
                </c:pt>
                <c:pt idx="281">
                  <c:v>192.17793538679413</c:v>
                </c:pt>
                <c:pt idx="282">
                  <c:v>192.17252870566534</c:v>
                </c:pt>
                <c:pt idx="283">
                  <c:v>192.16704343295055</c:v>
                </c:pt>
                <c:pt idx="284">
                  <c:v>192.1614803166614</c:v>
                </c:pt>
                <c:pt idx="285">
                  <c:v>192.15584009686484</c:v>
                </c:pt>
                <c:pt idx="286">
                  <c:v>192.15012350578425</c:v>
                </c:pt>
                <c:pt idx="287">
                  <c:v>192.14433126789825</c:v>
                </c:pt>
                <c:pt idx="288">
                  <c:v>192.13846410003856</c:v>
                </c:pt>
                <c:pt idx="289">
                  <c:v>192.13252271148633</c:v>
                </c:pt>
                <c:pt idx="290">
                  <c:v>192.12650780406702</c:v>
                </c:pt>
                <c:pt idx="291">
                  <c:v>192.12042007224352</c:v>
                </c:pt>
                <c:pt idx="292">
                  <c:v>192.11426020320872</c:v>
                </c:pt>
                <c:pt idx="293">
                  <c:v>192.10802887697579</c:v>
                </c:pt>
                <c:pt idx="294">
                  <c:v>192.10172676646789</c:v>
                </c:pt>
                <c:pt idx="295">
                  <c:v>192.09535453760597</c:v>
                </c:pt>
                <c:pt idx="296">
                  <c:v>192.08891284939571</c:v>
                </c:pt>
                <c:pt idx="297">
                  <c:v>192.08240235401294</c:v>
                </c:pt>
                <c:pt idx="298">
                  <c:v>192.07582369688802</c:v>
                </c:pt>
                <c:pt idx="299">
                  <c:v>192.06917751678878</c:v>
                </c:pt>
                <c:pt idx="300">
                  <c:v>192.06246444590255</c:v>
                </c:pt>
                <c:pt idx="301">
                  <c:v>192.05568510991657</c:v>
                </c:pt>
                <c:pt idx="302">
                  <c:v>192.04884012809765</c:v>
                </c:pt>
                <c:pt idx="303">
                  <c:v>192.04193011337037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OF5.4!$E$14</c15:sqref>
                        </c15:formulaRef>
                      </c:ext>
                    </c:extLst>
                    <c:strCache>
                      <c:ptCount val="1"/>
                      <c:pt idx="0">
                        <c:v>Isp (s)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123D-49E2-8915-A923C237D1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4707304"/>
        <c:axId val="224708872"/>
      </c:scatterChart>
      <c:valAx>
        <c:axId val="224707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Nozzle Area Expansion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708872"/>
        <c:crosses val="autoZero"/>
        <c:crossBetween val="midCat"/>
      </c:valAx>
      <c:valAx>
        <c:axId val="224708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</a:t>
                </a:r>
                <a:r>
                  <a:rPr lang="en-US" baseline="-25000"/>
                  <a:t>sp</a:t>
                </a:r>
                <a:r>
                  <a:rPr lang="en-US" baseline="0"/>
                  <a:t> Initial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707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'OF4.5 - Low Alt'!$E$14</c:f>
              <c:strCache>
                <c:ptCount val="1"/>
                <c:pt idx="0">
                  <c:v>Isp (s)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'OF4.5 - Low Alt'!$C$15:$C$318</c:f>
              <c:numCache>
                <c:formatCode>0.00</c:formatCode>
                <c:ptCount val="304"/>
                <c:pt idx="0">
                  <c:v>9.5064874290136565</c:v>
                </c:pt>
                <c:pt idx="1">
                  <c:v>9.4475085928906601</c:v>
                </c:pt>
                <c:pt idx="2">
                  <c:v>9.3894007708211404</c:v>
                </c:pt>
                <c:pt idx="3">
                  <c:v>9.3321439710095646</c:v>
                </c:pt>
                <c:pt idx="4">
                  <c:v>9.2757188212254587</c:v>
                </c:pt>
                <c:pt idx="5">
                  <c:v>9.2201065447076225</c:v>
                </c:pt>
                <c:pt idx="6">
                  <c:v>9.1652889371927362</c:v>
                </c:pt>
                <c:pt idx="7">
                  <c:v>9.1112483450070911</c:v>
                </c:pt>
                <c:pt idx="8">
                  <c:v>9.0579676441645276</c:v>
                </c:pt>
                <c:pt idx="9">
                  <c:v>9.0054302204163896</c:v>
                </c:pt>
                <c:pt idx="10">
                  <c:v>8.9536199502032421</c:v>
                </c:pt>
                <c:pt idx="11">
                  <c:v>8.902521182460994</c:v>
                </c:pt>
                <c:pt idx="12">
                  <c:v>8.8521187212365504</c:v>
                </c:pt>
                <c:pt idx="13">
                  <c:v>8.8023978090712589</c:v>
                </c:pt>
                <c:pt idx="14">
                  <c:v>8.7533441111126518</c:v>
                </c:pt>
                <c:pt idx="15">
                  <c:v>8.7049436999171714</c:v>
                </c:pt>
                <c:pt idx="16">
                  <c:v>8.657183040909036</c:v>
                </c:pt>
                <c:pt idx="17">
                  <c:v>8.6100489784622951</c:v>
                </c:pt>
                <c:pt idx="18">
                  <c:v>8.5635287225747501</c:v>
                </c:pt>
                <c:pt idx="19">
                  <c:v>8.5176098361045494</c:v>
                </c:pt>
                <c:pt idx="20">
                  <c:v>8.4722802225420732</c:v>
                </c:pt>
                <c:pt idx="21">
                  <c:v>8.427528114290272</c:v>
                </c:pt>
                <c:pt idx="22">
                  <c:v>8.3833420614295537</c:v>
                </c:pt>
                <c:pt idx="23">
                  <c:v>8.3397109209435314</c:v>
                </c:pt>
                <c:pt idx="24">
                  <c:v>8.2966238463835058</c:v>
                </c:pt>
                <c:pt idx="25">
                  <c:v>8.2540702779511665</c:v>
                </c:pt>
                <c:pt idx="26">
                  <c:v>8.212039932979609</c:v>
                </c:pt>
                <c:pt idx="27">
                  <c:v>8.1705227967940548</c:v>
                </c:pt>
                <c:pt idx="28">
                  <c:v>8.1295091139345761</c:v>
                </c:pt>
                <c:pt idx="29">
                  <c:v>8.0889893797243175</c:v>
                </c:pt>
                <c:pt idx="30">
                  <c:v>8.0489543321671313</c:v>
                </c:pt>
                <c:pt idx="31">
                  <c:v>8.0093949441596859</c:v>
                </c:pt>
                <c:pt idx="32">
                  <c:v>7.9703024160040208</c:v>
                </c:pt>
                <c:pt idx="33">
                  <c:v>7.9316681682067163</c:v>
                </c:pt>
                <c:pt idx="34">
                  <c:v>7.8934838345521179</c:v>
                </c:pt>
                <c:pt idx="35">
                  <c:v>7.855741255437465</c:v>
                </c:pt>
                <c:pt idx="36">
                  <c:v>7.8184324714581699</c:v>
                </c:pt>
                <c:pt idx="37">
                  <c:v>7.7815497172326209</c:v>
                </c:pt>
                <c:pt idx="38">
                  <c:v>7.7450854154557671</c:v>
                </c:pt>
                <c:pt idx="39">
                  <c:v>7.709032171171744</c:v>
                </c:pt>
                <c:pt idx="40">
                  <c:v>7.6733827662562861</c:v>
                </c:pt>
                <c:pt idx="41">
                  <c:v>7.6381301540996827</c:v>
                </c:pt>
                <c:pt idx="42">
                  <c:v>7.6032674544818919</c:v>
                </c:pt>
                <c:pt idx="43">
                  <c:v>7.5687879486319005</c:v>
                </c:pt>
                <c:pt idx="44">
                  <c:v>7.5346850744632343</c:v>
                </c:pt>
                <c:pt idx="45">
                  <c:v>7.5009524219786661</c:v>
                </c:pt>
                <c:pt idx="46">
                  <c:v>7.4675837288369022</c:v>
                </c:pt>
                <c:pt idx="47">
                  <c:v>7.4345728760745686</c:v>
                </c:pt>
                <c:pt idx="48">
                  <c:v>7.4019138839773548</c:v>
                </c:pt>
                <c:pt idx="49">
                  <c:v>7.3696009080940224</c:v>
                </c:pt>
                <c:pt idx="50">
                  <c:v>7.337628235387637</c:v>
                </c:pt>
                <c:pt idx="51">
                  <c:v>7.3059902805185173</c:v>
                </c:pt>
                <c:pt idx="52">
                  <c:v>7.2746815822535469</c:v>
                </c:pt>
                <c:pt idx="53">
                  <c:v>7.2436967999969823</c:v>
                </c:pt>
                <c:pt idx="54">
                  <c:v>7.2130307104378097</c:v>
                </c:pt>
                <c:pt idx="55">
                  <c:v>7.1826782043092638</c:v>
                </c:pt>
                <c:pt idx="56">
                  <c:v>7.152634283255888</c:v>
                </c:pt>
                <c:pt idx="57">
                  <c:v>7.122894056804201</c:v>
                </c:pt>
                <c:pt idx="58">
                  <c:v>7.0934527394329052</c:v>
                </c:pt>
                <c:pt idx="59">
                  <c:v>7.0643056477386796</c:v>
                </c:pt>
                <c:pt idx="60">
                  <c:v>7.0354481976941807</c:v>
                </c:pt>
                <c:pt idx="61">
                  <c:v>7.0068759019945093</c:v>
                </c:pt>
                <c:pt idx="62">
                  <c:v>6.9785843674889536</c:v>
                </c:pt>
                <c:pt idx="63">
                  <c:v>6.9505692926947233</c:v>
                </c:pt>
                <c:pt idx="64">
                  <c:v>6.92282646538977</c:v>
                </c:pt>
                <c:pt idx="65">
                  <c:v>6.8953517602815397</c:v>
                </c:pt>
                <c:pt idx="66">
                  <c:v>6.8681411367490091</c:v>
                </c:pt>
                <c:pt idx="67">
                  <c:v>6.8411906366553605</c:v>
                </c:pt>
                <c:pt idx="68">
                  <c:v>6.814496382228536</c:v>
                </c:pt>
                <c:pt idx="69">
                  <c:v>6.7880545740073694</c:v>
                </c:pt>
                <c:pt idx="70">
                  <c:v>6.7618614888508874</c:v>
                </c:pt>
                <c:pt idx="71">
                  <c:v>6.7359134780085173</c:v>
                </c:pt>
                <c:pt idx="72">
                  <c:v>6.7102069652488998</c:v>
                </c:pt>
                <c:pt idx="73">
                  <c:v>6.684738445045519</c:v>
                </c:pt>
                <c:pt idx="74">
                  <c:v>6.6595044808168042</c:v>
                </c:pt>
                <c:pt idx="75">
                  <c:v>6.6345017032189988</c:v>
                </c:pt>
                <c:pt idx="76">
                  <c:v>6.6097268084899845</c:v>
                </c:pt>
                <c:pt idx="77">
                  <c:v>6.5851765568420388</c:v>
                </c:pt>
                <c:pt idx="78">
                  <c:v>6.5608477709021287</c:v>
                </c:pt>
                <c:pt idx="79">
                  <c:v>6.5367373341979382</c:v>
                </c:pt>
                <c:pt idx="80">
                  <c:v>6.512842189688036</c:v>
                </c:pt>
                <c:pt idx="81">
                  <c:v>6.4891593383348853</c:v>
                </c:pt>
                <c:pt idx="82">
                  <c:v>6.4656858377188637</c:v>
                </c:pt>
                <c:pt idx="83">
                  <c:v>6.4424188006924359</c:v>
                </c:pt>
                <c:pt idx="84">
                  <c:v>6.4193553940725474</c:v>
                </c:pt>
                <c:pt idx="85">
                  <c:v>6.396492837370495</c:v>
                </c:pt>
                <c:pt idx="86">
                  <c:v>6.3738284015576285</c:v>
                </c:pt>
                <c:pt idx="87">
                  <c:v>6.3513594078659086</c:v>
                </c:pt>
                <c:pt idx="88">
                  <c:v>6.3290832266221502</c:v>
                </c:pt>
                <c:pt idx="89">
                  <c:v>6.306997276114747</c:v>
                </c:pt>
                <c:pt idx="90">
                  <c:v>6.285099021491968</c:v>
                </c:pt>
                <c:pt idx="91">
                  <c:v>6.2633859736906823</c:v>
                </c:pt>
                <c:pt idx="92">
                  <c:v>6.2418556883945522</c:v>
                </c:pt>
                <c:pt idx="93">
                  <c:v>6.2205057650207767</c:v>
                </c:pt>
                <c:pt idx="94">
                  <c:v>6.1993338457345217</c:v>
                </c:pt>
                <c:pt idx="95">
                  <c:v>6.1783376144900037</c:v>
                </c:pt>
                <c:pt idx="96">
                  <c:v>6.1575147960975025</c:v>
                </c:pt>
                <c:pt idx="97">
                  <c:v>6.1368631553155151</c:v>
                </c:pt>
                <c:pt idx="98">
                  <c:v>6.1163804959670598</c:v>
                </c:pt>
                <c:pt idx="99">
                  <c:v>6.0960646600797332</c:v>
                </c:pt>
                <c:pt idx="100">
                  <c:v>6.0759135270483391</c:v>
                </c:pt>
                <c:pt idx="101">
                  <c:v>6.0559250128197588</c:v>
                </c:pt>
                <c:pt idx="102">
                  <c:v>6.0360970690991973</c:v>
                </c:pt>
                <c:pt idx="103">
                  <c:v>6.0164276825771879</c:v>
                </c:pt>
                <c:pt idx="104">
                  <c:v>5.9969148741767029</c:v>
                </c:pt>
                <c:pt idx="105">
                  <c:v>5.9775566983198223</c:v>
                </c:pt>
                <c:pt idx="106">
                  <c:v>5.9583512422132792</c:v>
                </c:pt>
                <c:pt idx="107">
                  <c:v>5.9392966251523296</c:v>
                </c:pt>
                <c:pt idx="108">
                  <c:v>5.9203909978425626</c:v>
                </c:pt>
                <c:pt idx="109">
                  <c:v>5.901632541738798</c:v>
                </c:pt>
                <c:pt idx="110">
                  <c:v>5.8830194684008319</c:v>
                </c:pt>
                <c:pt idx="111">
                  <c:v>5.8645500188654971</c:v>
                </c:pt>
                <c:pt idx="112">
                  <c:v>5.8462224630343291</c:v>
                </c:pt>
                <c:pt idx="113">
                  <c:v>5.8280350990767866</c:v>
                </c:pt>
                <c:pt idx="114">
                  <c:v>5.809986252848085</c:v>
                </c:pt>
                <c:pt idx="115">
                  <c:v>5.7920742773217029</c:v>
                </c:pt>
                <c:pt idx="116">
                  <c:v>5.7742975520357227</c:v>
                </c:pt>
                <c:pt idx="117">
                  <c:v>5.7566544825528707</c:v>
                </c:pt>
                <c:pt idx="118">
                  <c:v>5.7391434999338014</c:v>
                </c:pt>
                <c:pt idx="119">
                  <c:v>5.7217630602231608</c:v>
                </c:pt>
                <c:pt idx="120">
                  <c:v>5.704511643948166</c:v>
                </c:pt>
                <c:pt idx="121">
                  <c:v>5.6873877556292918</c:v>
                </c:pt>
                <c:pt idx="122">
                  <c:v>5.6703899233027668</c:v>
                </c:pt>
                <c:pt idx="123">
                  <c:v>5.6535166980544922</c:v>
                </c:pt>
                <c:pt idx="124">
                  <c:v>5.6367666535650747</c:v>
                </c:pt>
                <c:pt idx="125">
                  <c:v>5.6201383856657525</c:v>
                </c:pt>
                <c:pt idx="126">
                  <c:v>5.6036305119047221</c:v>
                </c:pt>
                <c:pt idx="127">
                  <c:v>5.5872416711238371</c:v>
                </c:pt>
                <c:pt idx="128">
                  <c:v>5.5709705230450721</c:v>
                </c:pt>
                <c:pt idx="129">
                  <c:v>5.55481574786688</c:v>
                </c:pt>
                <c:pt idx="130">
                  <c:v>5.538776045869727</c:v>
                </c:pt>
                <c:pt idx="131">
                  <c:v>5.5228501370309484</c:v>
                </c:pt>
                <c:pt idx="132">
                  <c:v>5.5070367606484307</c:v>
                </c:pt>
                <c:pt idx="133">
                  <c:v>5.491334674972995</c:v>
                </c:pt>
                <c:pt idx="134">
                  <c:v>5.4757426568491301</c:v>
                </c:pt>
                <c:pt idx="135">
                  <c:v>5.4602595013640656</c:v>
                </c:pt>
                <c:pt idx="136">
                  <c:v>5.444884021504695</c:v>
                </c:pt>
                <c:pt idx="137">
                  <c:v>5.4296150478223515</c:v>
                </c:pt>
                <c:pt idx="138">
                  <c:v>5.4144514281051253</c:v>
                </c:pt>
                <c:pt idx="139">
                  <c:v>5.3993920270575382</c:v>
                </c:pt>
                <c:pt idx="140">
                  <c:v>5.3844357259874318</c:v>
                </c:pt>
                <c:pt idx="141">
                  <c:v>5.3695814224997687</c:v>
                </c:pt>
                <c:pt idx="142">
                  <c:v>5.3548280301973303</c:v>
                </c:pt>
                <c:pt idx="143">
                  <c:v>5.340174478387965</c:v>
                </c:pt>
                <c:pt idx="144">
                  <c:v>5.3256197117983186</c:v>
                </c:pt>
                <c:pt idx="145">
                  <c:v>5.31116269029385</c:v>
                </c:pt>
                <c:pt idx="146">
                  <c:v>5.2968023886050215</c:v>
                </c:pt>
                <c:pt idx="147">
                  <c:v>5.2825377960593594</c:v>
                </c:pt>
                <c:pt idx="148">
                  <c:v>5.2683679163194244</c:v>
                </c:pt>
                <c:pt idx="149">
                  <c:v>5.2542917671264062</c:v>
                </c:pt>
                <c:pt idx="150">
                  <c:v>5.2403083800492647</c:v>
                </c:pt>
                <c:pt idx="151">
                  <c:v>5.2264168002392619</c:v>
                </c:pt>
                <c:pt idx="152">
                  <c:v>5.212616086189727</c:v>
                </c:pt>
                <c:pt idx="153">
                  <c:v>5.1989053095009394</c:v>
                </c:pt>
                <c:pt idx="154">
                  <c:v>5.185283554650046</c:v>
                </c:pt>
                <c:pt idx="155">
                  <c:v>5.1717499187658165</c:v>
                </c:pt>
                <c:pt idx="156">
                  <c:v>5.1583035114081213</c:v>
                </c:pt>
                <c:pt idx="157">
                  <c:v>5.1449434543521413</c:v>
                </c:pt>
                <c:pt idx="158">
                  <c:v>5.131668881376954</c:v>
                </c:pt>
                <c:pt idx="159">
                  <c:v>5.1184789380586269</c:v>
                </c:pt>
                <c:pt idx="160">
                  <c:v>5.1053727815676284</c:v>
                </c:pt>
                <c:pt idx="161">
                  <c:v>4.6550378014325808</c:v>
                </c:pt>
                <c:pt idx="162">
                  <c:v>5.0923495804703176</c:v>
                </c:pt>
                <c:pt idx="163">
                  <c:v>5.0794085145346752</c:v>
                </c:pt>
                <c:pt idx="164">
                  <c:v>5.0665487745398972</c:v>
                </c:pt>
                <c:pt idx="165">
                  <c:v>5.0537695620899825</c:v>
                </c:pt>
                <c:pt idx="166">
                  <c:v>5.0410700894310914</c:v>
                </c:pt>
                <c:pt idx="167">
                  <c:v>5.0284495792726078</c:v>
                </c:pt>
                <c:pt idx="168">
                  <c:v>5.015907264611843</c:v>
                </c:pt>
                <c:pt idx="169">
                  <c:v>5.0034423885622887</c:v>
                </c:pt>
                <c:pt idx="170">
                  <c:v>4.9910542041852892</c:v>
                </c:pt>
                <c:pt idx="171">
                  <c:v>4.9787419743251693</c:v>
                </c:pt>
                <c:pt idx="172">
                  <c:v>4.9665049714475415</c:v>
                </c:pt>
                <c:pt idx="173">
                  <c:v>4.9543424774809433</c:v>
                </c:pt>
                <c:pt idx="174">
                  <c:v>4.9422537836615543</c:v>
                </c:pt>
                <c:pt idx="175">
                  <c:v>4.9302381903810124</c:v>
                </c:pt>
                <c:pt idx="176">
                  <c:v>4.9182950070372158</c:v>
                </c:pt>
                <c:pt idx="177">
                  <c:v>4.9064235518880635</c:v>
                </c:pt>
                <c:pt idx="178">
                  <c:v>4.8946231519080721</c:v>
                </c:pt>
                <c:pt idx="179">
                  <c:v>4.8828931426477453</c:v>
                </c:pt>
                <c:pt idx="180">
                  <c:v>4.8712328680957615</c:v>
                </c:pt>
                <c:pt idx="181">
                  <c:v>4.8596416805437155</c:v>
                </c:pt>
                <c:pt idx="182">
                  <c:v>4.8481189404536131</c:v>
                </c:pt>
                <c:pt idx="183">
                  <c:v>4.8366640163277808</c:v>
                </c:pt>
                <c:pt idx="184">
                  <c:v>4.8252762845813955</c:v>
                </c:pt>
                <c:pt idx="185">
                  <c:v>4.8139551294173275</c:v>
                </c:pt>
                <c:pt idx="186">
                  <c:v>4.8026999427034776</c:v>
                </c:pt>
                <c:pt idx="187">
                  <c:v>4.7915101238523921</c:v>
                </c:pt>
                <c:pt idx="188">
                  <c:v>4.7803850797031657</c:v>
                </c:pt>
                <c:pt idx="189">
                  <c:v>4.769324224405584</c:v>
                </c:pt>
                <c:pt idx="190">
                  <c:v>4.7583269793064016</c:v>
                </c:pt>
                <c:pt idx="191">
                  <c:v>4.7473927728378333</c:v>
                </c:pt>
                <c:pt idx="192">
                  <c:v>4.736521040408058</c:v>
                </c:pt>
                <c:pt idx="193">
                  <c:v>4.7257112242938026</c:v>
                </c:pt>
                <c:pt idx="194">
                  <c:v>4.7149627735348973</c:v>
                </c:pt>
                <c:pt idx="195">
                  <c:v>4.7042751438307944</c:v>
                </c:pt>
                <c:pt idx="196">
                  <c:v>4.6936477974389996</c:v>
                </c:pt>
                <c:pt idx="197">
                  <c:v>4.6830802030753738</c:v>
                </c:pt>
                <c:pt idx="198">
                  <c:v>4.6725718358162371</c:v>
                </c:pt>
                <c:pt idx="199">
                  <c:v>4.662122177002308</c:v>
                </c:pt>
                <c:pt idx="200">
                  <c:v>4.6517307141443442</c:v>
                </c:pt>
                <c:pt idx="201">
                  <c:v>4.6413969408305302</c:v>
                </c:pt>
                <c:pt idx="202">
                  <c:v>4.6311203566355355</c:v>
                </c:pt>
                <c:pt idx="203">
                  <c:v>4.6209004670311904</c:v>
                </c:pt>
                <c:pt idx="204">
                  <c:v>4.6107367832988295</c:v>
                </c:pt>
                <c:pt idx="205">
                  <c:v>4.6006288224431158</c:v>
                </c:pt>
                <c:pt idx="206">
                  <c:v>4.5905761071074886</c:v>
                </c:pt>
                <c:pt idx="207">
                  <c:v>4.5805781654910813</c:v>
                </c:pt>
                <c:pt idx="208">
                  <c:v>4.5706345312671122</c:v>
                </c:pt>
                <c:pt idx="209">
                  <c:v>4.560744743502755</c:v>
                </c:pt>
                <c:pt idx="210">
                  <c:v>4.5509083465803606</c:v>
                </c:pt>
                <c:pt idx="211">
                  <c:v>4.541124890120126</c:v>
                </c:pt>
                <c:pt idx="212">
                  <c:v>4.5313939289041203</c:v>
                </c:pt>
                <c:pt idx="213">
                  <c:v>4.5217150228015726</c:v>
                </c:pt>
                <c:pt idx="214">
                  <c:v>4.5120877366955616</c:v>
                </c:pt>
                <c:pt idx="215">
                  <c:v>4.5025116404108747</c:v>
                </c:pt>
                <c:pt idx="216">
                  <c:v>4.4929863086432382</c:v>
                </c:pt>
                <c:pt idx="217">
                  <c:v>4.4835113208896464</c:v>
                </c:pt>
                <c:pt idx="218">
                  <c:v>4.4740862613799761</c:v>
                </c:pt>
                <c:pt idx="219">
                  <c:v>4.4647107190097719</c:v>
                </c:pt>
                <c:pt idx="220">
                  <c:v>4.4553842872741214</c:v>
                </c:pt>
                <c:pt idx="221">
                  <c:v>4.4461065642027391</c:v>
                </c:pt>
                <c:pt idx="222">
                  <c:v>4.4368771522961028</c:v>
                </c:pt>
                <c:pt idx="223">
                  <c:v>4.4276956584626825</c:v>
                </c:pt>
                <c:pt idx="224">
                  <c:v>4.418561693957253</c:v>
                </c:pt>
                <c:pt idx="225">
                  <c:v>4.4094748743202601</c:v>
                </c:pt>
                <c:pt idx="226">
                  <c:v>4.4004348193181322</c:v>
                </c:pt>
                <c:pt idx="227">
                  <c:v>4.3914411528846857</c:v>
                </c:pt>
                <c:pt idx="228">
                  <c:v>4.3824935030634506</c:v>
                </c:pt>
                <c:pt idx="229">
                  <c:v>4.3735915019510028</c:v>
                </c:pt>
                <c:pt idx="230">
                  <c:v>4.3647347856411729</c:v>
                </c:pt>
                <c:pt idx="231">
                  <c:v>4.3559229941702808</c:v>
                </c:pt>
                <c:pt idx="232">
                  <c:v>4.3471557714631768</c:v>
                </c:pt>
                <c:pt idx="233">
                  <c:v>4.3384327652802277</c:v>
                </c:pt>
                <c:pt idx="234">
                  <c:v>4.329753627165176</c:v>
                </c:pt>
                <c:pt idx="235">
                  <c:v>4.3211180123938178</c:v>
                </c:pt>
                <c:pt idx="236">
                  <c:v>4.3125255799235678</c:v>
                </c:pt>
                <c:pt idx="237">
                  <c:v>4.3039759923438075</c:v>
                </c:pt>
                <c:pt idx="238">
                  <c:v>4.2954689158270662</c:v>
                </c:pt>
                <c:pt idx="239">
                  <c:v>4.287004020080988</c:v>
                </c:pt>
                <c:pt idx="240">
                  <c:v>4.2785809783010498</c:v>
                </c:pt>
                <c:pt idx="241">
                  <c:v>4.2701994671240993</c:v>
                </c:pt>
                <c:pt idx="242">
                  <c:v>4.2618591665825791</c:v>
                </c:pt>
                <c:pt idx="243">
                  <c:v>4.253559760059515</c:v>
                </c:pt>
                <c:pt idx="244">
                  <c:v>4.2453009342442405</c:v>
                </c:pt>
                <c:pt idx="245">
                  <c:v>4.2370823790887906</c:v>
                </c:pt>
                <c:pt idx="246">
                  <c:v>4.2289037877649944</c:v>
                </c:pt>
                <c:pt idx="247">
                  <c:v>4.2207648566222957</c:v>
                </c:pt>
                <c:pt idx="248">
                  <c:v>4.2126652851461852</c:v>
                </c:pt>
                <c:pt idx="249">
                  <c:v>4.2046047759173035</c:v>
                </c:pt>
                <c:pt idx="250">
                  <c:v>4.1965830345712112</c:v>
                </c:pt>
                <c:pt idx="251">
                  <c:v>4.18859976975875</c:v>
                </c:pt>
                <c:pt idx="252">
                  <c:v>4.1806546931070665</c:v>
                </c:pt>
                <c:pt idx="253">
                  <c:v>4.1727475191812253</c:v>
                </c:pt>
                <c:pt idx="254">
                  <c:v>4.164877965446391</c:v>
                </c:pt>
                <c:pt idx="255">
                  <c:v>4.1570457522306654</c:v>
                </c:pt>
                <c:pt idx="256">
                  <c:v>4.1492506026884231</c:v>
                </c:pt>
                <c:pt idx="257">
                  <c:v>4.1414922427642642</c:v>
                </c:pt>
                <c:pt idx="258">
                  <c:v>4.1337704011575243</c:v>
                </c:pt>
                <c:pt idx="259">
                  <c:v>4.126084809287268</c:v>
                </c:pt>
                <c:pt idx="260">
                  <c:v>4.1184352012579231</c:v>
                </c:pt>
                <c:pt idx="261">
                  <c:v>4.1108213138253236</c:v>
                </c:pt>
                <c:pt idx="262">
                  <c:v>4.1032428863633568</c:v>
                </c:pt>
                <c:pt idx="263">
                  <c:v>4.0956996608310892</c:v>
                </c:pt>
                <c:pt idx="264">
                  <c:v>4.0881913817403603</c:v>
                </c:pt>
                <c:pt idx="265">
                  <c:v>4.0807177961239347</c:v>
                </c:pt>
                <c:pt idx="266">
                  <c:v>4.0732786535040493</c:v>
                </c:pt>
                <c:pt idx="267">
                  <c:v>4.0658737058615069</c:v>
                </c:pt>
                <c:pt idx="268">
                  <c:v>4.0585027076052107</c:v>
                </c:pt>
                <c:pt idx="269">
                  <c:v>4.0511654155421128</c:v>
                </c:pt>
                <c:pt idx="270">
                  <c:v>4.0438615888476779</c:v>
                </c:pt>
                <c:pt idx="271">
                  <c:v>4.0365909890367488</c:v>
                </c:pt>
                <c:pt idx="272">
                  <c:v>4.029353379934828</c:v>
                </c:pt>
                <c:pt idx="273">
                  <c:v>4.0221485276498425</c:v>
                </c:pt>
                <c:pt idx="274">
                  <c:v>4.0149762005442646</c:v>
                </c:pt>
                <c:pt idx="275">
                  <c:v>4.0078361692076712</c:v>
                </c:pt>
                <c:pt idx="276">
                  <c:v>4.0007282064297156</c:v>
                </c:pt>
                <c:pt idx="277">
                  <c:v>3.9936520871734666</c:v>
                </c:pt>
                <c:pt idx="278">
                  <c:v>3.9866075885491705</c:v>
                </c:pt>
                <c:pt idx="279">
                  <c:v>3.9795944897883611</c:v>
                </c:pt>
                <c:pt idx="280">
                  <c:v>3.9726125722183911</c:v>
                </c:pt>
                <c:pt idx="281">
                  <c:v>3.9656616192372809</c:v>
                </c:pt>
                <c:pt idx="282">
                  <c:v>3.9587414162889609</c:v>
                </c:pt>
                <c:pt idx="283">
                  <c:v>3.951851750838876</c:v>
                </c:pt>
                <c:pt idx="284">
                  <c:v>3.9449924123499325</c:v>
                </c:pt>
                <c:pt idx="285">
                  <c:v>3.9381631922587741</c:v>
                </c:pt>
                <c:pt idx="286">
                  <c:v>3.9313638839524354</c:v>
                </c:pt>
                <c:pt idx="287">
                  <c:v>3.9245942827452933</c:v>
                </c:pt>
                <c:pt idx="288">
                  <c:v>3.9178541858563602</c:v>
                </c:pt>
                <c:pt idx="289">
                  <c:v>3.9111433923869097</c:v>
                </c:pt>
                <c:pt idx="290">
                  <c:v>3.9044617032984141</c:v>
                </c:pt>
                <c:pt idx="291">
                  <c:v>3.8978089213907654</c:v>
                </c:pt>
                <c:pt idx="292">
                  <c:v>3.8911848512808684</c:v>
                </c:pt>
                <c:pt idx="293">
                  <c:v>3.8845892993814601</c:v>
                </c:pt>
                <c:pt idx="294">
                  <c:v>3.8780220738802833</c:v>
                </c:pt>
                <c:pt idx="295">
                  <c:v>3.871482984719524</c:v>
                </c:pt>
                <c:pt idx="296">
                  <c:v>3.8649718435755553</c:v>
                </c:pt>
                <c:pt idx="297">
                  <c:v>3.8584884638389245</c:v>
                </c:pt>
                <c:pt idx="298">
                  <c:v>3.8520326605946833</c:v>
                </c:pt>
                <c:pt idx="299">
                  <c:v>3.8456042506029142</c:v>
                </c:pt>
                <c:pt idx="300">
                  <c:v>3.8392030522796143</c:v>
                </c:pt>
                <c:pt idx="301">
                  <c:v>3.8328288856777326</c:v>
                </c:pt>
                <c:pt idx="302">
                  <c:v>3.8264815724686003</c:v>
                </c:pt>
                <c:pt idx="303">
                  <c:v>3.8201609359234765</c:v>
                </c:pt>
              </c:numCache>
            </c:numRef>
          </c:xVal>
          <c:yVal>
            <c:numRef>
              <c:f>'OF4.5 - Low Alt'!$E$15:$E$318</c:f>
              <c:numCache>
                <c:formatCode>0.00</c:formatCode>
                <c:ptCount val="304"/>
                <c:pt idx="0">
                  <c:v>175.36118444446961</c:v>
                </c:pt>
                <c:pt idx="1">
                  <c:v>175.53501175060532</c:v>
                </c:pt>
                <c:pt idx="2">
                  <c:v>175.70550677553911</c:v>
                </c:pt>
                <c:pt idx="3">
                  <c:v>175.87275085318487</c:v>
                </c:pt>
                <c:pt idx="4">
                  <c:v>176.03682272614088</c:v>
                </c:pt>
                <c:pt idx="5">
                  <c:v>176.19779864807171</c:v>
                </c:pt>
                <c:pt idx="6">
                  <c:v>176.35575248126375</c:v>
                </c:pt>
                <c:pt idx="7">
                  <c:v>176.51075578961877</c:v>
                </c:pt>
                <c:pt idx="8">
                  <c:v>176.66287792733283</c:v>
                </c:pt>
                <c:pt idx="9">
                  <c:v>176.81218612349264</c:v>
                </c:pt>
                <c:pt idx="10">
                  <c:v>176.95874556280771</c:v>
                </c:pt>
                <c:pt idx="11">
                  <c:v>177.10261946268318</c:v>
                </c:pt>
                <c:pt idx="12">
                  <c:v>177.24386914682549</c:v>
                </c:pt>
                <c:pt idx="13">
                  <c:v>177.3825541155621</c:v>
                </c:pt>
                <c:pt idx="14">
                  <c:v>177.5187321130455</c:v>
                </c:pt>
                <c:pt idx="15">
                  <c:v>177.65245919150172</c:v>
                </c:pt>
                <c:pt idx="16">
                  <c:v>177.78378977267423</c:v>
                </c:pt>
                <c:pt idx="17">
                  <c:v>177.91277670660466</c:v>
                </c:pt>
                <c:pt idx="18">
                  <c:v>178.03947132788596</c:v>
                </c:pt>
                <c:pt idx="19">
                  <c:v>178.16392350951244</c:v>
                </c:pt>
                <c:pt idx="20">
                  <c:v>178.286181714446</c:v>
                </c:pt>
                <c:pt idx="21">
                  <c:v>178.40629304501272</c:v>
                </c:pt>
                <c:pt idx="22">
                  <c:v>178.52430329023377</c:v>
                </c:pt>
                <c:pt idx="23">
                  <c:v>178.64025697119141</c:v>
                </c:pt>
                <c:pt idx="24">
                  <c:v>178.75419738452572</c:v>
                </c:pt>
                <c:pt idx="25">
                  <c:v>178.8661666441507</c:v>
                </c:pt>
                <c:pt idx="26">
                  <c:v>178.97620572127352</c:v>
                </c:pt>
                <c:pt idx="27">
                  <c:v>179.08435448279948</c:v>
                </c:pt>
                <c:pt idx="28">
                  <c:v>179.19065172819558</c:v>
                </c:pt>
                <c:pt idx="29">
                  <c:v>179.2951352248862</c:v>
                </c:pt>
                <c:pt idx="30">
                  <c:v>179.39784174224818</c:v>
                </c:pt>
                <c:pt idx="31">
                  <c:v>179.49880708426988</c:v>
                </c:pt>
                <c:pt idx="32">
                  <c:v>179.59806612093479</c:v>
                </c:pt>
                <c:pt idx="33">
                  <c:v>179.69565281838777</c:v>
                </c:pt>
                <c:pt idx="34">
                  <c:v>179.79160026793923</c:v>
                </c:pt>
                <c:pt idx="35">
                  <c:v>179.88594071395787</c:v>
                </c:pt>
                <c:pt idx="36">
                  <c:v>179.97870558070318</c:v>
                </c:pt>
                <c:pt idx="37">
                  <c:v>180.06992549814299</c:v>
                </c:pt>
                <c:pt idx="38">
                  <c:v>180.15963032680153</c:v>
                </c:pt>
                <c:pt idx="39">
                  <c:v>180.24784918168018</c:v>
                </c:pt>
                <c:pt idx="40">
                  <c:v>180.3346104552904</c:v>
                </c:pt>
                <c:pt idx="41">
                  <c:v>180.41994183983823</c:v>
                </c:pt>
                <c:pt idx="42">
                  <c:v>180.5038703485958</c:v>
                </c:pt>
                <c:pt idx="43">
                  <c:v>180.58642233649417</c:v>
                </c:pt>
                <c:pt idx="44">
                  <c:v>180.66762351997232</c:v>
                </c:pt>
                <c:pt idx="45">
                  <c:v>180.74749899611047</c:v>
                </c:pt>
                <c:pt idx="46">
                  <c:v>180.82607326108072</c:v>
                </c:pt>
                <c:pt idx="47">
                  <c:v>180.90337022794117</c:v>
                </c:pt>
                <c:pt idx="48">
                  <c:v>180.97941324380182</c:v>
                </c:pt>
                <c:pt idx="49">
                  <c:v>181.05422510638721</c:v>
                </c:pt>
                <c:pt idx="50">
                  <c:v>181.12782808002135</c:v>
                </c:pt>
                <c:pt idx="51">
                  <c:v>181.20024391105716</c:v>
                </c:pt>
                <c:pt idx="52">
                  <c:v>181.27149384277422</c:v>
                </c:pt>
                <c:pt idx="53">
                  <c:v>181.34159862976472</c:v>
                </c:pt>
                <c:pt idx="54">
                  <c:v>181.41057855182888</c:v>
                </c:pt>
                <c:pt idx="55">
                  <c:v>181.47845342739944</c:v>
                </c:pt>
                <c:pt idx="56">
                  <c:v>181.54524262651282</c:v>
                </c:pt>
                <c:pt idx="57">
                  <c:v>181.61096508334555</c:v>
                </c:pt>
                <c:pt idx="58">
                  <c:v>181.67563930833265</c:v>
                </c:pt>
                <c:pt idx="59">
                  <c:v>181.73928339988419</c:v>
                </c:pt>
                <c:pt idx="60">
                  <c:v>181.80191505571514</c:v>
                </c:pt>
                <c:pt idx="61">
                  <c:v>181.86355158380397</c:v>
                </c:pt>
                <c:pt idx="62">
                  <c:v>181.92420991299355</c:v>
                </c:pt>
                <c:pt idx="63">
                  <c:v>181.98390660324844</c:v>
                </c:pt>
                <c:pt idx="64">
                  <c:v>182.04265785558096</c:v>
                </c:pt>
                <c:pt idx="65">
                  <c:v>182.10047952165854</c:v>
                </c:pt>
                <c:pt idx="66">
                  <c:v>182.15738711310516</c:v>
                </c:pt>
                <c:pt idx="67">
                  <c:v>182.21339581050648</c:v>
                </c:pt>
                <c:pt idx="68">
                  <c:v>182.26852047213131</c:v>
                </c:pt>
                <c:pt idx="69">
                  <c:v>182.32277564237876</c:v>
                </c:pt>
                <c:pt idx="70">
                  <c:v>182.37617555996158</c:v>
                </c:pt>
                <c:pt idx="71">
                  <c:v>182.4287341658347</c:v>
                </c:pt>
                <c:pt idx="72">
                  <c:v>182.48046511087918</c:v>
                </c:pt>
                <c:pt idx="73">
                  <c:v>182.53138176334903</c:v>
                </c:pt>
                <c:pt idx="74">
                  <c:v>182.58149721609084</c:v>
                </c:pt>
                <c:pt idx="75">
                  <c:v>182.63082429354276</c:v>
                </c:pt>
                <c:pt idx="76">
                  <c:v>182.67937555852208</c:v>
                </c:pt>
                <c:pt idx="77">
                  <c:v>182.72716331880753</c:v>
                </c:pt>
                <c:pt idx="78">
                  <c:v>182.77419963352494</c:v>
                </c:pt>
                <c:pt idx="79">
                  <c:v>182.82049631934123</c:v>
                </c:pt>
                <c:pt idx="80">
                  <c:v>182.86606495647584</c:v>
                </c:pt>
                <c:pt idx="81">
                  <c:v>182.91091689453293</c:v>
                </c:pt>
                <c:pt idx="82">
                  <c:v>182.95506325816339</c:v>
                </c:pt>
                <c:pt idx="83">
                  <c:v>182.99851495256056</c:v>
                </c:pt>
                <c:pt idx="84">
                  <c:v>183.04128266879584</c:v>
                </c:pt>
                <c:pt idx="85">
                  <c:v>183.08337688899985</c:v>
                </c:pt>
                <c:pt idx="86">
                  <c:v>183.1248078913944</c:v>
                </c:pt>
                <c:pt idx="87">
                  <c:v>183.16558575517936</c:v>
                </c:pt>
                <c:pt idx="88">
                  <c:v>183.20572036528068</c:v>
                </c:pt>
                <c:pt idx="89">
                  <c:v>183.24522141696295</c:v>
                </c:pt>
                <c:pt idx="90">
                  <c:v>183.28409842031152</c:v>
                </c:pt>
                <c:pt idx="91">
                  <c:v>183.32236070458856</c:v>
                </c:pt>
                <c:pt idx="92">
                  <c:v>183.36001742246685</c:v>
                </c:pt>
                <c:pt idx="93">
                  <c:v>183.3970775541456</c:v>
                </c:pt>
                <c:pt idx="94">
                  <c:v>183.43354991135169</c:v>
                </c:pt>
                <c:pt idx="95">
                  <c:v>183.46944314123047</c:v>
                </c:pt>
                <c:pt idx="96">
                  <c:v>183.50476573012983</c:v>
                </c:pt>
                <c:pt idx="97">
                  <c:v>183.53952600727979</c:v>
                </c:pt>
                <c:pt idx="98">
                  <c:v>183.57373214837276</c:v>
                </c:pt>
                <c:pt idx="99">
                  <c:v>183.6073921790456</c:v>
                </c:pt>
                <c:pt idx="100">
                  <c:v>183.64051397826861</c:v>
                </c:pt>
                <c:pt idx="101">
                  <c:v>183.67310528164239</c:v>
                </c:pt>
                <c:pt idx="102">
                  <c:v>183.70517368460736</c:v>
                </c:pt>
                <c:pt idx="103">
                  <c:v>183.73672664556651</c:v>
                </c:pt>
                <c:pt idx="104">
                  <c:v>183.76777148892677</c:v>
                </c:pt>
                <c:pt idx="105">
                  <c:v>183.79831540805858</c:v>
                </c:pt>
                <c:pt idx="106">
                  <c:v>183.8283654681783</c:v>
                </c:pt>
                <c:pt idx="107">
                  <c:v>183.85792860915538</c:v>
                </c:pt>
                <c:pt idx="108">
                  <c:v>183.88701164824536</c:v>
                </c:pt>
                <c:pt idx="109">
                  <c:v>183.91562128275294</c:v>
                </c:pt>
                <c:pt idx="110">
                  <c:v>183.94376409262546</c:v>
                </c:pt>
                <c:pt idx="111">
                  <c:v>183.97144654297981</c:v>
                </c:pt>
                <c:pt idx="112">
                  <c:v>183.99867498656477</c:v>
                </c:pt>
                <c:pt idx="113">
                  <c:v>184.0254556661601</c:v>
                </c:pt>
                <c:pt idx="114">
                  <c:v>184.05179471691494</c:v>
                </c:pt>
                <c:pt idx="115">
                  <c:v>184.0776981686268</c:v>
                </c:pt>
                <c:pt idx="116">
                  <c:v>184.10317194796343</c:v>
                </c:pt>
                <c:pt idx="117">
                  <c:v>184.12822188062842</c:v>
                </c:pt>
                <c:pt idx="118">
                  <c:v>184.15285369347291</c:v>
                </c:pt>
                <c:pt idx="119">
                  <c:v>184.17707301655497</c:v>
                </c:pt>
                <c:pt idx="120">
                  <c:v>184.2008853851473</c:v>
                </c:pt>
                <c:pt idx="121">
                  <c:v>184.22429624169607</c:v>
                </c:pt>
                <c:pt idx="122">
                  <c:v>184.24731093773104</c:v>
                </c:pt>
                <c:pt idx="123">
                  <c:v>184.26993473572921</c:v>
                </c:pt>
                <c:pt idx="124">
                  <c:v>184.29217281093247</c:v>
                </c:pt>
                <c:pt idx="125">
                  <c:v>184.31403025312218</c:v>
                </c:pt>
                <c:pt idx="126">
                  <c:v>184.33551206834949</c:v>
                </c:pt>
                <c:pt idx="127">
                  <c:v>184.35662318062501</c:v>
                </c:pt>
                <c:pt idx="128">
                  <c:v>184.37736843356711</c:v>
                </c:pt>
                <c:pt idx="129">
                  <c:v>184.39775259201159</c:v>
                </c:pt>
                <c:pt idx="130">
                  <c:v>184.41778034358222</c:v>
                </c:pt>
                <c:pt idx="131">
                  <c:v>184.43745630022474</c:v>
                </c:pt>
                <c:pt idx="132">
                  <c:v>184.45678499970396</c:v>
                </c:pt>
                <c:pt idx="133">
                  <c:v>184.47577090706608</c:v>
                </c:pt>
                <c:pt idx="134">
                  <c:v>184.49441841606662</c:v>
                </c:pt>
                <c:pt idx="135">
                  <c:v>184.51273185056496</c:v>
                </c:pt>
                <c:pt idx="136">
                  <c:v>184.53071546588606</c:v>
                </c:pt>
                <c:pt idx="137">
                  <c:v>184.54837345015142</c:v>
                </c:pt>
                <c:pt idx="138">
                  <c:v>184.56570992557855</c:v>
                </c:pt>
                <c:pt idx="139">
                  <c:v>184.58272894975107</c:v>
                </c:pt>
                <c:pt idx="140">
                  <c:v>184.59943451685939</c:v>
                </c:pt>
                <c:pt idx="141">
                  <c:v>184.61583055891293</c:v>
                </c:pt>
                <c:pt idx="142">
                  <c:v>184.63192094692539</c:v>
                </c:pt>
                <c:pt idx="143">
                  <c:v>184.64770949207252</c:v>
                </c:pt>
                <c:pt idx="144">
                  <c:v>184.66319994682414</c:v>
                </c:pt>
                <c:pt idx="145">
                  <c:v>184.67839600605024</c:v>
                </c:pt>
                <c:pt idx="146">
                  <c:v>184.69330130810312</c:v>
                </c:pt>
                <c:pt idx="147">
                  <c:v>184.70791943587449</c:v>
                </c:pt>
                <c:pt idx="148">
                  <c:v>184.72225391782942</c:v>
                </c:pt>
                <c:pt idx="149">
                  <c:v>184.73630822901774</c:v>
                </c:pt>
                <c:pt idx="150">
                  <c:v>184.75008579206215</c:v>
                </c:pt>
                <c:pt idx="151">
                  <c:v>184.76358997812579</c:v>
                </c:pt>
                <c:pt idx="152">
                  <c:v>184.77682410785764</c:v>
                </c:pt>
                <c:pt idx="153">
                  <c:v>184.7897914523177</c:v>
                </c:pt>
                <c:pt idx="154">
                  <c:v>184.80249523388204</c:v>
                </c:pt>
                <c:pt idx="155">
                  <c:v>184.8149386271279</c:v>
                </c:pt>
                <c:pt idx="156">
                  <c:v>184.82712475970024</c:v>
                </c:pt>
                <c:pt idx="157">
                  <c:v>184.83905671315893</c:v>
                </c:pt>
                <c:pt idx="158">
                  <c:v>184.85073752380833</c:v>
                </c:pt>
                <c:pt idx="159">
                  <c:v>184.86217018350882</c:v>
                </c:pt>
                <c:pt idx="160">
                  <c:v>184.87335764047137</c:v>
                </c:pt>
                <c:pt idx="161">
                  <c:v>185.14450243282522</c:v>
                </c:pt>
                <c:pt idx="162">
                  <c:v>184.88430280003448</c:v>
                </c:pt>
                <c:pt idx="163">
                  <c:v>184.89500852542577</c:v>
                </c:pt>
                <c:pt idx="164">
                  <c:v>184.90547763850643</c:v>
                </c:pt>
                <c:pt idx="165">
                  <c:v>184.91571292050114</c:v>
                </c:pt>
                <c:pt idx="166">
                  <c:v>184.92571711271131</c:v>
                </c:pt>
                <c:pt idx="167">
                  <c:v>184.93549291721499</c:v>
                </c:pt>
                <c:pt idx="168">
                  <c:v>184.94504299755087</c:v>
                </c:pt>
                <c:pt idx="169">
                  <c:v>184.95436997938916</c:v>
                </c:pt>
                <c:pt idx="170">
                  <c:v>184.9634764511876</c:v>
                </c:pt>
                <c:pt idx="171">
                  <c:v>184.97236496483501</c:v>
                </c:pt>
                <c:pt idx="172">
                  <c:v>184.98103803628072</c:v>
                </c:pt>
                <c:pt idx="173">
                  <c:v>184.98949814615196</c:v>
                </c:pt>
                <c:pt idx="174">
                  <c:v>184.99774774035771</c:v>
                </c:pt>
                <c:pt idx="175">
                  <c:v>185.00578923068122</c:v>
                </c:pt>
                <c:pt idx="176">
                  <c:v>185.01362499535992</c:v>
                </c:pt>
                <c:pt idx="177">
                  <c:v>185.02125737965386</c:v>
                </c:pt>
                <c:pt idx="178">
                  <c:v>185.02868869640272</c:v>
                </c:pt>
                <c:pt idx="179">
                  <c:v>185.03592122657167</c:v>
                </c:pt>
                <c:pt idx="180">
                  <c:v>185.04295721978599</c:v>
                </c:pt>
                <c:pt idx="181">
                  <c:v>185.0497988948558</c:v>
                </c:pt>
                <c:pt idx="182">
                  <c:v>185.05644844028922</c:v>
                </c:pt>
                <c:pt idx="183">
                  <c:v>185.06290801479688</c:v>
                </c:pt>
                <c:pt idx="184">
                  <c:v>185.06917974778474</c:v>
                </c:pt>
                <c:pt idx="185">
                  <c:v>185.07526573983895</c:v>
                </c:pt>
                <c:pt idx="186">
                  <c:v>185.08116806319978</c:v>
                </c:pt>
                <c:pt idx="187">
                  <c:v>185.08688876222715</c:v>
                </c:pt>
                <c:pt idx="188">
                  <c:v>185.0924298538568</c:v>
                </c:pt>
                <c:pt idx="189">
                  <c:v>185.09779332804777</c:v>
                </c:pt>
                <c:pt idx="190">
                  <c:v>185.10298114822075</c:v>
                </c:pt>
                <c:pt idx="191">
                  <c:v>185.10799525168869</c:v>
                </c:pt>
                <c:pt idx="192">
                  <c:v>185.11283755007844</c:v>
                </c:pt>
                <c:pt idx="193">
                  <c:v>185.11750992974498</c:v>
                </c:pt>
                <c:pt idx="194">
                  <c:v>185.12201425217688</c:v>
                </c:pt>
                <c:pt idx="195">
                  <c:v>185.12635235439498</c:v>
                </c:pt>
                <c:pt idx="196">
                  <c:v>185.1305260493429</c:v>
                </c:pt>
                <c:pt idx="197">
                  <c:v>185.13453712627023</c:v>
                </c:pt>
                <c:pt idx="198">
                  <c:v>185.13838735110849</c:v>
                </c:pt>
                <c:pt idx="199">
                  <c:v>185.1420784668405</c:v>
                </c:pt>
                <c:pt idx="200">
                  <c:v>185.14561219386181</c:v>
                </c:pt>
                <c:pt idx="201">
                  <c:v>185.14899023033641</c:v>
                </c:pt>
                <c:pt idx="202">
                  <c:v>185.15221425254526</c:v>
                </c:pt>
                <c:pt idx="203">
                  <c:v>185.15528591522832</c:v>
                </c:pt>
                <c:pt idx="204">
                  <c:v>185.1582068519206</c:v>
                </c:pt>
                <c:pt idx="205">
                  <c:v>185.16097867528148</c:v>
                </c:pt>
                <c:pt idx="206">
                  <c:v>185.16360297741844</c:v>
                </c:pt>
                <c:pt idx="207">
                  <c:v>185.16608133020458</c:v>
                </c:pt>
                <c:pt idx="208">
                  <c:v>185.16841528559047</c:v>
                </c:pt>
                <c:pt idx="209">
                  <c:v>185.17060637591024</c:v>
                </c:pt>
                <c:pt idx="210">
                  <c:v>185.1726561141819</c:v>
                </c:pt>
                <c:pt idx="211">
                  <c:v>185.17456599440266</c:v>
                </c:pt>
                <c:pt idx="212">
                  <c:v>185.17633749183844</c:v>
                </c:pt>
                <c:pt idx="213">
                  <c:v>185.17797206330852</c:v>
                </c:pt>
                <c:pt idx="214">
                  <c:v>185.17947114746482</c:v>
                </c:pt>
                <c:pt idx="215">
                  <c:v>185.18083616506627</c:v>
                </c:pt>
                <c:pt idx="216">
                  <c:v>185.18206851924822</c:v>
                </c:pt>
                <c:pt idx="217">
                  <c:v>185.18316959578723</c:v>
                </c:pt>
                <c:pt idx="218">
                  <c:v>185.18414076336083</c:v>
                </c:pt>
                <c:pt idx="219">
                  <c:v>185.18498337380302</c:v>
                </c:pt>
                <c:pt idx="220">
                  <c:v>185.18569876235489</c:v>
                </c:pt>
                <c:pt idx="221">
                  <c:v>185.18628824791125</c:v>
                </c:pt>
                <c:pt idx="222">
                  <c:v>185.18675313326244</c:v>
                </c:pt>
                <c:pt idx="223">
                  <c:v>185.18709470533227</c:v>
                </c:pt>
                <c:pt idx="224">
                  <c:v>185.18731423541169</c:v>
                </c:pt>
                <c:pt idx="225">
                  <c:v>185.18741297938845</c:v>
                </c:pt>
                <c:pt idx="226">
                  <c:v>185.18739217797244</c:v>
                </c:pt>
                <c:pt idx="227">
                  <c:v>185.18725305691763</c:v>
                </c:pt>
                <c:pt idx="228">
                  <c:v>185.18699682723977</c:v>
                </c:pt>
                <c:pt idx="229">
                  <c:v>185.18662468543062</c:v>
                </c:pt>
                <c:pt idx="230">
                  <c:v>185.18613781366807</c:v>
                </c:pt>
                <c:pt idx="231">
                  <c:v>185.18553738002333</c:v>
                </c:pt>
                <c:pt idx="232">
                  <c:v>185.18482453866397</c:v>
                </c:pt>
                <c:pt idx="233">
                  <c:v>185.1840004300538</c:v>
                </c:pt>
                <c:pt idx="234">
                  <c:v>185.1830661811492</c:v>
                </c:pt>
                <c:pt idx="235">
                  <c:v>185.18202290559233</c:v>
                </c:pt>
                <c:pt idx="236">
                  <c:v>185.18087170390069</c:v>
                </c:pt>
                <c:pt idx="237">
                  <c:v>185.1796136636541</c:v>
                </c:pt>
                <c:pt idx="238">
                  <c:v>185.17824985967783</c:v>
                </c:pt>
                <c:pt idx="239">
                  <c:v>185.17678135422321</c:v>
                </c:pt>
                <c:pt idx="240">
                  <c:v>185.17520919714494</c:v>
                </c:pt>
                <c:pt idx="241">
                  <c:v>185.17353442607541</c:v>
                </c:pt>
                <c:pt idx="242">
                  <c:v>185.17175806659645</c:v>
                </c:pt>
                <c:pt idx="243">
                  <c:v>185.16988113240774</c:v>
                </c:pt>
                <c:pt idx="244">
                  <c:v>185.16790462549289</c:v>
                </c:pt>
                <c:pt idx="245">
                  <c:v>185.16582953628242</c:v>
                </c:pt>
                <c:pt idx="246">
                  <c:v>185.16365684381435</c:v>
                </c:pt>
                <c:pt idx="247">
                  <c:v>185.16138751589193</c:v>
                </c:pt>
                <c:pt idx="248">
                  <c:v>185.15902250923895</c:v>
                </c:pt>
                <c:pt idx="249">
                  <c:v>185.15656276965237</c:v>
                </c:pt>
                <c:pt idx="250">
                  <c:v>185.15400923215256</c:v>
                </c:pt>
                <c:pt idx="251">
                  <c:v>185.15136282113104</c:v>
                </c:pt>
                <c:pt idx="252">
                  <c:v>185.14862445049602</c:v>
                </c:pt>
                <c:pt idx="253">
                  <c:v>185.14579502381517</c:v>
                </c:pt>
                <c:pt idx="254">
                  <c:v>185.14287543445658</c:v>
                </c:pt>
                <c:pt idx="255">
                  <c:v>185.13986656572698</c:v>
                </c:pt>
                <c:pt idx="256">
                  <c:v>185.13676929100825</c:v>
                </c:pt>
                <c:pt idx="257">
                  <c:v>185.13358447389129</c:v>
                </c:pt>
                <c:pt idx="258">
                  <c:v>185.13031296830806</c:v>
                </c:pt>
                <c:pt idx="259">
                  <c:v>185.12695561866116</c:v>
                </c:pt>
                <c:pt idx="260">
                  <c:v>185.12351325995203</c:v>
                </c:pt>
                <c:pt idx="261">
                  <c:v>185.11998671790616</c:v>
                </c:pt>
                <c:pt idx="262">
                  <c:v>185.11637680909737</c:v>
                </c:pt>
                <c:pt idx="263">
                  <c:v>185.1126843410691</c:v>
                </c:pt>
                <c:pt idx="264">
                  <c:v>185.10891011245468</c:v>
                </c:pt>
                <c:pt idx="265">
                  <c:v>185.10505491309527</c:v>
                </c:pt>
                <c:pt idx="266">
                  <c:v>185.10111952415576</c:v>
                </c:pt>
                <c:pt idx="267">
                  <c:v>185.09710471823956</c:v>
                </c:pt>
                <c:pt idx="268">
                  <c:v>185.09301125950074</c:v>
                </c:pt>
                <c:pt idx="269">
                  <c:v>185.0888399037552</c:v>
                </c:pt>
                <c:pt idx="270">
                  <c:v>185.08459139858945</c:v>
                </c:pt>
                <c:pt idx="271">
                  <c:v>185.08026648346839</c:v>
                </c:pt>
                <c:pt idx="272">
                  <c:v>185.07586588984086</c:v>
                </c:pt>
                <c:pt idx="273">
                  <c:v>185.07139034124373</c:v>
                </c:pt>
                <c:pt idx="274">
                  <c:v>185.06684055340463</c:v>
                </c:pt>
                <c:pt idx="275">
                  <c:v>185.06221723434282</c:v>
                </c:pt>
                <c:pt idx="276">
                  <c:v>185.0575210844687</c:v>
                </c:pt>
                <c:pt idx="277">
                  <c:v>185.05275279668166</c:v>
                </c:pt>
                <c:pt idx="278">
                  <c:v>185.04791305646646</c:v>
                </c:pt>
                <c:pt idx="279">
                  <c:v>185.04300254198847</c:v>
                </c:pt>
                <c:pt idx="280">
                  <c:v>185.03802192418684</c:v>
                </c:pt>
                <c:pt idx="281">
                  <c:v>185.03297186686706</c:v>
                </c:pt>
                <c:pt idx="282">
                  <c:v>185.02785302679129</c:v>
                </c:pt>
                <c:pt idx="283">
                  <c:v>185.02266605376806</c:v>
                </c:pt>
                <c:pt idx="284">
                  <c:v>185.01741159074004</c:v>
                </c:pt>
                <c:pt idx="285">
                  <c:v>185.01209027387122</c:v>
                </c:pt>
                <c:pt idx="286">
                  <c:v>185.00670273263171</c:v>
                </c:pt>
                <c:pt idx="287">
                  <c:v>185.0012495898826</c:v>
                </c:pt>
                <c:pt idx="288">
                  <c:v>184.99573146195831</c:v>
                </c:pt>
                <c:pt idx="289">
                  <c:v>184.9901489587487</c:v>
                </c:pt>
                <c:pt idx="290">
                  <c:v>184.98450268377931</c:v>
                </c:pt>
                <c:pt idx="291">
                  <c:v>184.97879323429083</c:v>
                </c:pt>
                <c:pt idx="292">
                  <c:v>184.97302120131707</c:v>
                </c:pt>
                <c:pt idx="293">
                  <c:v>184.96718716976213</c:v>
                </c:pt>
                <c:pt idx="294">
                  <c:v>184.96129171847625</c:v>
                </c:pt>
                <c:pt idx="295">
                  <c:v>184.95533542033053</c:v>
                </c:pt>
                <c:pt idx="296">
                  <c:v>184.9493188422905</c:v>
                </c:pt>
                <c:pt idx="297">
                  <c:v>184.94324254548897</c:v>
                </c:pt>
                <c:pt idx="298">
                  <c:v>184.93710708529744</c:v>
                </c:pt>
                <c:pt idx="299">
                  <c:v>184.93091301139657</c:v>
                </c:pt>
                <c:pt idx="300">
                  <c:v>184.92466086784597</c:v>
                </c:pt>
                <c:pt idx="301">
                  <c:v>184.91835119315232</c:v>
                </c:pt>
                <c:pt idx="302">
                  <c:v>184.91198452033706</c:v>
                </c:pt>
                <c:pt idx="303">
                  <c:v>184.90556137700321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23D-49E2-8915-A923C237D1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4713184"/>
        <c:axId val="224713576"/>
      </c:scatterChart>
      <c:valAx>
        <c:axId val="224713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Nozzle Area Expansion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713576"/>
        <c:crosses val="autoZero"/>
        <c:crossBetween val="midCat"/>
      </c:valAx>
      <c:valAx>
        <c:axId val="224713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</a:t>
                </a:r>
                <a:r>
                  <a:rPr lang="en-US" baseline="-25000"/>
                  <a:t>sp</a:t>
                </a:r>
                <a:r>
                  <a:rPr lang="en-US" baseline="0"/>
                  <a:t> Initial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713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'OF4.5 - High Alt'!$E$14</c:f>
              <c:strCache>
                <c:ptCount val="1"/>
                <c:pt idx="0">
                  <c:v>Isp (s)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'OF4.5 - High Alt'!$C$15:$C$318</c:f>
              <c:numCache>
                <c:formatCode>0.00</c:formatCode>
                <c:ptCount val="304"/>
                <c:pt idx="0">
                  <c:v>9.5064874290136565</c:v>
                </c:pt>
                <c:pt idx="1">
                  <c:v>9.4475085928906601</c:v>
                </c:pt>
                <c:pt idx="2">
                  <c:v>9.3894007708211404</c:v>
                </c:pt>
                <c:pt idx="3">
                  <c:v>9.3321439710095646</c:v>
                </c:pt>
                <c:pt idx="4">
                  <c:v>9.2757188212254587</c:v>
                </c:pt>
                <c:pt idx="5">
                  <c:v>9.2201065447076225</c:v>
                </c:pt>
                <c:pt idx="6">
                  <c:v>9.1652889371927362</c:v>
                </c:pt>
                <c:pt idx="7">
                  <c:v>9.1112483450070911</c:v>
                </c:pt>
                <c:pt idx="8">
                  <c:v>9.0579676441645276</c:v>
                </c:pt>
                <c:pt idx="9">
                  <c:v>9.0054302204163896</c:v>
                </c:pt>
                <c:pt idx="10">
                  <c:v>8.9536199502032421</c:v>
                </c:pt>
                <c:pt idx="11">
                  <c:v>8.902521182460994</c:v>
                </c:pt>
                <c:pt idx="12">
                  <c:v>8.8521187212365504</c:v>
                </c:pt>
                <c:pt idx="13">
                  <c:v>8.8023978090712589</c:v>
                </c:pt>
                <c:pt idx="14">
                  <c:v>8.7533441111126518</c:v>
                </c:pt>
                <c:pt idx="15">
                  <c:v>8.7049436999171714</c:v>
                </c:pt>
                <c:pt idx="16">
                  <c:v>8.657183040909036</c:v>
                </c:pt>
                <c:pt idx="17">
                  <c:v>8.6100489784622951</c:v>
                </c:pt>
                <c:pt idx="18">
                  <c:v>8.5635287225747501</c:v>
                </c:pt>
                <c:pt idx="19">
                  <c:v>8.5176098361045494</c:v>
                </c:pt>
                <c:pt idx="20">
                  <c:v>8.4722802225420732</c:v>
                </c:pt>
                <c:pt idx="21">
                  <c:v>8.427528114290272</c:v>
                </c:pt>
                <c:pt idx="22">
                  <c:v>8.3833420614295537</c:v>
                </c:pt>
                <c:pt idx="23">
                  <c:v>8.3397109209435314</c:v>
                </c:pt>
                <c:pt idx="24">
                  <c:v>8.2966238463835058</c:v>
                </c:pt>
                <c:pt idx="25">
                  <c:v>8.2540702779511665</c:v>
                </c:pt>
                <c:pt idx="26">
                  <c:v>8.212039932979609</c:v>
                </c:pt>
                <c:pt idx="27">
                  <c:v>8.1705227967940548</c:v>
                </c:pt>
                <c:pt idx="28">
                  <c:v>8.1295091139345761</c:v>
                </c:pt>
                <c:pt idx="29">
                  <c:v>8.0889893797243175</c:v>
                </c:pt>
                <c:pt idx="30">
                  <c:v>8.0489543321671313</c:v>
                </c:pt>
                <c:pt idx="31">
                  <c:v>8.0093949441596859</c:v>
                </c:pt>
                <c:pt idx="32">
                  <c:v>7.9703024160040208</c:v>
                </c:pt>
                <c:pt idx="33">
                  <c:v>7.9316681682067163</c:v>
                </c:pt>
                <c:pt idx="34">
                  <c:v>7.8934838345521179</c:v>
                </c:pt>
                <c:pt idx="35">
                  <c:v>7.855741255437465</c:v>
                </c:pt>
                <c:pt idx="36">
                  <c:v>7.8184324714581699</c:v>
                </c:pt>
                <c:pt idx="37">
                  <c:v>7.7815497172326209</c:v>
                </c:pt>
                <c:pt idx="38">
                  <c:v>7.7450854154557671</c:v>
                </c:pt>
                <c:pt idx="39">
                  <c:v>7.709032171171744</c:v>
                </c:pt>
                <c:pt idx="40">
                  <c:v>7.6733827662562861</c:v>
                </c:pt>
                <c:pt idx="41">
                  <c:v>7.6381301540996827</c:v>
                </c:pt>
                <c:pt idx="42">
                  <c:v>7.6032674544818919</c:v>
                </c:pt>
                <c:pt idx="43">
                  <c:v>7.5687879486319005</c:v>
                </c:pt>
                <c:pt idx="44">
                  <c:v>7.5346850744632343</c:v>
                </c:pt>
                <c:pt idx="45">
                  <c:v>7.5009524219786661</c:v>
                </c:pt>
                <c:pt idx="46">
                  <c:v>7.4675837288369022</c:v>
                </c:pt>
                <c:pt idx="47">
                  <c:v>7.4345728760745686</c:v>
                </c:pt>
                <c:pt idx="48">
                  <c:v>7.4019138839773548</c:v>
                </c:pt>
                <c:pt idx="49">
                  <c:v>7.3696009080940224</c:v>
                </c:pt>
                <c:pt idx="50">
                  <c:v>7.337628235387637</c:v>
                </c:pt>
                <c:pt idx="51">
                  <c:v>7.3059902805185173</c:v>
                </c:pt>
                <c:pt idx="52">
                  <c:v>7.2746815822535469</c:v>
                </c:pt>
                <c:pt idx="53">
                  <c:v>7.2436967999969823</c:v>
                </c:pt>
                <c:pt idx="54">
                  <c:v>7.2130307104378097</c:v>
                </c:pt>
                <c:pt idx="55">
                  <c:v>7.1826782043092638</c:v>
                </c:pt>
                <c:pt idx="56">
                  <c:v>7.152634283255888</c:v>
                </c:pt>
                <c:pt idx="57">
                  <c:v>7.122894056804201</c:v>
                </c:pt>
                <c:pt idx="58">
                  <c:v>7.0934527394329052</c:v>
                </c:pt>
                <c:pt idx="59">
                  <c:v>7.0643056477386796</c:v>
                </c:pt>
                <c:pt idx="60">
                  <c:v>7.0354481976941807</c:v>
                </c:pt>
                <c:pt idx="61">
                  <c:v>7.0068759019945093</c:v>
                </c:pt>
                <c:pt idx="62">
                  <c:v>6.9785843674889536</c:v>
                </c:pt>
                <c:pt idx="63">
                  <c:v>6.9505692926947233</c:v>
                </c:pt>
                <c:pt idx="64">
                  <c:v>6.92282646538977</c:v>
                </c:pt>
                <c:pt idx="65">
                  <c:v>6.8953517602815397</c:v>
                </c:pt>
                <c:pt idx="66">
                  <c:v>6.8681411367490091</c:v>
                </c:pt>
                <c:pt idx="67">
                  <c:v>6.8411906366553605</c:v>
                </c:pt>
                <c:pt idx="68">
                  <c:v>6.814496382228536</c:v>
                </c:pt>
                <c:pt idx="69">
                  <c:v>6.7880545740073694</c:v>
                </c:pt>
                <c:pt idx="70">
                  <c:v>6.7618614888508874</c:v>
                </c:pt>
                <c:pt idx="71">
                  <c:v>6.7359134780085173</c:v>
                </c:pt>
                <c:pt idx="72">
                  <c:v>6.7102069652488998</c:v>
                </c:pt>
                <c:pt idx="73">
                  <c:v>6.684738445045519</c:v>
                </c:pt>
                <c:pt idx="74">
                  <c:v>6.6595044808168042</c:v>
                </c:pt>
                <c:pt idx="75">
                  <c:v>6.6345017032189988</c:v>
                </c:pt>
                <c:pt idx="76">
                  <c:v>6.6097268084899845</c:v>
                </c:pt>
                <c:pt idx="77">
                  <c:v>6.5851765568420388</c:v>
                </c:pt>
                <c:pt idx="78">
                  <c:v>6.5608477709021287</c:v>
                </c:pt>
                <c:pt idx="79">
                  <c:v>6.5367373341979382</c:v>
                </c:pt>
                <c:pt idx="80">
                  <c:v>6.512842189688036</c:v>
                </c:pt>
                <c:pt idx="81">
                  <c:v>6.4891593383348853</c:v>
                </c:pt>
                <c:pt idx="82">
                  <c:v>6.4656858377188637</c:v>
                </c:pt>
                <c:pt idx="83">
                  <c:v>6.4424188006924359</c:v>
                </c:pt>
                <c:pt idx="84">
                  <c:v>6.4193553940725474</c:v>
                </c:pt>
                <c:pt idx="85">
                  <c:v>6.396492837370495</c:v>
                </c:pt>
                <c:pt idx="86">
                  <c:v>6.3738284015576285</c:v>
                </c:pt>
                <c:pt idx="87">
                  <c:v>6.3513594078659086</c:v>
                </c:pt>
                <c:pt idx="88">
                  <c:v>6.3290832266221502</c:v>
                </c:pt>
                <c:pt idx="89">
                  <c:v>6.306997276114747</c:v>
                </c:pt>
                <c:pt idx="90">
                  <c:v>6.285099021491968</c:v>
                </c:pt>
                <c:pt idx="91">
                  <c:v>6.2633859736906823</c:v>
                </c:pt>
                <c:pt idx="92">
                  <c:v>6.2418556883945522</c:v>
                </c:pt>
                <c:pt idx="93">
                  <c:v>6.2205057650207767</c:v>
                </c:pt>
                <c:pt idx="94">
                  <c:v>6.1993338457345217</c:v>
                </c:pt>
                <c:pt idx="95">
                  <c:v>6.1783376144900037</c:v>
                </c:pt>
                <c:pt idx="96">
                  <c:v>6.1575147960975025</c:v>
                </c:pt>
                <c:pt idx="97">
                  <c:v>6.1368631553155151</c:v>
                </c:pt>
                <c:pt idx="98">
                  <c:v>6.1163804959670598</c:v>
                </c:pt>
                <c:pt idx="99">
                  <c:v>6.0960646600797332</c:v>
                </c:pt>
                <c:pt idx="100">
                  <c:v>6.0759135270483391</c:v>
                </c:pt>
                <c:pt idx="101">
                  <c:v>6.0559250128197588</c:v>
                </c:pt>
                <c:pt idx="102">
                  <c:v>6.0360970690991973</c:v>
                </c:pt>
                <c:pt idx="103">
                  <c:v>6.0164276825771879</c:v>
                </c:pt>
                <c:pt idx="104">
                  <c:v>5.9969148741767029</c:v>
                </c:pt>
                <c:pt idx="105">
                  <c:v>5.9775566983198223</c:v>
                </c:pt>
                <c:pt idx="106">
                  <c:v>5.9583512422132792</c:v>
                </c:pt>
                <c:pt idx="107">
                  <c:v>5.9392966251523296</c:v>
                </c:pt>
                <c:pt idx="108">
                  <c:v>5.9203909978425626</c:v>
                </c:pt>
                <c:pt idx="109">
                  <c:v>5.901632541738798</c:v>
                </c:pt>
                <c:pt idx="110">
                  <c:v>5.8830194684008319</c:v>
                </c:pt>
                <c:pt idx="111">
                  <c:v>5.8645500188654971</c:v>
                </c:pt>
                <c:pt idx="112">
                  <c:v>5.8462224630343291</c:v>
                </c:pt>
                <c:pt idx="113">
                  <c:v>5.8280350990767866</c:v>
                </c:pt>
                <c:pt idx="114">
                  <c:v>5.809986252848085</c:v>
                </c:pt>
                <c:pt idx="115">
                  <c:v>5.7920742773217029</c:v>
                </c:pt>
                <c:pt idx="116">
                  <c:v>5.7742975520357227</c:v>
                </c:pt>
                <c:pt idx="117">
                  <c:v>5.7566544825528707</c:v>
                </c:pt>
                <c:pt idx="118">
                  <c:v>5.7391434999338014</c:v>
                </c:pt>
                <c:pt idx="119">
                  <c:v>5.7217630602231608</c:v>
                </c:pt>
                <c:pt idx="120">
                  <c:v>5.704511643948166</c:v>
                </c:pt>
                <c:pt idx="121">
                  <c:v>5.6873877556292918</c:v>
                </c:pt>
                <c:pt idx="122">
                  <c:v>5.6703899233027668</c:v>
                </c:pt>
                <c:pt idx="123">
                  <c:v>5.6535166980544922</c:v>
                </c:pt>
                <c:pt idx="124">
                  <c:v>5.6367666535650747</c:v>
                </c:pt>
                <c:pt idx="125">
                  <c:v>5.6201383856657525</c:v>
                </c:pt>
                <c:pt idx="126">
                  <c:v>5.6036305119047221</c:v>
                </c:pt>
                <c:pt idx="127">
                  <c:v>5.5872416711238371</c:v>
                </c:pt>
                <c:pt idx="128">
                  <c:v>5.5709705230450721</c:v>
                </c:pt>
                <c:pt idx="129">
                  <c:v>5.55481574786688</c:v>
                </c:pt>
                <c:pt idx="130">
                  <c:v>5.538776045869727</c:v>
                </c:pt>
                <c:pt idx="131">
                  <c:v>5.5228501370309484</c:v>
                </c:pt>
                <c:pt idx="132">
                  <c:v>5.5070367606484307</c:v>
                </c:pt>
                <c:pt idx="133">
                  <c:v>5.491334674972995</c:v>
                </c:pt>
                <c:pt idx="134">
                  <c:v>5.4757426568491301</c:v>
                </c:pt>
                <c:pt idx="135">
                  <c:v>5.4602595013640656</c:v>
                </c:pt>
                <c:pt idx="136">
                  <c:v>5.444884021504695</c:v>
                </c:pt>
                <c:pt idx="137">
                  <c:v>5.4296150478223515</c:v>
                </c:pt>
                <c:pt idx="138">
                  <c:v>5.4144514281051253</c:v>
                </c:pt>
                <c:pt idx="139">
                  <c:v>5.3993920270575382</c:v>
                </c:pt>
                <c:pt idx="140">
                  <c:v>5.3844357259874318</c:v>
                </c:pt>
                <c:pt idx="141">
                  <c:v>5.3695814224997687</c:v>
                </c:pt>
                <c:pt idx="142">
                  <c:v>5.3548280301973303</c:v>
                </c:pt>
                <c:pt idx="143">
                  <c:v>5.340174478387965</c:v>
                </c:pt>
                <c:pt idx="144">
                  <c:v>5.3256197117983186</c:v>
                </c:pt>
                <c:pt idx="145">
                  <c:v>5.31116269029385</c:v>
                </c:pt>
                <c:pt idx="146">
                  <c:v>5.2968023886050215</c:v>
                </c:pt>
                <c:pt idx="147">
                  <c:v>5.2825377960593594</c:v>
                </c:pt>
                <c:pt idx="148">
                  <c:v>5.2683679163194244</c:v>
                </c:pt>
                <c:pt idx="149">
                  <c:v>5.2542917671264062</c:v>
                </c:pt>
                <c:pt idx="150">
                  <c:v>5.2403083800492647</c:v>
                </c:pt>
                <c:pt idx="151">
                  <c:v>5.2264168002392619</c:v>
                </c:pt>
                <c:pt idx="152">
                  <c:v>5.212616086189727</c:v>
                </c:pt>
                <c:pt idx="153">
                  <c:v>5.1989053095009394</c:v>
                </c:pt>
                <c:pt idx="154">
                  <c:v>5.185283554650046</c:v>
                </c:pt>
                <c:pt idx="155">
                  <c:v>5.1717499187658165</c:v>
                </c:pt>
                <c:pt idx="156">
                  <c:v>5.1583035114081213</c:v>
                </c:pt>
                <c:pt idx="157">
                  <c:v>5.1449434543521413</c:v>
                </c:pt>
                <c:pt idx="158">
                  <c:v>5.131668881376954</c:v>
                </c:pt>
                <c:pt idx="159">
                  <c:v>5.1184789380586269</c:v>
                </c:pt>
                <c:pt idx="160">
                  <c:v>5.1053727815676284</c:v>
                </c:pt>
                <c:pt idx="161">
                  <c:v>4.5068266358392757</c:v>
                </c:pt>
                <c:pt idx="162">
                  <c:v>5.0923495804703176</c:v>
                </c:pt>
                <c:pt idx="163">
                  <c:v>5.0794085145346752</c:v>
                </c:pt>
                <c:pt idx="164">
                  <c:v>5.0665487745398972</c:v>
                </c:pt>
                <c:pt idx="165">
                  <c:v>5.0537695620899825</c:v>
                </c:pt>
                <c:pt idx="166">
                  <c:v>5.0410700894310914</c:v>
                </c:pt>
                <c:pt idx="167">
                  <c:v>5.0284495792726078</c:v>
                </c:pt>
                <c:pt idx="168">
                  <c:v>5.015907264611843</c:v>
                </c:pt>
                <c:pt idx="169">
                  <c:v>5.0034423885622887</c:v>
                </c:pt>
                <c:pt idx="170">
                  <c:v>4.9910542041852892</c:v>
                </c:pt>
                <c:pt idx="171">
                  <c:v>4.9787419743251693</c:v>
                </c:pt>
                <c:pt idx="172">
                  <c:v>4.9665049714475415</c:v>
                </c:pt>
                <c:pt idx="173">
                  <c:v>4.9543424774809433</c:v>
                </c:pt>
                <c:pt idx="174">
                  <c:v>4.9422537836615543</c:v>
                </c:pt>
                <c:pt idx="175">
                  <c:v>4.9302381903810124</c:v>
                </c:pt>
                <c:pt idx="176">
                  <c:v>4.9182950070372158</c:v>
                </c:pt>
                <c:pt idx="177">
                  <c:v>4.9064235518880635</c:v>
                </c:pt>
                <c:pt idx="178">
                  <c:v>4.8946231519080721</c:v>
                </c:pt>
                <c:pt idx="179">
                  <c:v>4.8828931426477453</c:v>
                </c:pt>
                <c:pt idx="180">
                  <c:v>4.8712328680957615</c:v>
                </c:pt>
                <c:pt idx="181">
                  <c:v>4.8596416805437155</c:v>
                </c:pt>
                <c:pt idx="182">
                  <c:v>4.8481189404536131</c:v>
                </c:pt>
                <c:pt idx="183">
                  <c:v>4.8366640163277808</c:v>
                </c:pt>
                <c:pt idx="184">
                  <c:v>4.8252762845813955</c:v>
                </c:pt>
                <c:pt idx="185">
                  <c:v>4.8139551294173275</c:v>
                </c:pt>
                <c:pt idx="186">
                  <c:v>4.8026999427034776</c:v>
                </c:pt>
                <c:pt idx="187">
                  <c:v>4.7915101238523921</c:v>
                </c:pt>
                <c:pt idx="188">
                  <c:v>4.7803850797031657</c:v>
                </c:pt>
                <c:pt idx="189">
                  <c:v>4.769324224405584</c:v>
                </c:pt>
                <c:pt idx="190">
                  <c:v>4.7583269793064016</c:v>
                </c:pt>
                <c:pt idx="191">
                  <c:v>4.7473927728378333</c:v>
                </c:pt>
                <c:pt idx="192">
                  <c:v>4.736521040408058</c:v>
                </c:pt>
                <c:pt idx="193">
                  <c:v>4.7257112242938026</c:v>
                </c:pt>
                <c:pt idx="194">
                  <c:v>4.7149627735348973</c:v>
                </c:pt>
                <c:pt idx="195">
                  <c:v>4.7042751438307944</c:v>
                </c:pt>
                <c:pt idx="196">
                  <c:v>4.6936477974389996</c:v>
                </c:pt>
                <c:pt idx="197">
                  <c:v>4.6830802030753738</c:v>
                </c:pt>
                <c:pt idx="198">
                  <c:v>4.6725718358162371</c:v>
                </c:pt>
                <c:pt idx="199">
                  <c:v>4.662122177002308</c:v>
                </c:pt>
                <c:pt idx="200">
                  <c:v>4.6517307141443442</c:v>
                </c:pt>
                <c:pt idx="201">
                  <c:v>4.6413969408305302</c:v>
                </c:pt>
                <c:pt idx="202">
                  <c:v>4.6311203566355355</c:v>
                </c:pt>
                <c:pt idx="203">
                  <c:v>4.6209004670311904</c:v>
                </c:pt>
                <c:pt idx="204">
                  <c:v>4.6107367832988295</c:v>
                </c:pt>
                <c:pt idx="205">
                  <c:v>4.6006288224431158</c:v>
                </c:pt>
                <c:pt idx="206">
                  <c:v>4.5905761071074886</c:v>
                </c:pt>
                <c:pt idx="207">
                  <c:v>4.5805781654910813</c:v>
                </c:pt>
                <c:pt idx="208">
                  <c:v>4.5706345312671122</c:v>
                </c:pt>
                <c:pt idx="209">
                  <c:v>4.560744743502755</c:v>
                </c:pt>
                <c:pt idx="210">
                  <c:v>4.5509083465803606</c:v>
                </c:pt>
                <c:pt idx="211">
                  <c:v>4.541124890120126</c:v>
                </c:pt>
                <c:pt idx="212">
                  <c:v>4.5313939289041203</c:v>
                </c:pt>
                <c:pt idx="213">
                  <c:v>4.5217150228015726</c:v>
                </c:pt>
                <c:pt idx="214">
                  <c:v>4.5120877366955616</c:v>
                </c:pt>
                <c:pt idx="215">
                  <c:v>4.5025116404108747</c:v>
                </c:pt>
                <c:pt idx="216">
                  <c:v>4.4929863086432382</c:v>
                </c:pt>
                <c:pt idx="217">
                  <c:v>4.4835113208896464</c:v>
                </c:pt>
                <c:pt idx="218">
                  <c:v>4.4740862613799761</c:v>
                </c:pt>
                <c:pt idx="219">
                  <c:v>4.4647107190097719</c:v>
                </c:pt>
                <c:pt idx="220">
                  <c:v>4.4553842872741214</c:v>
                </c:pt>
                <c:pt idx="221">
                  <c:v>4.4461065642027391</c:v>
                </c:pt>
                <c:pt idx="222">
                  <c:v>4.4368771522961028</c:v>
                </c:pt>
                <c:pt idx="223">
                  <c:v>4.4276956584626825</c:v>
                </c:pt>
                <c:pt idx="224">
                  <c:v>4.418561693957253</c:v>
                </c:pt>
                <c:pt idx="225">
                  <c:v>4.4094748743202601</c:v>
                </c:pt>
                <c:pt idx="226">
                  <c:v>4.4004348193181322</c:v>
                </c:pt>
                <c:pt idx="227">
                  <c:v>4.3914411528846857</c:v>
                </c:pt>
                <c:pt idx="228">
                  <c:v>4.3824935030634506</c:v>
                </c:pt>
                <c:pt idx="229">
                  <c:v>4.3735915019510028</c:v>
                </c:pt>
                <c:pt idx="230">
                  <c:v>4.3647347856411729</c:v>
                </c:pt>
                <c:pt idx="231">
                  <c:v>4.3559229941702808</c:v>
                </c:pt>
                <c:pt idx="232">
                  <c:v>4.3471557714631768</c:v>
                </c:pt>
                <c:pt idx="233">
                  <c:v>4.3384327652802277</c:v>
                </c:pt>
                <c:pt idx="234">
                  <c:v>4.329753627165176</c:v>
                </c:pt>
                <c:pt idx="235">
                  <c:v>4.3211180123938178</c:v>
                </c:pt>
                <c:pt idx="236">
                  <c:v>4.3125255799235678</c:v>
                </c:pt>
                <c:pt idx="237">
                  <c:v>4.3039759923438075</c:v>
                </c:pt>
                <c:pt idx="238">
                  <c:v>4.2954689158270662</c:v>
                </c:pt>
                <c:pt idx="239">
                  <c:v>4.287004020080988</c:v>
                </c:pt>
                <c:pt idx="240">
                  <c:v>4.2785809783010498</c:v>
                </c:pt>
                <c:pt idx="241">
                  <c:v>4.2701994671240993</c:v>
                </c:pt>
                <c:pt idx="242">
                  <c:v>4.2618591665825791</c:v>
                </c:pt>
                <c:pt idx="243">
                  <c:v>4.253559760059515</c:v>
                </c:pt>
                <c:pt idx="244">
                  <c:v>4.2453009342442405</c:v>
                </c:pt>
                <c:pt idx="245">
                  <c:v>4.2370823790887906</c:v>
                </c:pt>
                <c:pt idx="246">
                  <c:v>4.2289037877649944</c:v>
                </c:pt>
                <c:pt idx="247">
                  <c:v>4.2207648566222957</c:v>
                </c:pt>
                <c:pt idx="248">
                  <c:v>4.2126652851461852</c:v>
                </c:pt>
                <c:pt idx="249">
                  <c:v>4.2046047759173035</c:v>
                </c:pt>
                <c:pt idx="250">
                  <c:v>4.1965830345712112</c:v>
                </c:pt>
                <c:pt idx="251">
                  <c:v>4.18859976975875</c:v>
                </c:pt>
                <c:pt idx="252">
                  <c:v>4.1806546931070665</c:v>
                </c:pt>
                <c:pt idx="253">
                  <c:v>4.1727475191812253</c:v>
                </c:pt>
                <c:pt idx="254">
                  <c:v>4.164877965446391</c:v>
                </c:pt>
                <c:pt idx="255">
                  <c:v>4.1570457522306654</c:v>
                </c:pt>
                <c:pt idx="256">
                  <c:v>4.1492506026884231</c:v>
                </c:pt>
                <c:pt idx="257">
                  <c:v>4.1414922427642642</c:v>
                </c:pt>
                <c:pt idx="258">
                  <c:v>4.1337704011575243</c:v>
                </c:pt>
                <c:pt idx="259">
                  <c:v>4.126084809287268</c:v>
                </c:pt>
                <c:pt idx="260">
                  <c:v>4.1184352012579231</c:v>
                </c:pt>
                <c:pt idx="261">
                  <c:v>4.1108213138253236</c:v>
                </c:pt>
                <c:pt idx="262">
                  <c:v>4.1032428863633568</c:v>
                </c:pt>
                <c:pt idx="263">
                  <c:v>4.0956996608310892</c:v>
                </c:pt>
                <c:pt idx="264">
                  <c:v>4.0881913817403603</c:v>
                </c:pt>
                <c:pt idx="265">
                  <c:v>4.0807177961239347</c:v>
                </c:pt>
                <c:pt idx="266">
                  <c:v>4.0732786535040493</c:v>
                </c:pt>
                <c:pt idx="267">
                  <c:v>4.0658737058615069</c:v>
                </c:pt>
                <c:pt idx="268">
                  <c:v>4.0585027076052107</c:v>
                </c:pt>
                <c:pt idx="269">
                  <c:v>4.0511654155421128</c:v>
                </c:pt>
                <c:pt idx="270">
                  <c:v>4.0438615888476779</c:v>
                </c:pt>
                <c:pt idx="271">
                  <c:v>4.0365909890367488</c:v>
                </c:pt>
                <c:pt idx="272">
                  <c:v>4.029353379934828</c:v>
                </c:pt>
                <c:pt idx="273">
                  <c:v>4.0221485276498425</c:v>
                </c:pt>
                <c:pt idx="274">
                  <c:v>4.0149762005442646</c:v>
                </c:pt>
                <c:pt idx="275">
                  <c:v>4.0078361692076712</c:v>
                </c:pt>
                <c:pt idx="276">
                  <c:v>4.0007282064297156</c:v>
                </c:pt>
                <c:pt idx="277">
                  <c:v>3.9936520871734666</c:v>
                </c:pt>
                <c:pt idx="278">
                  <c:v>3.9866075885491705</c:v>
                </c:pt>
                <c:pt idx="279">
                  <c:v>3.9795944897883611</c:v>
                </c:pt>
                <c:pt idx="280">
                  <c:v>3.9726125722183911</c:v>
                </c:pt>
                <c:pt idx="281">
                  <c:v>3.9656616192372809</c:v>
                </c:pt>
                <c:pt idx="282">
                  <c:v>3.9587414162889609</c:v>
                </c:pt>
                <c:pt idx="283">
                  <c:v>3.951851750838876</c:v>
                </c:pt>
                <c:pt idx="284">
                  <c:v>3.9449924123499325</c:v>
                </c:pt>
                <c:pt idx="285">
                  <c:v>3.9381631922587741</c:v>
                </c:pt>
                <c:pt idx="286">
                  <c:v>3.9313638839524354</c:v>
                </c:pt>
                <c:pt idx="287">
                  <c:v>3.9245942827452933</c:v>
                </c:pt>
                <c:pt idx="288">
                  <c:v>3.9178541858563602</c:v>
                </c:pt>
                <c:pt idx="289">
                  <c:v>3.9111433923869097</c:v>
                </c:pt>
                <c:pt idx="290">
                  <c:v>3.9044617032984141</c:v>
                </c:pt>
                <c:pt idx="291">
                  <c:v>3.8978089213907654</c:v>
                </c:pt>
                <c:pt idx="292">
                  <c:v>3.8911848512808684</c:v>
                </c:pt>
                <c:pt idx="293">
                  <c:v>3.8845892993814601</c:v>
                </c:pt>
                <c:pt idx="294">
                  <c:v>3.8780220738802833</c:v>
                </c:pt>
                <c:pt idx="295">
                  <c:v>3.871482984719524</c:v>
                </c:pt>
                <c:pt idx="296">
                  <c:v>3.8649718435755553</c:v>
                </c:pt>
                <c:pt idx="297">
                  <c:v>3.8584884638389245</c:v>
                </c:pt>
                <c:pt idx="298">
                  <c:v>3.8520326605946833</c:v>
                </c:pt>
                <c:pt idx="299">
                  <c:v>3.8456042506029142</c:v>
                </c:pt>
                <c:pt idx="300">
                  <c:v>3.8392030522796143</c:v>
                </c:pt>
                <c:pt idx="301">
                  <c:v>3.8328288856777326</c:v>
                </c:pt>
                <c:pt idx="302">
                  <c:v>3.8264815724686003</c:v>
                </c:pt>
                <c:pt idx="303">
                  <c:v>3.8201609359234765</c:v>
                </c:pt>
              </c:numCache>
            </c:numRef>
          </c:xVal>
          <c:yVal>
            <c:numRef>
              <c:f>'OF4.5 - High Alt'!$E$15:$E$318</c:f>
              <c:numCache>
                <c:formatCode>0.00</c:formatCode>
                <c:ptCount val="304"/>
                <c:pt idx="0">
                  <c:v>175.36118444446961</c:v>
                </c:pt>
                <c:pt idx="1">
                  <c:v>175.53501175060532</c:v>
                </c:pt>
                <c:pt idx="2">
                  <c:v>175.70550677553911</c:v>
                </c:pt>
                <c:pt idx="3">
                  <c:v>175.87275085318487</c:v>
                </c:pt>
                <c:pt idx="4">
                  <c:v>176.03682272614088</c:v>
                </c:pt>
                <c:pt idx="5">
                  <c:v>176.19779864807171</c:v>
                </c:pt>
                <c:pt idx="6">
                  <c:v>176.35575248126375</c:v>
                </c:pt>
                <c:pt idx="7">
                  <c:v>176.51075578961877</c:v>
                </c:pt>
                <c:pt idx="8">
                  <c:v>176.66287792733283</c:v>
                </c:pt>
                <c:pt idx="9">
                  <c:v>176.81218612349264</c:v>
                </c:pt>
                <c:pt idx="10">
                  <c:v>176.95874556280771</c:v>
                </c:pt>
                <c:pt idx="11">
                  <c:v>177.10261946268318</c:v>
                </c:pt>
                <c:pt idx="12">
                  <c:v>177.24386914682549</c:v>
                </c:pt>
                <c:pt idx="13">
                  <c:v>177.3825541155621</c:v>
                </c:pt>
                <c:pt idx="14">
                  <c:v>177.5187321130455</c:v>
                </c:pt>
                <c:pt idx="15">
                  <c:v>177.65245919150172</c:v>
                </c:pt>
                <c:pt idx="16">
                  <c:v>177.78378977267423</c:v>
                </c:pt>
                <c:pt idx="17">
                  <c:v>177.91277670660466</c:v>
                </c:pt>
                <c:pt idx="18">
                  <c:v>178.03947132788596</c:v>
                </c:pt>
                <c:pt idx="19">
                  <c:v>178.16392350951244</c:v>
                </c:pt>
                <c:pt idx="20">
                  <c:v>178.286181714446</c:v>
                </c:pt>
                <c:pt idx="21">
                  <c:v>178.40629304501272</c:v>
                </c:pt>
                <c:pt idx="22">
                  <c:v>178.52430329023377</c:v>
                </c:pt>
                <c:pt idx="23">
                  <c:v>178.64025697119141</c:v>
                </c:pt>
                <c:pt idx="24">
                  <c:v>178.75419738452572</c:v>
                </c:pt>
                <c:pt idx="25">
                  <c:v>178.8661666441507</c:v>
                </c:pt>
                <c:pt idx="26">
                  <c:v>178.97620572127352</c:v>
                </c:pt>
                <c:pt idx="27">
                  <c:v>179.08435448279948</c:v>
                </c:pt>
                <c:pt idx="28">
                  <c:v>179.19065172819558</c:v>
                </c:pt>
                <c:pt idx="29">
                  <c:v>179.2951352248862</c:v>
                </c:pt>
                <c:pt idx="30">
                  <c:v>179.39784174224818</c:v>
                </c:pt>
                <c:pt idx="31">
                  <c:v>179.49880708426988</c:v>
                </c:pt>
                <c:pt idx="32">
                  <c:v>179.59806612093479</c:v>
                </c:pt>
                <c:pt idx="33">
                  <c:v>179.69565281838777</c:v>
                </c:pt>
                <c:pt idx="34">
                  <c:v>179.79160026793923</c:v>
                </c:pt>
                <c:pt idx="35">
                  <c:v>179.88594071395787</c:v>
                </c:pt>
                <c:pt idx="36">
                  <c:v>179.97870558070318</c:v>
                </c:pt>
                <c:pt idx="37">
                  <c:v>180.06992549814299</c:v>
                </c:pt>
                <c:pt idx="38">
                  <c:v>180.15963032680153</c:v>
                </c:pt>
                <c:pt idx="39">
                  <c:v>180.24784918168018</c:v>
                </c:pt>
                <c:pt idx="40">
                  <c:v>180.3346104552904</c:v>
                </c:pt>
                <c:pt idx="41">
                  <c:v>180.41994183983823</c:v>
                </c:pt>
                <c:pt idx="42">
                  <c:v>180.5038703485958</c:v>
                </c:pt>
                <c:pt idx="43">
                  <c:v>180.58642233649417</c:v>
                </c:pt>
                <c:pt idx="44">
                  <c:v>180.66762351997232</c:v>
                </c:pt>
                <c:pt idx="45">
                  <c:v>180.74749899611047</c:v>
                </c:pt>
                <c:pt idx="46">
                  <c:v>180.82607326108072</c:v>
                </c:pt>
                <c:pt idx="47">
                  <c:v>180.90337022794117</c:v>
                </c:pt>
                <c:pt idx="48">
                  <c:v>180.97941324380182</c:v>
                </c:pt>
                <c:pt idx="49">
                  <c:v>181.05422510638721</c:v>
                </c:pt>
                <c:pt idx="50">
                  <c:v>181.12782808002135</c:v>
                </c:pt>
                <c:pt idx="51">
                  <c:v>181.20024391105716</c:v>
                </c:pt>
                <c:pt idx="52">
                  <c:v>181.27149384277422</c:v>
                </c:pt>
                <c:pt idx="53">
                  <c:v>181.34159862976472</c:v>
                </c:pt>
                <c:pt idx="54">
                  <c:v>181.41057855182888</c:v>
                </c:pt>
                <c:pt idx="55">
                  <c:v>181.47845342739944</c:v>
                </c:pt>
                <c:pt idx="56">
                  <c:v>181.54524262651282</c:v>
                </c:pt>
                <c:pt idx="57">
                  <c:v>181.61096508334555</c:v>
                </c:pt>
                <c:pt idx="58">
                  <c:v>181.67563930833265</c:v>
                </c:pt>
                <c:pt idx="59">
                  <c:v>181.73928339988419</c:v>
                </c:pt>
                <c:pt idx="60">
                  <c:v>181.80191505571514</c:v>
                </c:pt>
                <c:pt idx="61">
                  <c:v>181.86355158380397</c:v>
                </c:pt>
                <c:pt idx="62">
                  <c:v>181.92420991299355</c:v>
                </c:pt>
                <c:pt idx="63">
                  <c:v>181.98390660324844</c:v>
                </c:pt>
                <c:pt idx="64">
                  <c:v>182.04265785558096</c:v>
                </c:pt>
                <c:pt idx="65">
                  <c:v>182.10047952165854</c:v>
                </c:pt>
                <c:pt idx="66">
                  <c:v>182.15738711310516</c:v>
                </c:pt>
                <c:pt idx="67">
                  <c:v>182.21339581050648</c:v>
                </c:pt>
                <c:pt idx="68">
                  <c:v>182.26852047213131</c:v>
                </c:pt>
                <c:pt idx="69">
                  <c:v>182.32277564237876</c:v>
                </c:pt>
                <c:pt idx="70">
                  <c:v>182.37617555996158</c:v>
                </c:pt>
                <c:pt idx="71">
                  <c:v>182.4287341658347</c:v>
                </c:pt>
                <c:pt idx="72">
                  <c:v>182.48046511087918</c:v>
                </c:pt>
                <c:pt idx="73">
                  <c:v>182.53138176334903</c:v>
                </c:pt>
                <c:pt idx="74">
                  <c:v>182.58149721609084</c:v>
                </c:pt>
                <c:pt idx="75">
                  <c:v>182.63082429354276</c:v>
                </c:pt>
                <c:pt idx="76">
                  <c:v>182.67937555852208</c:v>
                </c:pt>
                <c:pt idx="77">
                  <c:v>182.72716331880753</c:v>
                </c:pt>
                <c:pt idx="78">
                  <c:v>182.77419963352494</c:v>
                </c:pt>
                <c:pt idx="79">
                  <c:v>182.82049631934123</c:v>
                </c:pt>
                <c:pt idx="80">
                  <c:v>182.86606495647584</c:v>
                </c:pt>
                <c:pt idx="81">
                  <c:v>182.91091689453293</c:v>
                </c:pt>
                <c:pt idx="82">
                  <c:v>182.95506325816339</c:v>
                </c:pt>
                <c:pt idx="83">
                  <c:v>182.99851495256056</c:v>
                </c:pt>
                <c:pt idx="84">
                  <c:v>183.04128266879584</c:v>
                </c:pt>
                <c:pt idx="85">
                  <c:v>183.08337688899985</c:v>
                </c:pt>
                <c:pt idx="86">
                  <c:v>183.1248078913944</c:v>
                </c:pt>
                <c:pt idx="87">
                  <c:v>183.16558575517936</c:v>
                </c:pt>
                <c:pt idx="88">
                  <c:v>183.20572036528068</c:v>
                </c:pt>
                <c:pt idx="89">
                  <c:v>183.24522141696295</c:v>
                </c:pt>
                <c:pt idx="90">
                  <c:v>183.28409842031152</c:v>
                </c:pt>
                <c:pt idx="91">
                  <c:v>183.32236070458856</c:v>
                </c:pt>
                <c:pt idx="92">
                  <c:v>183.36001742246685</c:v>
                </c:pt>
                <c:pt idx="93">
                  <c:v>183.3970775541456</c:v>
                </c:pt>
                <c:pt idx="94">
                  <c:v>183.43354991135169</c:v>
                </c:pt>
                <c:pt idx="95">
                  <c:v>183.46944314123047</c:v>
                </c:pt>
                <c:pt idx="96">
                  <c:v>183.50476573012983</c:v>
                </c:pt>
                <c:pt idx="97">
                  <c:v>183.53952600727979</c:v>
                </c:pt>
                <c:pt idx="98">
                  <c:v>183.57373214837276</c:v>
                </c:pt>
                <c:pt idx="99">
                  <c:v>183.6073921790456</c:v>
                </c:pt>
                <c:pt idx="100">
                  <c:v>183.64051397826861</c:v>
                </c:pt>
                <c:pt idx="101">
                  <c:v>183.67310528164239</c:v>
                </c:pt>
                <c:pt idx="102">
                  <c:v>183.70517368460736</c:v>
                </c:pt>
                <c:pt idx="103">
                  <c:v>183.73672664556651</c:v>
                </c:pt>
                <c:pt idx="104">
                  <c:v>183.76777148892677</c:v>
                </c:pt>
                <c:pt idx="105">
                  <c:v>183.79831540805858</c:v>
                </c:pt>
                <c:pt idx="106">
                  <c:v>183.8283654681783</c:v>
                </c:pt>
                <c:pt idx="107">
                  <c:v>183.85792860915538</c:v>
                </c:pt>
                <c:pt idx="108">
                  <c:v>183.88701164824536</c:v>
                </c:pt>
                <c:pt idx="109">
                  <c:v>183.91562128275294</c:v>
                </c:pt>
                <c:pt idx="110">
                  <c:v>183.94376409262546</c:v>
                </c:pt>
                <c:pt idx="111">
                  <c:v>183.97144654297981</c:v>
                </c:pt>
                <c:pt idx="112">
                  <c:v>183.99867498656477</c:v>
                </c:pt>
                <c:pt idx="113">
                  <c:v>184.0254556661601</c:v>
                </c:pt>
                <c:pt idx="114">
                  <c:v>184.05179471691494</c:v>
                </c:pt>
                <c:pt idx="115">
                  <c:v>184.0776981686268</c:v>
                </c:pt>
                <c:pt idx="116">
                  <c:v>184.10317194796343</c:v>
                </c:pt>
                <c:pt idx="117">
                  <c:v>184.12822188062842</c:v>
                </c:pt>
                <c:pt idx="118">
                  <c:v>184.15285369347291</c:v>
                </c:pt>
                <c:pt idx="119">
                  <c:v>184.17707301655497</c:v>
                </c:pt>
                <c:pt idx="120">
                  <c:v>184.2008853851473</c:v>
                </c:pt>
                <c:pt idx="121">
                  <c:v>184.22429624169607</c:v>
                </c:pt>
                <c:pt idx="122">
                  <c:v>184.24731093773104</c:v>
                </c:pt>
                <c:pt idx="123">
                  <c:v>184.26993473572921</c:v>
                </c:pt>
                <c:pt idx="124">
                  <c:v>184.29217281093247</c:v>
                </c:pt>
                <c:pt idx="125">
                  <c:v>184.31403025312218</c:v>
                </c:pt>
                <c:pt idx="126">
                  <c:v>184.33551206834949</c:v>
                </c:pt>
                <c:pt idx="127">
                  <c:v>184.35662318062501</c:v>
                </c:pt>
                <c:pt idx="128">
                  <c:v>184.37736843356711</c:v>
                </c:pt>
                <c:pt idx="129">
                  <c:v>184.39775259201159</c:v>
                </c:pt>
                <c:pt idx="130">
                  <c:v>184.41778034358222</c:v>
                </c:pt>
                <c:pt idx="131">
                  <c:v>184.43745630022474</c:v>
                </c:pt>
                <c:pt idx="132">
                  <c:v>184.45678499970396</c:v>
                </c:pt>
                <c:pt idx="133">
                  <c:v>184.47577090706608</c:v>
                </c:pt>
                <c:pt idx="134">
                  <c:v>184.49441841606662</c:v>
                </c:pt>
                <c:pt idx="135">
                  <c:v>184.51273185056496</c:v>
                </c:pt>
                <c:pt idx="136">
                  <c:v>184.53071546588606</c:v>
                </c:pt>
                <c:pt idx="137">
                  <c:v>184.54837345015142</c:v>
                </c:pt>
                <c:pt idx="138">
                  <c:v>184.56570992557855</c:v>
                </c:pt>
                <c:pt idx="139">
                  <c:v>184.58272894975107</c:v>
                </c:pt>
                <c:pt idx="140">
                  <c:v>184.59943451685939</c:v>
                </c:pt>
                <c:pt idx="141">
                  <c:v>184.61583055891293</c:v>
                </c:pt>
                <c:pt idx="142">
                  <c:v>184.63192094692539</c:v>
                </c:pt>
                <c:pt idx="143">
                  <c:v>184.64770949207252</c:v>
                </c:pt>
                <c:pt idx="144">
                  <c:v>184.66319994682414</c:v>
                </c:pt>
                <c:pt idx="145">
                  <c:v>184.67839600605024</c:v>
                </c:pt>
                <c:pt idx="146">
                  <c:v>184.69330130810312</c:v>
                </c:pt>
                <c:pt idx="147">
                  <c:v>184.70791943587449</c:v>
                </c:pt>
                <c:pt idx="148">
                  <c:v>184.72225391782942</c:v>
                </c:pt>
                <c:pt idx="149">
                  <c:v>184.73630822901774</c:v>
                </c:pt>
                <c:pt idx="150">
                  <c:v>184.75008579206215</c:v>
                </c:pt>
                <c:pt idx="151">
                  <c:v>184.76358997812579</c:v>
                </c:pt>
                <c:pt idx="152">
                  <c:v>184.77682410785764</c:v>
                </c:pt>
                <c:pt idx="153">
                  <c:v>184.7897914523177</c:v>
                </c:pt>
                <c:pt idx="154">
                  <c:v>184.80249523388204</c:v>
                </c:pt>
                <c:pt idx="155">
                  <c:v>184.8149386271279</c:v>
                </c:pt>
                <c:pt idx="156">
                  <c:v>184.82712475970024</c:v>
                </c:pt>
                <c:pt idx="157">
                  <c:v>184.83905671315893</c:v>
                </c:pt>
                <c:pt idx="158">
                  <c:v>184.85073752380833</c:v>
                </c:pt>
                <c:pt idx="159">
                  <c:v>184.86217018350882</c:v>
                </c:pt>
                <c:pt idx="160">
                  <c:v>184.87335764047137</c:v>
                </c:pt>
                <c:pt idx="161">
                  <c:v>185.1802366966561</c:v>
                </c:pt>
                <c:pt idx="162">
                  <c:v>184.88430280003448</c:v>
                </c:pt>
                <c:pt idx="163">
                  <c:v>184.89500852542577</c:v>
                </c:pt>
                <c:pt idx="164">
                  <c:v>184.90547763850643</c:v>
                </c:pt>
                <c:pt idx="165">
                  <c:v>184.91571292050114</c:v>
                </c:pt>
                <c:pt idx="166">
                  <c:v>184.92571711271131</c:v>
                </c:pt>
                <c:pt idx="167">
                  <c:v>184.93549291721499</c:v>
                </c:pt>
                <c:pt idx="168">
                  <c:v>184.94504299755087</c:v>
                </c:pt>
                <c:pt idx="169">
                  <c:v>184.95436997938916</c:v>
                </c:pt>
                <c:pt idx="170">
                  <c:v>184.9634764511876</c:v>
                </c:pt>
                <c:pt idx="171">
                  <c:v>184.97236496483501</c:v>
                </c:pt>
                <c:pt idx="172">
                  <c:v>184.98103803628072</c:v>
                </c:pt>
                <c:pt idx="173">
                  <c:v>184.98949814615196</c:v>
                </c:pt>
                <c:pt idx="174">
                  <c:v>184.99774774035771</c:v>
                </c:pt>
                <c:pt idx="175">
                  <c:v>185.00578923068122</c:v>
                </c:pt>
                <c:pt idx="176">
                  <c:v>185.01362499535992</c:v>
                </c:pt>
                <c:pt idx="177">
                  <c:v>185.02125737965386</c:v>
                </c:pt>
                <c:pt idx="178">
                  <c:v>185.02868869640272</c:v>
                </c:pt>
                <c:pt idx="179">
                  <c:v>185.03592122657167</c:v>
                </c:pt>
                <c:pt idx="180">
                  <c:v>185.04295721978599</c:v>
                </c:pt>
                <c:pt idx="181">
                  <c:v>185.0497988948558</c:v>
                </c:pt>
                <c:pt idx="182">
                  <c:v>185.05644844028922</c:v>
                </c:pt>
                <c:pt idx="183">
                  <c:v>185.06290801479688</c:v>
                </c:pt>
                <c:pt idx="184">
                  <c:v>185.06917974778474</c:v>
                </c:pt>
                <c:pt idx="185">
                  <c:v>185.07526573983895</c:v>
                </c:pt>
                <c:pt idx="186">
                  <c:v>185.08116806319978</c:v>
                </c:pt>
                <c:pt idx="187">
                  <c:v>185.08688876222715</c:v>
                </c:pt>
                <c:pt idx="188">
                  <c:v>185.0924298538568</c:v>
                </c:pt>
                <c:pt idx="189">
                  <c:v>185.09779332804777</c:v>
                </c:pt>
                <c:pt idx="190">
                  <c:v>185.10298114822075</c:v>
                </c:pt>
                <c:pt idx="191">
                  <c:v>185.10799525168869</c:v>
                </c:pt>
                <c:pt idx="192">
                  <c:v>185.11283755007844</c:v>
                </c:pt>
                <c:pt idx="193">
                  <c:v>185.11750992974498</c:v>
                </c:pt>
                <c:pt idx="194">
                  <c:v>185.12201425217688</c:v>
                </c:pt>
                <c:pt idx="195">
                  <c:v>185.12635235439498</c:v>
                </c:pt>
                <c:pt idx="196">
                  <c:v>185.1305260493429</c:v>
                </c:pt>
                <c:pt idx="197">
                  <c:v>185.13453712627023</c:v>
                </c:pt>
                <c:pt idx="198">
                  <c:v>185.13838735110849</c:v>
                </c:pt>
                <c:pt idx="199">
                  <c:v>185.1420784668405</c:v>
                </c:pt>
                <c:pt idx="200">
                  <c:v>185.14561219386181</c:v>
                </c:pt>
                <c:pt idx="201">
                  <c:v>185.14899023033641</c:v>
                </c:pt>
                <c:pt idx="202">
                  <c:v>185.15221425254526</c:v>
                </c:pt>
                <c:pt idx="203">
                  <c:v>185.15528591522832</c:v>
                </c:pt>
                <c:pt idx="204">
                  <c:v>185.1582068519206</c:v>
                </c:pt>
                <c:pt idx="205">
                  <c:v>185.16097867528148</c:v>
                </c:pt>
                <c:pt idx="206">
                  <c:v>185.16360297741844</c:v>
                </c:pt>
                <c:pt idx="207">
                  <c:v>185.16608133020458</c:v>
                </c:pt>
                <c:pt idx="208">
                  <c:v>185.16841528559047</c:v>
                </c:pt>
                <c:pt idx="209">
                  <c:v>185.17060637591024</c:v>
                </c:pt>
                <c:pt idx="210">
                  <c:v>185.1726561141819</c:v>
                </c:pt>
                <c:pt idx="211">
                  <c:v>185.17456599440266</c:v>
                </c:pt>
                <c:pt idx="212">
                  <c:v>185.17633749183844</c:v>
                </c:pt>
                <c:pt idx="213">
                  <c:v>185.17797206330852</c:v>
                </c:pt>
                <c:pt idx="214">
                  <c:v>185.17947114746482</c:v>
                </c:pt>
                <c:pt idx="215">
                  <c:v>185.18083616506627</c:v>
                </c:pt>
                <c:pt idx="216">
                  <c:v>185.18206851924822</c:v>
                </c:pt>
                <c:pt idx="217">
                  <c:v>185.18316959578723</c:v>
                </c:pt>
                <c:pt idx="218">
                  <c:v>185.18414076336083</c:v>
                </c:pt>
                <c:pt idx="219">
                  <c:v>185.18498337380302</c:v>
                </c:pt>
                <c:pt idx="220">
                  <c:v>185.18569876235489</c:v>
                </c:pt>
                <c:pt idx="221">
                  <c:v>185.18628824791125</c:v>
                </c:pt>
                <c:pt idx="222">
                  <c:v>185.18675313326244</c:v>
                </c:pt>
                <c:pt idx="223">
                  <c:v>185.18709470533227</c:v>
                </c:pt>
                <c:pt idx="224">
                  <c:v>185.18731423541169</c:v>
                </c:pt>
                <c:pt idx="225">
                  <c:v>185.18741297938845</c:v>
                </c:pt>
                <c:pt idx="226">
                  <c:v>185.18739217797244</c:v>
                </c:pt>
                <c:pt idx="227">
                  <c:v>185.18725305691763</c:v>
                </c:pt>
                <c:pt idx="228">
                  <c:v>185.18699682723977</c:v>
                </c:pt>
                <c:pt idx="229">
                  <c:v>185.18662468543062</c:v>
                </c:pt>
                <c:pt idx="230">
                  <c:v>185.18613781366807</c:v>
                </c:pt>
                <c:pt idx="231">
                  <c:v>185.18553738002333</c:v>
                </c:pt>
                <c:pt idx="232">
                  <c:v>185.18482453866397</c:v>
                </c:pt>
                <c:pt idx="233">
                  <c:v>185.1840004300538</c:v>
                </c:pt>
                <c:pt idx="234">
                  <c:v>185.1830661811492</c:v>
                </c:pt>
                <c:pt idx="235">
                  <c:v>185.18202290559233</c:v>
                </c:pt>
                <c:pt idx="236">
                  <c:v>185.18087170390069</c:v>
                </c:pt>
                <c:pt idx="237">
                  <c:v>185.1796136636541</c:v>
                </c:pt>
                <c:pt idx="238">
                  <c:v>185.17824985967783</c:v>
                </c:pt>
                <c:pt idx="239">
                  <c:v>185.17678135422321</c:v>
                </c:pt>
                <c:pt idx="240">
                  <c:v>185.17520919714494</c:v>
                </c:pt>
                <c:pt idx="241">
                  <c:v>185.17353442607541</c:v>
                </c:pt>
                <c:pt idx="242">
                  <c:v>185.17175806659645</c:v>
                </c:pt>
                <c:pt idx="243">
                  <c:v>185.16988113240774</c:v>
                </c:pt>
                <c:pt idx="244">
                  <c:v>185.16790462549289</c:v>
                </c:pt>
                <c:pt idx="245">
                  <c:v>185.16582953628242</c:v>
                </c:pt>
                <c:pt idx="246">
                  <c:v>185.16365684381435</c:v>
                </c:pt>
                <c:pt idx="247">
                  <c:v>185.16138751589193</c:v>
                </c:pt>
                <c:pt idx="248">
                  <c:v>185.15902250923895</c:v>
                </c:pt>
                <c:pt idx="249">
                  <c:v>185.15656276965237</c:v>
                </c:pt>
                <c:pt idx="250">
                  <c:v>185.15400923215256</c:v>
                </c:pt>
                <c:pt idx="251">
                  <c:v>185.15136282113104</c:v>
                </c:pt>
                <c:pt idx="252">
                  <c:v>185.14862445049602</c:v>
                </c:pt>
                <c:pt idx="253">
                  <c:v>185.14579502381517</c:v>
                </c:pt>
                <c:pt idx="254">
                  <c:v>185.14287543445658</c:v>
                </c:pt>
                <c:pt idx="255">
                  <c:v>185.13986656572698</c:v>
                </c:pt>
                <c:pt idx="256">
                  <c:v>185.13676929100825</c:v>
                </c:pt>
                <c:pt idx="257">
                  <c:v>185.13358447389129</c:v>
                </c:pt>
                <c:pt idx="258">
                  <c:v>185.13031296830806</c:v>
                </c:pt>
                <c:pt idx="259">
                  <c:v>185.12695561866116</c:v>
                </c:pt>
                <c:pt idx="260">
                  <c:v>185.12351325995203</c:v>
                </c:pt>
                <c:pt idx="261">
                  <c:v>185.11998671790616</c:v>
                </c:pt>
                <c:pt idx="262">
                  <c:v>185.11637680909737</c:v>
                </c:pt>
                <c:pt idx="263">
                  <c:v>185.1126843410691</c:v>
                </c:pt>
                <c:pt idx="264">
                  <c:v>185.10891011245468</c:v>
                </c:pt>
                <c:pt idx="265">
                  <c:v>185.10505491309527</c:v>
                </c:pt>
                <c:pt idx="266">
                  <c:v>185.10111952415576</c:v>
                </c:pt>
                <c:pt idx="267">
                  <c:v>185.09710471823956</c:v>
                </c:pt>
                <c:pt idx="268">
                  <c:v>185.09301125950074</c:v>
                </c:pt>
                <c:pt idx="269">
                  <c:v>185.0888399037552</c:v>
                </c:pt>
                <c:pt idx="270">
                  <c:v>185.08459139858945</c:v>
                </c:pt>
                <c:pt idx="271">
                  <c:v>185.08026648346839</c:v>
                </c:pt>
                <c:pt idx="272">
                  <c:v>185.07586588984086</c:v>
                </c:pt>
                <c:pt idx="273">
                  <c:v>185.07139034124373</c:v>
                </c:pt>
                <c:pt idx="274">
                  <c:v>185.06684055340463</c:v>
                </c:pt>
                <c:pt idx="275">
                  <c:v>185.06221723434282</c:v>
                </c:pt>
                <c:pt idx="276">
                  <c:v>185.0575210844687</c:v>
                </c:pt>
                <c:pt idx="277">
                  <c:v>185.05275279668166</c:v>
                </c:pt>
                <c:pt idx="278">
                  <c:v>185.04791305646646</c:v>
                </c:pt>
                <c:pt idx="279">
                  <c:v>185.04300254198847</c:v>
                </c:pt>
                <c:pt idx="280">
                  <c:v>185.03802192418684</c:v>
                </c:pt>
                <c:pt idx="281">
                  <c:v>185.03297186686706</c:v>
                </c:pt>
                <c:pt idx="282">
                  <c:v>185.02785302679129</c:v>
                </c:pt>
                <c:pt idx="283">
                  <c:v>185.02266605376806</c:v>
                </c:pt>
                <c:pt idx="284">
                  <c:v>185.01741159074004</c:v>
                </c:pt>
                <c:pt idx="285">
                  <c:v>185.01209027387122</c:v>
                </c:pt>
                <c:pt idx="286">
                  <c:v>185.00670273263171</c:v>
                </c:pt>
                <c:pt idx="287">
                  <c:v>185.0012495898826</c:v>
                </c:pt>
                <c:pt idx="288">
                  <c:v>184.99573146195831</c:v>
                </c:pt>
                <c:pt idx="289">
                  <c:v>184.9901489587487</c:v>
                </c:pt>
                <c:pt idx="290">
                  <c:v>184.98450268377931</c:v>
                </c:pt>
                <c:pt idx="291">
                  <c:v>184.97879323429083</c:v>
                </c:pt>
                <c:pt idx="292">
                  <c:v>184.97302120131707</c:v>
                </c:pt>
                <c:pt idx="293">
                  <c:v>184.96718716976213</c:v>
                </c:pt>
                <c:pt idx="294">
                  <c:v>184.96129171847625</c:v>
                </c:pt>
                <c:pt idx="295">
                  <c:v>184.95533542033053</c:v>
                </c:pt>
                <c:pt idx="296">
                  <c:v>184.9493188422905</c:v>
                </c:pt>
                <c:pt idx="297">
                  <c:v>184.94324254548897</c:v>
                </c:pt>
                <c:pt idx="298">
                  <c:v>184.93710708529744</c:v>
                </c:pt>
                <c:pt idx="299">
                  <c:v>184.93091301139657</c:v>
                </c:pt>
                <c:pt idx="300">
                  <c:v>184.92466086784597</c:v>
                </c:pt>
                <c:pt idx="301">
                  <c:v>184.91835119315232</c:v>
                </c:pt>
                <c:pt idx="302">
                  <c:v>184.91198452033706</c:v>
                </c:pt>
                <c:pt idx="303">
                  <c:v>184.90556137700321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23D-49E2-8915-A923C237D1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5191840"/>
        <c:axId val="225190272"/>
      </c:scatterChart>
      <c:valAx>
        <c:axId val="225191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Nozzle Area Expansion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190272"/>
        <c:crosses val="autoZero"/>
        <c:crossBetween val="midCat"/>
      </c:valAx>
      <c:valAx>
        <c:axId val="22519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</a:t>
                </a:r>
                <a:r>
                  <a:rPr lang="en-US" baseline="-25000"/>
                  <a:t>sp</a:t>
                </a:r>
                <a:r>
                  <a:rPr lang="en-US" baseline="0"/>
                  <a:t> Initial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191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OF5.4!$C$15:$C$318</c:f>
              <c:numCache>
                <c:formatCode>0.00</c:formatCode>
                <c:ptCount val="304"/>
                <c:pt idx="0">
                  <c:v>10.409493444728808</c:v>
                </c:pt>
                <c:pt idx="1">
                  <c:v>10.342772365307727</c:v>
                </c:pt>
                <c:pt idx="2">
                  <c:v>10.277049891099866</c:v>
                </c:pt>
                <c:pt idx="3">
                  <c:v>10.21230290209227</c:v>
                </c:pt>
                <c:pt idx="4">
                  <c:v>10.148508999391336</c:v>
                </c:pt>
                <c:pt idx="5">
                  <c:v>10.085646477034452</c:v>
                </c:pt>
                <c:pt idx="6">
                  <c:v>10.023694295122839</c:v>
                </c:pt>
                <c:pt idx="7">
                  <c:v>9.9626320542027518</c:v>
                </c:pt>
                <c:pt idx="8">
                  <c:v>9.9024399708284783</c:v>
                </c:pt>
                <c:pt idx="9">
                  <c:v>9.843098854242962</c:v>
                </c:pt>
                <c:pt idx="10">
                  <c:v>9.7845900841169726</c:v>
                </c:pt>
                <c:pt idx="11">
                  <c:v>9.7268955892908728</c:v>
                </c:pt>
                <c:pt idx="12">
                  <c:v>9.6699978274663518</c:v>
                </c:pt>
                <c:pt idx="13">
                  <c:v>9.6138797657989787</c:v>
                </c:pt>
                <c:pt idx="14">
                  <c:v>9.5585248623445995</c:v>
                </c:pt>
                <c:pt idx="15">
                  <c:v>9.5039170483164437</c:v>
                </c:pt>
                <c:pt idx="16">
                  <c:v>9.4500407111113311</c:v>
                </c:pt>
                <c:pt idx="17">
                  <c:v>9.3968806780662</c:v>
                </c:pt>
                <c:pt idx="18">
                  <c:v>9.3444222009086602</c:v>
                </c:pt>
                <c:pt idx="19">
                  <c:v>9.2926509408667339</c:v>
                </c:pt>
                <c:pt idx="20">
                  <c:v>9.241552954405444</c:v>
                </c:pt>
                <c:pt idx="21">
                  <c:v>9.1911146795594636</c:v>
                </c:pt>
                <c:pt idx="22">
                  <c:v>9.1413229228328632</c:v>
                </c:pt>
                <c:pt idx="23">
                  <c:v>9.092164846638596</c:v>
                </c:pt>
                <c:pt idx="24">
                  <c:v>9.0436279572516671</c:v>
                </c:pt>
                <c:pt idx="25">
                  <c:v>8.9957000932517648</c:v>
                </c:pt>
                <c:pt idx="26">
                  <c:v>8.9483694144320367</c:v>
                </c:pt>
                <c:pt idx="27">
                  <c:v>8.9016243911520707</c:v>
                </c:pt>
                <c:pt idx="28">
                  <c:v>8.8554537941146485</c:v>
                </c:pt>
                <c:pt idx="29">
                  <c:v>8.8098466845463062</c:v>
                </c:pt>
                <c:pt idx="30">
                  <c:v>8.7647924047631793</c:v>
                </c:pt>
                <c:pt idx="31">
                  <c:v>8.7202805691048635</c:v>
                </c:pt>
                <c:pt idx="32">
                  <c:v>8.6763010552190121</c:v>
                </c:pt>
                <c:pt idx="33">
                  <c:v>8.6328439956813963</c:v>
                </c:pt>
                <c:pt idx="34">
                  <c:v>8.58989976993605</c:v>
                </c:pt>
                <c:pt idx="35">
                  <c:v>8.5474589965413781</c:v>
                </c:pt>
                <c:pt idx="36">
                  <c:v>8.505512525708685</c:v>
                </c:pt>
                <c:pt idx="37">
                  <c:v>8.4640514321203</c:v>
                </c:pt>
                <c:pt idx="38">
                  <c:v>8.4230670080150958</c:v>
                </c:pt>
                <c:pt idx="39">
                  <c:v>8.3825507565296977</c:v>
                </c:pt>
                <c:pt idx="40">
                  <c:v>8.3424943852844873</c:v>
                </c:pt>
                <c:pt idx="41">
                  <c:v>8.302889800203932</c:v>
                </c:pt>
                <c:pt idx="42">
                  <c:v>8.2637290995610915</c:v>
                </c:pt>
                <c:pt idx="43">
                  <c:v>8.2250045682370807</c:v>
                </c:pt>
                <c:pt idx="44">
                  <c:v>8.1867086721861746</c:v>
                </c:pt>
                <c:pt idx="45">
                  <c:v>8.1488340530982022</c:v>
                </c:pt>
                <c:pt idx="46">
                  <c:v>8.1113735232499007</c:v>
                </c:pt>
                <c:pt idx="47">
                  <c:v>8.0743200605374899</c:v>
                </c:pt>
                <c:pt idx="48">
                  <c:v>8.0376668036829617</c:v>
                </c:pt>
                <c:pt idx="49">
                  <c:v>8.0014070476071488</c:v>
                </c:pt>
                <c:pt idx="50">
                  <c:v>7.9655342389626007</c:v>
                </c:pt>
                <c:pt idx="51">
                  <c:v>7.930041971820077</c:v>
                </c:pt>
                <c:pt idx="52">
                  <c:v>7.8949239835022968</c:v>
                </c:pt>
                <c:pt idx="53">
                  <c:v>7.8601741505591267</c:v>
                </c:pt>
                <c:pt idx="54">
                  <c:v>7.8257864848787619</c:v>
                </c:pt>
                <c:pt idx="55">
                  <c:v>7.7917551299293359</c:v>
                </c:pt>
                <c:pt idx="56">
                  <c:v>7.7580743571259205</c:v>
                </c:pt>
                <c:pt idx="57">
                  <c:v>7.7247385623182208</c:v>
                </c:pt>
                <c:pt idx="58">
                  <c:v>7.6917422623939409</c:v>
                </c:pt>
                <c:pt idx="59">
                  <c:v>7.6590800919937454</c:v>
                </c:pt>
                <c:pt idx="60">
                  <c:v>7.626746800333251</c:v>
                </c:pt>
                <c:pt idx="61">
                  <c:v>7.594737248128145</c:v>
                </c:pt>
                <c:pt idx="62">
                  <c:v>7.5630464046185679</c:v>
                </c:pt>
                <c:pt idx="63">
                  <c:v>7.5316693446887513</c:v>
                </c:pt>
                <c:pt idx="64">
                  <c:v>7.5006012460787641</c:v>
                </c:pt>
                <c:pt idx="65">
                  <c:v>7.4698373866845715</c:v>
                </c:pt>
                <c:pt idx="66">
                  <c:v>7.4393731419432987</c:v>
                </c:pt>
                <c:pt idx="67">
                  <c:v>7.4092039823006575</c:v>
                </c:pt>
                <c:pt idx="68">
                  <c:v>7.3793254707573022</c:v>
                </c:pt>
                <c:pt idx="69">
                  <c:v>7.349733260491341</c:v>
                </c:pt>
                <c:pt idx="70">
                  <c:v>7.3204230925544831</c:v>
                </c:pt>
                <c:pt idx="71">
                  <c:v>7.2913907936386773</c:v>
                </c:pt>
                <c:pt idx="72">
                  <c:v>7.2626322739111693</c:v>
                </c:pt>
                <c:pt idx="73">
                  <c:v>7.2341435249152886</c:v>
                </c:pt>
                <c:pt idx="74">
                  <c:v>7.2059206175347335</c:v>
                </c:pt>
                <c:pt idx="75">
                  <c:v>7.1779597000190991</c:v>
                </c:pt>
                <c:pt idx="76">
                  <c:v>7.1502569960684284</c:v>
                </c:pt>
                <c:pt idx="77">
                  <c:v>7.1228088029749115</c:v>
                </c:pt>
                <c:pt idx="78">
                  <c:v>7.0956114898194143</c:v>
                </c:pt>
                <c:pt idx="79">
                  <c:v>7.0686614957214431</c:v>
                </c:pt>
                <c:pt idx="80">
                  <c:v>7.0419553281400997</c:v>
                </c:pt>
                <c:pt idx="81">
                  <c:v>7.0154895612248573</c:v>
                </c:pt>
                <c:pt idx="82">
                  <c:v>6.989260834214039</c:v>
                </c:pt>
                <c:pt idx="83">
                  <c:v>6.9632658498796607</c:v>
                </c:pt>
                <c:pt idx="84">
                  <c:v>6.9375013730168522</c:v>
                </c:pt>
                <c:pt idx="85">
                  <c:v>6.911964228976613</c:v>
                </c:pt>
                <c:pt idx="86">
                  <c:v>6.8866513022401241</c:v>
                </c:pt>
                <c:pt idx="87">
                  <c:v>6.8615595350336447</c:v>
                </c:pt>
                <c:pt idx="88">
                  <c:v>6.8366859259822901</c:v>
                </c:pt>
                <c:pt idx="89">
                  <c:v>6.8120275288015986</c:v>
                </c:pt>
                <c:pt idx="90">
                  <c:v>6.7875814510256607</c:v>
                </c:pt>
                <c:pt idx="91">
                  <c:v>6.7633448527704569</c:v>
                </c:pt>
                <c:pt idx="92">
                  <c:v>6.7393149455314898</c:v>
                </c:pt>
                <c:pt idx="93">
                  <c:v>6.7154889910144639</c:v>
                </c:pt>
                <c:pt idx="94">
                  <c:v>6.6918642999979401</c:v>
                </c:pt>
                <c:pt idx="95">
                  <c:v>6.6684382312269763</c:v>
                </c:pt>
                <c:pt idx="96">
                  <c:v>6.6452081903369233</c:v>
                </c:pt>
                <c:pt idx="97">
                  <c:v>6.6221716288059946</c:v>
                </c:pt>
                <c:pt idx="98">
                  <c:v>6.5993260429362763</c:v>
                </c:pt>
                <c:pt idx="99">
                  <c:v>6.5766689728617864</c:v>
                </c:pt>
                <c:pt idx="100">
                  <c:v>6.5541980015830426</c:v>
                </c:pt>
                <c:pt idx="101">
                  <c:v>6.5319107540271792</c:v>
                </c:pt>
                <c:pt idx="102">
                  <c:v>6.5098048961328994</c:v>
                </c:pt>
                <c:pt idx="103">
                  <c:v>6.4878781339593559</c:v>
                </c:pt>
                <c:pt idx="104">
                  <c:v>6.4661282128184974</c:v>
                </c:pt>
                <c:pt idx="105">
                  <c:v>6.4445529164298003</c:v>
                </c:pt>
                <c:pt idx="106">
                  <c:v>6.4231500660970928</c:v>
                </c:pt>
                <c:pt idx="107">
                  <c:v>6.4019175199064478</c:v>
                </c:pt>
                <c:pt idx="108">
                  <c:v>6.3808531719447918</c:v>
                </c:pt>
                <c:pt idx="109">
                  <c:v>6.3599549515383815</c:v>
                </c:pt>
                <c:pt idx="110">
                  <c:v>6.3392208225108284</c:v>
                </c:pt>
                <c:pt idx="111">
                  <c:v>6.3186487824597064</c:v>
                </c:pt>
                <c:pt idx="112">
                  <c:v>6.2982368620516125</c:v>
                </c:pt>
                <c:pt idx="113">
                  <c:v>6.2779831243348401</c:v>
                </c:pt>
                <c:pt idx="114">
                  <c:v>6.2578856640692582</c:v>
                </c:pt>
                <c:pt idx="115">
                  <c:v>6.2379426070728412</c:v>
                </c:pt>
                <c:pt idx="116">
                  <c:v>6.2181521095845165</c:v>
                </c:pt>
                <c:pt idx="117">
                  <c:v>6.1985123576426426</c:v>
                </c:pt>
                <c:pt idx="118">
                  <c:v>6.1790215664787942</c:v>
                </c:pt>
                <c:pt idx="119">
                  <c:v>6.1596779799264256</c:v>
                </c:pt>
                <c:pt idx="120">
                  <c:v>6.1404798698438805</c:v>
                </c:pt>
                <c:pt idx="121">
                  <c:v>6.1214255355515625</c:v>
                </c:pt>
                <c:pt idx="122">
                  <c:v>6.1025133032824757</c:v>
                </c:pt>
                <c:pt idx="123">
                  <c:v>6.0837415256462331</c:v>
                </c:pt>
                <c:pt idx="124">
                  <c:v>6.0651085811057603</c:v>
                </c:pt>
                <c:pt idx="125">
                  <c:v>6.0466128734665743</c:v>
                </c:pt>
                <c:pt idx="126">
                  <c:v>6.02825283137817</c:v>
                </c:pt>
                <c:pt idx="127">
                  <c:v>6.0100269078472435</c:v>
                </c:pt>
                <c:pt idx="128">
                  <c:v>5.9919335797623532</c:v>
                </c:pt>
                <c:pt idx="129">
                  <c:v>5.9739713474298481</c:v>
                </c:pt>
                <c:pt idx="130">
                  <c:v>5.9561387341204783</c:v>
                </c:pt>
                <c:pt idx="131">
                  <c:v>5.9384342856267649</c:v>
                </c:pt>
                <c:pt idx="132">
                  <c:v>5.9208565698305291</c:v>
                </c:pt>
                <c:pt idx="133">
                  <c:v>5.903404176280425</c:v>
                </c:pt>
                <c:pt idx="134">
                  <c:v>5.88607571577925</c:v>
                </c:pt>
                <c:pt idx="135">
                  <c:v>5.8688698199806684</c:v>
                </c:pt>
                <c:pt idx="136">
                  <c:v>5.8517851409951938</c:v>
                </c:pt>
                <c:pt idx="137">
                  <c:v>5.8348203510050736</c:v>
                </c:pt>
                <c:pt idx="138">
                  <c:v>5.8179741418879791</c:v>
                </c:pt>
                <c:pt idx="139">
                  <c:v>5.8012452248491169</c:v>
                </c:pt>
                <c:pt idx="140">
                  <c:v>5.7846323300617009</c:v>
                </c:pt>
                <c:pt idx="141">
                  <c:v>5.7681342063153815</c:v>
                </c:pt>
                <c:pt idx="142">
                  <c:v>5.7517496206725625</c:v>
                </c:pt>
                <c:pt idx="143">
                  <c:v>5.7354773581324263</c:v>
                </c:pt>
                <c:pt idx="144">
                  <c:v>5.7193162213022548</c:v>
                </c:pt>
                <c:pt idx="145">
                  <c:v>5.7032650300761247</c:v>
                </c:pt>
                <c:pt idx="146">
                  <c:v>5.6873226213206269</c:v>
                </c:pt>
                <c:pt idx="147">
                  <c:v>5.6714878485674252</c:v>
                </c:pt>
                <c:pt idx="148">
                  <c:v>5.655759581712597</c:v>
                </c:pt>
                <c:pt idx="149">
                  <c:v>5.6401367067224424</c:v>
                </c:pt>
                <c:pt idx="150">
                  <c:v>5.6246181253456822</c:v>
                </c:pt>
                <c:pt idx="151">
                  <c:v>5.6092027548318972</c:v>
                </c:pt>
                <c:pt idx="152">
                  <c:v>5.5938895276559393</c:v>
                </c:pt>
                <c:pt idx="153">
                  <c:v>5.5786773912483438</c:v>
                </c:pt>
                <c:pt idx="154">
                  <c:v>5.5635653077313814</c:v>
                </c:pt>
                <c:pt idx="155">
                  <c:v>5.5485522536608478</c:v>
                </c:pt>
                <c:pt idx="156">
                  <c:v>5.5336372197731709</c:v>
                </c:pt>
                <c:pt idx="157">
                  <c:v>5.5188192107379974</c:v>
                </c:pt>
                <c:pt idx="158">
                  <c:v>5.504097244915882</c:v>
                </c:pt>
                <c:pt idx="159">
                  <c:v>5.4894703541210719</c:v>
                </c:pt>
                <c:pt idx="160">
                  <c:v>5.4749375833892939</c:v>
                </c:pt>
                <c:pt idx="161">
                  <c:v>6.3890953159108639</c:v>
                </c:pt>
                <c:pt idx="162">
                  <c:v>5.4604979907502873</c:v>
                </c:pt>
                <c:pt idx="163">
                  <c:v>5.4461506470051182</c:v>
                </c:pt>
                <c:pt idx="164">
                  <c:v>5.431894635508054</c:v>
                </c:pt>
                <c:pt idx="165">
                  <c:v>5.4177290519529437</c:v>
                </c:pt>
                <c:pt idx="166">
                  <c:v>5.4036530041639619</c:v>
                </c:pt>
                <c:pt idx="167">
                  <c:v>5.3896656118906341</c:v>
                </c:pt>
                <c:pt idx="168">
                  <c:v>5.3757660066070372</c:v>
                </c:pt>
                <c:pt idx="169">
                  <c:v>5.3619533313150729</c:v>
                </c:pt>
                <c:pt idx="170">
                  <c:v>5.3482267403517225</c:v>
                </c:pt>
                <c:pt idx="171">
                  <c:v>5.3345853992001455</c:v>
                </c:pt>
                <c:pt idx="172">
                  <c:v>5.3210284843046471</c:v>
                </c:pt>
                <c:pt idx="173">
                  <c:v>5.30755518288926</c:v>
                </c:pt>
                <c:pt idx="174">
                  <c:v>5.2941646927800052</c:v>
                </c:pt>
                <c:pt idx="175">
                  <c:v>5.2808562222306454</c:v>
                </c:pt>
                <c:pt idx="176">
                  <c:v>5.2676289897519446</c:v>
                </c:pt>
                <c:pt idx="177">
                  <c:v>5.2544822239442013</c:v>
                </c:pt>
                <c:pt idx="178">
                  <c:v>5.2414151633331647</c:v>
                </c:pt>
                <c:pt idx="179">
                  <c:v>5.2284270562091306</c:v>
                </c:pt>
                <c:pt idx="180">
                  <c:v>5.2155171604691732</c:v>
                </c:pt>
                <c:pt idx="181">
                  <c:v>5.2026847434624486</c:v>
                </c:pt>
                <c:pt idx="182">
                  <c:v>5.1899290818385202</c:v>
                </c:pt>
                <c:pt idx="183">
                  <c:v>5.1772494613986009</c:v>
                </c:pt>
                <c:pt idx="184">
                  <c:v>5.1646451769496657</c:v>
                </c:pt>
                <c:pt idx="185">
                  <c:v>5.1521155321613499</c:v>
                </c:pt>
                <c:pt idx="186">
                  <c:v>5.1396598394256214</c:v>
                </c:pt>
                <c:pt idx="187">
                  <c:v>5.1272774197191104</c:v>
                </c:pt>
                <c:pt idx="188">
                  <c:v>5.1149676024680204</c:v>
                </c:pt>
                <c:pt idx="189">
                  <c:v>5.1027297254157054</c:v>
                </c:pt>
                <c:pt idx="190">
                  <c:v>5.0905631344926112</c:v>
                </c:pt>
                <c:pt idx="191">
                  <c:v>5.0784671836887849</c:v>
                </c:pt>
                <c:pt idx="192">
                  <c:v>5.066441234928698</c:v>
                </c:pt>
                <c:pt idx="193">
                  <c:v>5.0544846579484757</c:v>
                </c:pt>
                <c:pt idx="194">
                  <c:v>5.0425968301753308</c:v>
                </c:pt>
                <c:pt idx="195">
                  <c:v>5.030777136609343</c:v>
                </c:pt>
                <c:pt idx="196">
                  <c:v>5.0190249697073392</c:v>
                </c:pt>
                <c:pt idx="197">
                  <c:v>5.0073397292689874</c:v>
                </c:pt>
                <c:pt idx="198">
                  <c:v>4.9957208223249161</c:v>
                </c:pt>
                <c:pt idx="199">
                  <c:v>4.9841676630269811</c:v>
                </c:pt>
                <c:pt idx="200">
                  <c:v>4.9726796725404032</c:v>
                </c:pt>
                <c:pt idx="201">
                  <c:v>4.9612562789380528</c:v>
                </c:pt>
                <c:pt idx="202">
                  <c:v>4.9498969170965195</c:v>
                </c:pt>
                <c:pt idx="203">
                  <c:v>4.9386010285940687</c:v>
                </c:pt>
                <c:pt idx="204">
                  <c:v>4.9273680616105286</c:v>
                </c:pt>
                <c:pt idx="205">
                  <c:v>4.9161974708289264</c:v>
                </c:pt>
                <c:pt idx="206">
                  <c:v>4.9050887173388604</c:v>
                </c:pt>
                <c:pt idx="207">
                  <c:v>4.8940412685416703</c:v>
                </c:pt>
                <c:pt idx="208">
                  <c:v>4.8830545980572619</c:v>
                </c:pt>
                <c:pt idx="209">
                  <c:v>4.8721281856325795</c:v>
                </c:pt>
                <c:pt idx="210">
                  <c:v>4.8612615170517284</c:v>
                </c:pt>
                <c:pt idx="211">
                  <c:v>4.8504540840476595</c:v>
                </c:pt>
                <c:pt idx="212">
                  <c:v>4.8397053842154554</c:v>
                </c:pt>
                <c:pt idx="213">
                  <c:v>4.8290149209270679</c:v>
                </c:pt>
                <c:pt idx="214">
                  <c:v>4.8183822032476291</c:v>
                </c:pt>
                <c:pt idx="215">
                  <c:v>4.8078067458531679</c:v>
                </c:pt>
                <c:pt idx="216">
                  <c:v>4.797288068949773</c:v>
                </c:pt>
                <c:pt idx="217">
                  <c:v>4.7868256981941837</c:v>
                </c:pt>
                <c:pt idx="218">
                  <c:v>4.776419164615735</c:v>
                </c:pt>
                <c:pt idx="219">
                  <c:v>4.7660680045396386</c:v>
                </c:pt>
                <c:pt idx="220">
                  <c:v>4.7557717595115916</c:v>
                </c:pt>
                <c:pt idx="221">
                  <c:v>4.7455299762237173</c:v>
                </c:pt>
                <c:pt idx="222">
                  <c:v>4.7353422064417074</c:v>
                </c:pt>
                <c:pt idx="223">
                  <c:v>4.7252080069332507</c:v>
                </c:pt>
                <c:pt idx="224">
                  <c:v>4.7151269393976767</c:v>
                </c:pt>
                <c:pt idx="225">
                  <c:v>4.7050985703967738</c:v>
                </c:pt>
                <c:pt idx="226">
                  <c:v>4.6951224712867914</c:v>
                </c:pt>
                <c:pt idx="227">
                  <c:v>4.6851982181515677</c:v>
                </c:pt>
                <c:pt idx="228">
                  <c:v>4.6753253917368305</c:v>
                </c:pt>
                <c:pt idx="229">
                  <c:v>4.6655035773855253</c:v>
                </c:pt>
                <c:pt idx="230">
                  <c:v>4.6557323649743099</c:v>
                </c:pt>
                <c:pt idx="231">
                  <c:v>4.6460113488510242</c:v>
                </c:pt>
                <c:pt idx="232">
                  <c:v>4.6363401277732565</c:v>
                </c:pt>
                <c:pt idx="233">
                  <c:v>4.6267183048479099</c:v>
                </c:pt>
                <c:pt idx="234">
                  <c:v>4.6171454874717481</c:v>
                </c:pt>
                <c:pt idx="235">
                  <c:v>4.6076212872729547</c:v>
                </c:pt>
                <c:pt idx="236">
                  <c:v>4.5981453200536411</c:v>
                </c:pt>
                <c:pt idx="237">
                  <c:v>4.5887172057332704</c:v>
                </c:pt>
                <c:pt idx="238">
                  <c:v>4.5793365682930398</c:v>
                </c:pt>
                <c:pt idx="239">
                  <c:v>4.5700030357211503</c:v>
                </c:pt>
                <c:pt idx="240">
                  <c:v>4.5607162399589845</c:v>
                </c:pt>
                <c:pt idx="241">
                  <c:v>4.55147581684811</c:v>
                </c:pt>
                <c:pt idx="242">
                  <c:v>4.5422814060782093</c:v>
                </c:pt>
                <c:pt idx="243">
                  <c:v>4.5331326511357783</c:v>
                </c:pt>
                <c:pt idx="244">
                  <c:v>4.5240291992537127</c:v>
                </c:pt>
                <c:pt idx="245">
                  <c:v>4.51497070136163</c:v>
                </c:pt>
                <c:pt idx="246">
                  <c:v>4.5059568120370512</c:v>
                </c:pt>
                <c:pt idx="247">
                  <c:v>4.4969871894573368</c:v>
                </c:pt>
                <c:pt idx="248">
                  <c:v>4.4880614953523681</c:v>
                </c:pt>
                <c:pt idx="249">
                  <c:v>4.4791793949580088</c:v>
                </c:pt>
                <c:pt idx="250">
                  <c:v>4.4703405569702559</c:v>
                </c:pt>
                <c:pt idx="251">
                  <c:v>4.4615446535001899</c:v>
                </c:pt>
                <c:pt idx="252">
                  <c:v>4.4527913600295594</c:v>
                </c:pt>
                <c:pt idx="253">
                  <c:v>4.4440803553670598</c:v>
                </c:pt>
                <c:pt idx="254">
                  <c:v>4.4354113216054074</c:v>
                </c:pt>
                <c:pt idx="255">
                  <c:v>4.4267839440789105</c:v>
                </c:pt>
                <c:pt idx="256">
                  <c:v>4.4181979113218341</c:v>
                </c:pt>
                <c:pt idx="257">
                  <c:v>4.4096529150273724</c:v>
                </c:pt>
                <c:pt idx="258">
                  <c:v>4.401148650007217</c:v>
                </c:pt>
                <c:pt idx="259">
                  <c:v>4.3926848141518136</c:v>
                </c:pt>
                <c:pt idx="260">
                  <c:v>4.3842611083911729</c:v>
                </c:pt>
                <c:pt idx="261">
                  <c:v>4.3758772366562946</c:v>
                </c:pt>
                <c:pt idx="262">
                  <c:v>4.3675329058412409</c:v>
                </c:pt>
                <c:pt idx="263">
                  <c:v>4.3592278257657036</c:v>
                </c:pt>
                <c:pt idx="264">
                  <c:v>4.3509617091381818</c:v>
                </c:pt>
                <c:pt idx="265">
                  <c:v>4.3427342715197099</c:v>
                </c:pt>
                <c:pt idx="266">
                  <c:v>4.3345452312881569</c:v>
                </c:pt>
                <c:pt idx="267">
                  <c:v>4.3263943096030575</c:v>
                </c:pt>
                <c:pt idx="268">
                  <c:v>4.3182812303709177</c:v>
                </c:pt>
                <c:pt idx="269">
                  <c:v>4.3102057202111048</c:v>
                </c:pt>
                <c:pt idx="270">
                  <c:v>4.3021675084222775</c:v>
                </c:pt>
                <c:pt idx="271">
                  <c:v>4.2941663269492052</c:v>
                </c:pt>
                <c:pt idx="272">
                  <c:v>4.2862019103501696</c:v>
                </c:pt>
                <c:pt idx="273">
                  <c:v>4.278273995764847</c:v>
                </c:pt>
                <c:pt idx="274">
                  <c:v>4.2703823228826208</c:v>
                </c:pt>
                <c:pt idx="275">
                  <c:v>4.2625266339114081</c:v>
                </c:pt>
                <c:pt idx="276">
                  <c:v>4.2547066735469192</c:v>
                </c:pt>
                <c:pt idx="277">
                  <c:v>4.2469221889423796</c:v>
                </c:pt>
                <c:pt idx="278">
                  <c:v>4.2391729296787029</c:v>
                </c:pt>
                <c:pt idx="279">
                  <c:v>4.2314586477350788</c:v>
                </c:pt>
                <c:pt idx="280">
                  <c:v>4.223779097460004</c:v>
                </c:pt>
                <c:pt idx="281">
                  <c:v>4.2161340355427699</c:v>
                </c:pt>
                <c:pt idx="282">
                  <c:v>4.2085232209852768</c:v>
                </c:pt>
                <c:pt idx="283">
                  <c:v>4.2009464150743439</c:v>
                </c:pt>
                <c:pt idx="284">
                  <c:v>4.1934033813543881</c:v>
                </c:pt>
                <c:pt idx="285">
                  <c:v>4.1858938856004668</c:v>
                </c:pt>
                <c:pt idx="286">
                  <c:v>4.178417695791766</c:v>
                </c:pt>
                <c:pt idx="287">
                  <c:v>4.1709745820854307</c:v>
                </c:pt>
                <c:pt idx="288">
                  <c:v>4.1635643167907643</c:v>
                </c:pt>
                <c:pt idx="289">
                  <c:v>4.1561866743438181</c:v>
                </c:pt>
                <c:pt idx="290">
                  <c:v>4.1488414312823503</c:v>
                </c:pt>
                <c:pt idx="291">
                  <c:v>4.1415283662211131</c:v>
                </c:pt>
                <c:pt idx="292">
                  <c:v>4.1342472598274727</c:v>
                </c:pt>
                <c:pt idx="293">
                  <c:v>4.1269978947974675</c:v>
                </c:pt>
                <c:pt idx="294">
                  <c:v>4.1197800558320896</c:v>
                </c:pt>
                <c:pt idx="295">
                  <c:v>4.1125935296139691</c:v>
                </c:pt>
                <c:pt idx="296">
                  <c:v>4.1054381047843593</c:v>
                </c:pt>
                <c:pt idx="297">
                  <c:v>4.098313571920464</c:v>
                </c:pt>
                <c:pt idx="298">
                  <c:v>4.0912197235130598</c:v>
                </c:pt>
                <c:pt idx="299">
                  <c:v>4.0841563539444454</c:v>
                </c:pt>
                <c:pt idx="300">
                  <c:v>4.0771232594666884</c:v>
                </c:pt>
                <c:pt idx="301">
                  <c:v>4.070120238180186</c:v>
                </c:pt>
                <c:pt idx="302">
                  <c:v>4.063147090012496</c:v>
                </c:pt>
                <c:pt idx="303">
                  <c:v>4.0562036166974922</c:v>
                </c:pt>
              </c:numCache>
            </c:numRef>
          </c:xVal>
          <c:yVal>
            <c:numRef>
              <c:f>OF5.4!$E$15:$E$318</c:f>
              <c:numCache>
                <c:formatCode>0.00</c:formatCode>
                <c:ptCount val="304"/>
                <c:pt idx="0">
                  <c:v>180.6757120230709</c:v>
                </c:pt>
                <c:pt idx="1">
                  <c:v>180.88166469887932</c:v>
                </c:pt>
                <c:pt idx="2">
                  <c:v>181.08364362021371</c:v>
                </c:pt>
                <c:pt idx="3">
                  <c:v>181.28174661130922</c:v>
                </c:pt>
                <c:pt idx="4">
                  <c:v>181.47606835917892</c:v>
                </c:pt>
                <c:pt idx="5">
                  <c:v>181.66670053821363</c:v>
                </c:pt>
                <c:pt idx="6">
                  <c:v>181.85373192888241</c:v>
                </c:pt>
                <c:pt idx="7">
                  <c:v>182.03724853085853</c:v>
                </c:pt>
                <c:pt idx="8">
                  <c:v>182.21733367087333</c:v>
                </c:pt>
                <c:pt idx="9">
                  <c:v>182.39406810558404</c:v>
                </c:pt>
                <c:pt idx="10">
                  <c:v>182.56753011972179</c:v>
                </c:pt>
                <c:pt idx="11">
                  <c:v>182.73779561977202</c:v>
                </c:pt>
                <c:pt idx="12">
                  <c:v>182.90493822342225</c:v>
                </c:pt>
                <c:pt idx="13">
                  <c:v>183.0690293449988</c:v>
                </c:pt>
                <c:pt idx="14">
                  <c:v>183.2301382771027</c:v>
                </c:pt>
                <c:pt idx="15">
                  <c:v>183.38833226863878</c:v>
                </c:pt>
                <c:pt idx="16">
                  <c:v>183.54367659942415</c:v>
                </c:pt>
                <c:pt idx="17">
                  <c:v>183.6962346515495</c:v>
                </c:pt>
                <c:pt idx="18">
                  <c:v>183.84606797765738</c:v>
                </c:pt>
                <c:pt idx="19">
                  <c:v>183.99323636629146</c:v>
                </c:pt>
                <c:pt idx="20">
                  <c:v>184.13779790446335</c:v>
                </c:pt>
                <c:pt idx="21">
                  <c:v>184.27980903757341</c:v>
                </c:pt>
                <c:pt idx="22">
                  <c:v>184.41932462681646</c:v>
                </c:pt>
                <c:pt idx="23">
                  <c:v>184.55639800419348</c:v>
                </c:pt>
                <c:pt idx="24">
                  <c:v>184.69108102524689</c:v>
                </c:pt>
                <c:pt idx="25">
                  <c:v>184.82342411962676</c:v>
                </c:pt>
                <c:pt idx="26">
                  <c:v>184.95347633959318</c:v>
                </c:pt>
                <c:pt idx="27">
                  <c:v>185.08128540655113</c:v>
                </c:pt>
                <c:pt idx="28">
                  <c:v>185.20689775571154</c:v>
                </c:pt>
                <c:pt idx="29">
                  <c:v>185.3303585789651</c:v>
                </c:pt>
                <c:pt idx="30">
                  <c:v>185.45171186605302</c:v>
                </c:pt>
                <c:pt idx="31">
                  <c:v>185.5710004441116</c:v>
                </c:pt>
                <c:pt idx="32">
                  <c:v>185.68826601566681</c:v>
                </c:pt>
                <c:pt idx="33">
                  <c:v>185.80354919514821</c:v>
                </c:pt>
                <c:pt idx="34">
                  <c:v>185.91688954398953</c:v>
                </c:pt>
                <c:pt idx="35">
                  <c:v>186.02832560437986</c:v>
                </c:pt>
                <c:pt idx="36">
                  <c:v>186.13789493172456</c:v>
                </c:pt>
                <c:pt idx="37">
                  <c:v>186.24563412587429</c:v>
                </c:pt>
                <c:pt idx="38">
                  <c:v>186.35157886117557</c:v>
                </c:pt>
                <c:pt idx="39">
                  <c:v>186.45576391539481</c:v>
                </c:pt>
                <c:pt idx="40">
                  <c:v>186.55822319756524</c:v>
                </c:pt>
                <c:pt idx="41">
                  <c:v>186.65898977480185</c:v>
                </c:pt>
                <c:pt idx="42">
                  <c:v>186.75809589813096</c:v>
                </c:pt>
                <c:pt idx="43">
                  <c:v>186.85557302737419</c:v>
                </c:pt>
                <c:pt idx="44">
                  <c:v>186.95145185512834</c:v>
                </c:pt>
                <c:pt idx="45">
                  <c:v>187.04576232987924</c:v>
                </c:pt>
                <c:pt idx="46">
                  <c:v>187.138533678285</c:v>
                </c:pt>
                <c:pt idx="47">
                  <c:v>187.2297944266644</c:v>
                </c:pt>
                <c:pt idx="48">
                  <c:v>187.31957242172268</c:v>
                </c:pt>
                <c:pt idx="49">
                  <c:v>187.40789485054583</c:v>
                </c:pt>
                <c:pt idx="50">
                  <c:v>187.49478825989459</c:v>
                </c:pt>
                <c:pt idx="51">
                  <c:v>187.58027857482506</c:v>
                </c:pt>
                <c:pt idx="52">
                  <c:v>187.66439111666429</c:v>
                </c:pt>
                <c:pt idx="53">
                  <c:v>187.74715062036657</c:v>
                </c:pt>
                <c:pt idx="54">
                  <c:v>187.82858125127453</c:v>
                </c:pt>
                <c:pt idx="55">
                  <c:v>187.90870662130993</c:v>
                </c:pt>
                <c:pt idx="56">
                  <c:v>187.98754980461558</c:v>
                </c:pt>
                <c:pt idx="57">
                  <c:v>188.06513335267024</c:v>
                </c:pt>
                <c:pt idx="58">
                  <c:v>188.14147930889791</c:v>
                </c:pt>
                <c:pt idx="59">
                  <c:v>188.21660922278954</c:v>
                </c:pt>
                <c:pt idx="60">
                  <c:v>188.29054416355814</c:v>
                </c:pt>
                <c:pt idx="61">
                  <c:v>188.36330473334283</c:v>
                </c:pt>
                <c:pt idx="62">
                  <c:v>188.43491107998142</c:v>
                </c:pt>
                <c:pt idx="63">
                  <c:v>188.50538290936598</c:v>
                </c:pt>
                <c:pt idx="64">
                  <c:v>188.57473949739841</c:v>
                </c:pt>
                <c:pt idx="65">
                  <c:v>188.64299970156083</c:v>
                </c:pt>
                <c:pt idx="66">
                  <c:v>188.7101819721143</c:v>
                </c:pt>
                <c:pt idx="67">
                  <c:v>188.77630436294137</c:v>
                </c:pt>
                <c:pt idx="68">
                  <c:v>188.84138454204378</c:v>
                </c:pt>
                <c:pt idx="69">
                  <c:v>188.90543980170972</c:v>
                </c:pt>
                <c:pt idx="70">
                  <c:v>188.96848706836124</c:v>
                </c:pt>
                <c:pt idx="71">
                  <c:v>189.03054291209466</c:v>
                </c:pt>
                <c:pt idx="72">
                  <c:v>189.09162355592451</c:v>
                </c:pt>
                <c:pt idx="73">
                  <c:v>189.15174488474156</c:v>
                </c:pt>
                <c:pt idx="74">
                  <c:v>189.21092245399575</c:v>
                </c:pt>
                <c:pt idx="75">
                  <c:v>189.26917149811339</c:v>
                </c:pt>
                <c:pt idx="76">
                  <c:v>189.32650693865799</c:v>
                </c:pt>
                <c:pt idx="77">
                  <c:v>189.38294339224427</c:v>
                </c:pt>
                <c:pt idx="78">
                  <c:v>189.43849517821386</c:v>
                </c:pt>
                <c:pt idx="79">
                  <c:v>189.49317632608009</c:v>
                </c:pt>
                <c:pt idx="80">
                  <c:v>189.54700058275188</c:v>
                </c:pt>
                <c:pt idx="81">
                  <c:v>189.59998141954205</c:v>
                </c:pt>
                <c:pt idx="82">
                  <c:v>189.65213203896965</c:v>
                </c:pt>
                <c:pt idx="83">
                  <c:v>189.7034653813615</c:v>
                </c:pt>
                <c:pt idx="84">
                  <c:v>189.75399413126127</c:v>
                </c:pt>
                <c:pt idx="85">
                  <c:v>189.80373072365143</c:v>
                </c:pt>
                <c:pt idx="86">
                  <c:v>189.85268734999579</c:v>
                </c:pt>
                <c:pt idx="87">
                  <c:v>189.90087596410675</c:v>
                </c:pt>
                <c:pt idx="88">
                  <c:v>189.94830828784518</c:v>
                </c:pt>
                <c:pt idx="89">
                  <c:v>189.99499581665719</c:v>
                </c:pt>
                <c:pt idx="90">
                  <c:v>190.04094982495309</c:v>
                </c:pt>
                <c:pt idx="91">
                  <c:v>190.0861813713349</c:v>
                </c:pt>
                <c:pt idx="92">
                  <c:v>190.13070130367649</c:v>
                </c:pt>
                <c:pt idx="93">
                  <c:v>190.17452026406099</c:v>
                </c:pt>
                <c:pt idx="94">
                  <c:v>190.21764869358071</c:v>
                </c:pt>
                <c:pt idx="95">
                  <c:v>190.260096837004</c:v>
                </c:pt>
                <c:pt idx="96">
                  <c:v>190.30187474731287</c:v>
                </c:pt>
                <c:pt idx="97">
                  <c:v>190.34299229011563</c:v>
                </c:pt>
                <c:pt idx="98">
                  <c:v>190.38345914793922</c:v>
                </c:pt>
                <c:pt idx="99">
                  <c:v>190.42328482440365</c:v>
                </c:pt>
                <c:pt idx="100">
                  <c:v>190.46247864828422</c:v>
                </c:pt>
                <c:pt idx="101">
                  <c:v>190.50104977746298</c:v>
                </c:pt>
                <c:pt idx="102">
                  <c:v>190.53900720277457</c:v>
                </c:pt>
                <c:pt idx="103">
                  <c:v>190.57635975174858</c:v>
                </c:pt>
                <c:pt idx="104">
                  <c:v>190.61311609225265</c:v>
                </c:pt>
                <c:pt idx="105">
                  <c:v>190.64928473603834</c:v>
                </c:pt>
                <c:pt idx="106">
                  <c:v>190.68487404219374</c:v>
                </c:pt>
                <c:pt idx="107">
                  <c:v>190.71989222050482</c:v>
                </c:pt>
                <c:pt idx="108">
                  <c:v>190.75434733472906</c:v>
                </c:pt>
                <c:pt idx="109">
                  <c:v>190.78824730578344</c:v>
                </c:pt>
                <c:pt idx="110">
                  <c:v>190.82159991484971</c:v>
                </c:pt>
                <c:pt idx="111">
                  <c:v>190.85441280639952</c:v>
                </c:pt>
                <c:pt idx="112">
                  <c:v>190.88669349114122</c:v>
                </c:pt>
                <c:pt idx="113">
                  <c:v>190.91844934889144</c:v>
                </c:pt>
                <c:pt idx="114">
                  <c:v>190.94968763137331</c:v>
                </c:pt>
                <c:pt idx="115">
                  <c:v>190.98041546494343</c:v>
                </c:pt>
                <c:pt idx="116">
                  <c:v>191.01063985324973</c:v>
                </c:pt>
                <c:pt idx="117">
                  <c:v>191.04036767982248</c:v>
                </c:pt>
                <c:pt idx="118">
                  <c:v>191.06960571060003</c:v>
                </c:pt>
                <c:pt idx="119">
                  <c:v>191.09836059639159</c:v>
                </c:pt>
                <c:pt idx="120">
                  <c:v>191.12663887527853</c:v>
                </c:pt>
                <c:pt idx="121">
                  <c:v>191.15444697495624</c:v>
                </c:pt>
                <c:pt idx="122">
                  <c:v>191.1817912150178</c:v>
                </c:pt>
                <c:pt idx="123">
                  <c:v>191.20867780918203</c:v>
                </c:pt>
                <c:pt idx="124">
                  <c:v>191.23511286746648</c:v>
                </c:pt>
                <c:pt idx="125">
                  <c:v>191.26110239830746</c:v>
                </c:pt>
                <c:pt idx="126">
                  <c:v>191.2866523106288</c:v>
                </c:pt>
                <c:pt idx="127">
                  <c:v>191.31176841586012</c:v>
                </c:pt>
                <c:pt idx="128">
                  <c:v>191.33645642990697</c:v>
                </c:pt>
                <c:pt idx="129">
                  <c:v>191.36072197507306</c:v>
                </c:pt>
                <c:pt idx="130">
                  <c:v>191.38457058193666</c:v>
                </c:pt>
                <c:pt idx="131">
                  <c:v>191.40800769118283</c:v>
                </c:pt>
                <c:pt idx="132">
                  <c:v>191.43103865539123</c:v>
                </c:pt>
                <c:pt idx="133">
                  <c:v>191.45366874078255</c:v>
                </c:pt>
                <c:pt idx="134">
                  <c:v>191.47590312892316</c:v>
                </c:pt>
                <c:pt idx="135">
                  <c:v>191.49774691838996</c:v>
                </c:pt>
                <c:pt idx="136">
                  <c:v>191.51920512639666</c:v>
                </c:pt>
                <c:pt idx="137">
                  <c:v>191.54028269038156</c:v>
                </c:pt>
                <c:pt idx="138">
                  <c:v>191.56098446955895</c:v>
                </c:pt>
                <c:pt idx="139">
                  <c:v>191.58131524643468</c:v>
                </c:pt>
                <c:pt idx="140">
                  <c:v>191.60127972828656</c:v>
                </c:pt>
                <c:pt idx="141">
                  <c:v>191.62088254861095</c:v>
                </c:pt>
                <c:pt idx="142">
                  <c:v>191.6401282685365</c:v>
                </c:pt>
                <c:pt idx="143">
                  <c:v>191.6590213782053</c:v>
                </c:pt>
                <c:pt idx="144">
                  <c:v>191.67756629812294</c:v>
                </c:pt>
                <c:pt idx="145">
                  <c:v>191.69576738047834</c:v>
                </c:pt>
                <c:pt idx="146">
                  <c:v>191.71362891043321</c:v>
                </c:pt>
                <c:pt idx="147">
                  <c:v>191.73115510738333</c:v>
                </c:pt>
                <c:pt idx="148">
                  <c:v>191.74835012619101</c:v>
                </c:pt>
                <c:pt idx="149">
                  <c:v>191.76521805839056</c:v>
                </c:pt>
                <c:pt idx="150">
                  <c:v>191.78176293336685</c:v>
                </c:pt>
                <c:pt idx="151">
                  <c:v>191.79798871950757</c:v>
                </c:pt>
                <c:pt idx="152">
                  <c:v>191.81389932533088</c:v>
                </c:pt>
                <c:pt idx="153">
                  <c:v>191.82949860058741</c:v>
                </c:pt>
                <c:pt idx="154">
                  <c:v>191.84479033733865</c:v>
                </c:pt>
                <c:pt idx="155">
                  <c:v>191.85977827101166</c:v>
                </c:pt>
                <c:pt idx="156">
                  <c:v>191.87446608143131</c:v>
                </c:pt>
                <c:pt idx="157">
                  <c:v>191.88885739382957</c:v>
                </c:pt>
                <c:pt idx="158">
                  <c:v>191.90295577983341</c:v>
                </c:pt>
                <c:pt idx="159">
                  <c:v>191.91676475843144</c:v>
                </c:pt>
                <c:pt idx="160">
                  <c:v>191.93028779691983</c:v>
                </c:pt>
                <c:pt idx="161">
                  <c:v>190.7408996261243</c:v>
                </c:pt>
                <c:pt idx="162">
                  <c:v>191.94352831182803</c:v>
                </c:pt>
                <c:pt idx="163">
                  <c:v>191.9564896698248</c:v>
                </c:pt>
                <c:pt idx="164">
                  <c:v>191.96917518860522</c:v>
                </c:pt>
                <c:pt idx="165">
                  <c:v>191.98158813775851</c:v>
                </c:pt>
                <c:pt idx="166">
                  <c:v>191.99373173961854</c:v>
                </c:pt>
                <c:pt idx="167">
                  <c:v>192.005609170095</c:v>
                </c:pt>
                <c:pt idx="168">
                  <c:v>192.01722355948908</c:v>
                </c:pt>
                <c:pt idx="169">
                  <c:v>192.02857799329033</c:v>
                </c:pt>
                <c:pt idx="170">
                  <c:v>192.0396755129583</c:v>
                </c:pt>
                <c:pt idx="171">
                  <c:v>192.05051911668752</c:v>
                </c:pt>
                <c:pt idx="172">
                  <c:v>192.06111176015659</c:v>
                </c:pt>
                <c:pt idx="173">
                  <c:v>192.07145635726204</c:v>
                </c:pt>
                <c:pt idx="174">
                  <c:v>192.08155578083725</c:v>
                </c:pt>
                <c:pt idx="175">
                  <c:v>192.09141286335665</c:v>
                </c:pt>
                <c:pt idx="176">
                  <c:v>192.10103039762538</c:v>
                </c:pt>
                <c:pt idx="177">
                  <c:v>192.11041113745517</c:v>
                </c:pt>
                <c:pt idx="178">
                  <c:v>192.11955779832667</c:v>
                </c:pt>
                <c:pt idx="179">
                  <c:v>192.12847305803811</c:v>
                </c:pt>
                <c:pt idx="180">
                  <c:v>192.13715955734142</c:v>
                </c:pt>
                <c:pt idx="181">
                  <c:v>192.14561990056495</c:v>
                </c:pt>
                <c:pt idx="182">
                  <c:v>192.15385665622443</c:v>
                </c:pt>
                <c:pt idx="183">
                  <c:v>192.16187235762149</c:v>
                </c:pt>
                <c:pt idx="184">
                  <c:v>192.16966950343024</c:v>
                </c:pt>
                <c:pt idx="185">
                  <c:v>192.17725055827236</c:v>
                </c:pt>
                <c:pt idx="186">
                  <c:v>192.18461795328102</c:v>
                </c:pt>
                <c:pt idx="187">
                  <c:v>192.19177408665348</c:v>
                </c:pt>
                <c:pt idx="188">
                  <c:v>192.198721324193</c:v>
                </c:pt>
                <c:pt idx="189">
                  <c:v>192.20546199984</c:v>
                </c:pt>
                <c:pt idx="190">
                  <c:v>192.21199841619352</c:v>
                </c:pt>
                <c:pt idx="191">
                  <c:v>192.21833284502159</c:v>
                </c:pt>
                <c:pt idx="192">
                  <c:v>192.22446752776258</c:v>
                </c:pt>
                <c:pt idx="193">
                  <c:v>192.2304046760166</c:v>
                </c:pt>
                <c:pt idx="194">
                  <c:v>192.23614647202717</c:v>
                </c:pt>
                <c:pt idx="195">
                  <c:v>192.24169506915433</c:v>
                </c:pt>
                <c:pt idx="196">
                  <c:v>192.24705259233804</c:v>
                </c:pt>
                <c:pt idx="197">
                  <c:v>192.25222113855321</c:v>
                </c:pt>
                <c:pt idx="198">
                  <c:v>192.257202777256</c:v>
                </c:pt>
                <c:pt idx="199">
                  <c:v>192.26199955082157</c:v>
                </c:pt>
                <c:pt idx="200">
                  <c:v>192.26661347497361</c:v>
                </c:pt>
                <c:pt idx="201">
                  <c:v>192.271046539206</c:v>
                </c:pt>
                <c:pt idx="202">
                  <c:v>192.27530070719641</c:v>
                </c:pt>
                <c:pt idx="203">
                  <c:v>192.27937791721189</c:v>
                </c:pt>
                <c:pt idx="204">
                  <c:v>192.2832800825077</c:v>
                </c:pt>
                <c:pt idx="205">
                  <c:v>192.28700909171781</c:v>
                </c:pt>
                <c:pt idx="206">
                  <c:v>192.29056680923878</c:v>
                </c:pt>
                <c:pt idx="207">
                  <c:v>192.29395507560648</c:v>
                </c:pt>
                <c:pt idx="208">
                  <c:v>192.29717570786556</c:v>
                </c:pt>
                <c:pt idx="209">
                  <c:v>192.30023049993255</c:v>
                </c:pt>
                <c:pt idx="210">
                  <c:v>192.303121222952</c:v>
                </c:pt>
                <c:pt idx="211">
                  <c:v>192.3058496256464</c:v>
                </c:pt>
                <c:pt idx="212">
                  <c:v>192.30841743465945</c:v>
                </c:pt>
                <c:pt idx="213">
                  <c:v>192.31082635489344</c:v>
                </c:pt>
                <c:pt idx="214">
                  <c:v>192.31307806984006</c:v>
                </c:pt>
                <c:pt idx="215">
                  <c:v>192.31517424190594</c:v>
                </c:pt>
                <c:pt idx="216">
                  <c:v>192.31711651273147</c:v>
                </c:pt>
                <c:pt idx="217">
                  <c:v>192.31890650350479</c:v>
                </c:pt>
                <c:pt idx="218">
                  <c:v>192.32054581526953</c:v>
                </c:pt>
                <c:pt idx="219">
                  <c:v>192.32203602922723</c:v>
                </c:pt>
                <c:pt idx="220">
                  <c:v>192.32337870703483</c:v>
                </c:pt>
                <c:pt idx="221">
                  <c:v>192.32457539109586</c:v>
                </c:pt>
                <c:pt idx="222">
                  <c:v>192.3256276048478</c:v>
                </c:pt>
                <c:pt idx="223">
                  <c:v>192.32653685304328</c:v>
                </c:pt>
                <c:pt idx="224">
                  <c:v>192.32730462202707</c:v>
                </c:pt>
                <c:pt idx="225">
                  <c:v>192.32793238000752</c:v>
                </c:pt>
                <c:pt idx="226">
                  <c:v>192.32842157732429</c:v>
                </c:pt>
                <c:pt idx="227">
                  <c:v>192.32877364671012</c:v>
                </c:pt>
                <c:pt idx="228">
                  <c:v>192.32899000354908</c:v>
                </c:pt>
                <c:pt idx="229">
                  <c:v>192.32907204612999</c:v>
                </c:pt>
                <c:pt idx="230">
                  <c:v>192.32902115589553</c:v>
                </c:pt>
                <c:pt idx="231">
                  <c:v>192.32883869768671</c:v>
                </c:pt>
                <c:pt idx="232">
                  <c:v>192.32852601998374</c:v>
                </c:pt>
                <c:pt idx="233">
                  <c:v>192.32808445514215</c:v>
                </c:pt>
                <c:pt idx="234">
                  <c:v>192.32751531962546</c:v>
                </c:pt>
                <c:pt idx="235">
                  <c:v>192.32681991423362</c:v>
                </c:pt>
                <c:pt idx="236">
                  <c:v>192.32599952432736</c:v>
                </c:pt>
                <c:pt idx="237">
                  <c:v>192.32505542004907</c:v>
                </c:pt>
                <c:pt idx="238">
                  <c:v>192.32398885653967</c:v>
                </c:pt>
                <c:pt idx="239">
                  <c:v>192.32280107415238</c:v>
                </c:pt>
                <c:pt idx="240">
                  <c:v>192.32149329866195</c:v>
                </c:pt>
                <c:pt idx="241">
                  <c:v>192.32006674147138</c:v>
                </c:pt>
                <c:pt idx="242">
                  <c:v>192.31852259981443</c:v>
                </c:pt>
                <c:pt idx="243">
                  <c:v>192.31686205695524</c:v>
                </c:pt>
                <c:pt idx="244">
                  <c:v>192.31508628238444</c:v>
                </c:pt>
                <c:pt idx="245">
                  <c:v>192.31319643201189</c:v>
                </c:pt>
                <c:pt idx="246">
                  <c:v>192.31119364835641</c:v>
                </c:pt>
                <c:pt idx="247">
                  <c:v>192.30907906073239</c:v>
                </c:pt>
                <c:pt idx="248">
                  <c:v>192.30685378543325</c:v>
                </c:pt>
                <c:pt idx="249">
                  <c:v>192.30451892591188</c:v>
                </c:pt>
                <c:pt idx="250">
                  <c:v>192.30207557295816</c:v>
                </c:pt>
                <c:pt idx="251">
                  <c:v>192.29952480487361</c:v>
                </c:pt>
                <c:pt idx="252">
                  <c:v>192.29686768764316</c:v>
                </c:pt>
                <c:pt idx="253">
                  <c:v>192.29410527510399</c:v>
                </c:pt>
                <c:pt idx="254">
                  <c:v>192.2912386091121</c:v>
                </c:pt>
                <c:pt idx="255">
                  <c:v>192.2882687197056</c:v>
                </c:pt>
                <c:pt idx="256">
                  <c:v>192.28519662526563</c:v>
                </c:pt>
                <c:pt idx="257">
                  <c:v>192.28202333267504</c:v>
                </c:pt>
                <c:pt idx="258">
                  <c:v>192.27874983747367</c:v>
                </c:pt>
                <c:pt idx="259">
                  <c:v>192.27537712401218</c:v>
                </c:pt>
                <c:pt idx="260">
                  <c:v>192.27190616560253</c:v>
                </c:pt>
                <c:pt idx="261">
                  <c:v>192.26833792466672</c:v>
                </c:pt>
                <c:pt idx="262">
                  <c:v>192.26467335288268</c:v>
                </c:pt>
                <c:pt idx="263">
                  <c:v>192.26091339132836</c:v>
                </c:pt>
                <c:pt idx="264">
                  <c:v>192.25705897062281</c:v>
                </c:pt>
                <c:pt idx="265">
                  <c:v>192.25311101106598</c:v>
                </c:pt>
                <c:pt idx="266">
                  <c:v>192.24907042277553</c:v>
                </c:pt>
                <c:pt idx="267">
                  <c:v>192.24493810582183</c:v>
                </c:pt>
                <c:pt idx="268">
                  <c:v>192.24071495036091</c:v>
                </c:pt>
                <c:pt idx="269">
                  <c:v>192.23640183676505</c:v>
                </c:pt>
                <c:pt idx="270">
                  <c:v>192.23199963575192</c:v>
                </c:pt>
                <c:pt idx="271">
                  <c:v>192.22750920851087</c:v>
                </c:pt>
                <c:pt idx="272">
                  <c:v>192.222931406828</c:v>
                </c:pt>
                <c:pt idx="273">
                  <c:v>192.21826707320889</c:v>
                </c:pt>
                <c:pt idx="274">
                  <c:v>192.21351704099976</c:v>
                </c:pt>
                <c:pt idx="275">
                  <c:v>192.20868213450629</c:v>
                </c:pt>
                <c:pt idx="276">
                  <c:v>192.20376316911117</c:v>
                </c:pt>
                <c:pt idx="277">
                  <c:v>192.1987609513896</c:v>
                </c:pt>
                <c:pt idx="278">
                  <c:v>192.19367627922259</c:v>
                </c:pt>
                <c:pt idx="279">
                  <c:v>192.1885099419097</c:v>
                </c:pt>
                <c:pt idx="280">
                  <c:v>192.18326272027855</c:v>
                </c:pt>
                <c:pt idx="281">
                  <c:v>192.17793538679413</c:v>
                </c:pt>
                <c:pt idx="282">
                  <c:v>192.17252870566534</c:v>
                </c:pt>
                <c:pt idx="283">
                  <c:v>192.16704343295055</c:v>
                </c:pt>
                <c:pt idx="284">
                  <c:v>192.1614803166614</c:v>
                </c:pt>
                <c:pt idx="285">
                  <c:v>192.15584009686484</c:v>
                </c:pt>
                <c:pt idx="286">
                  <c:v>192.15012350578425</c:v>
                </c:pt>
                <c:pt idx="287">
                  <c:v>192.14433126789825</c:v>
                </c:pt>
                <c:pt idx="288">
                  <c:v>192.13846410003856</c:v>
                </c:pt>
                <c:pt idx="289">
                  <c:v>192.13252271148633</c:v>
                </c:pt>
                <c:pt idx="290">
                  <c:v>192.12650780406702</c:v>
                </c:pt>
                <c:pt idx="291">
                  <c:v>192.12042007224352</c:v>
                </c:pt>
                <c:pt idx="292">
                  <c:v>192.11426020320872</c:v>
                </c:pt>
                <c:pt idx="293">
                  <c:v>192.10802887697579</c:v>
                </c:pt>
                <c:pt idx="294">
                  <c:v>192.10172676646789</c:v>
                </c:pt>
                <c:pt idx="295">
                  <c:v>192.09535453760597</c:v>
                </c:pt>
                <c:pt idx="296">
                  <c:v>192.08891284939571</c:v>
                </c:pt>
                <c:pt idx="297">
                  <c:v>192.08240235401294</c:v>
                </c:pt>
                <c:pt idx="298">
                  <c:v>192.07582369688802</c:v>
                </c:pt>
                <c:pt idx="299">
                  <c:v>192.06917751678878</c:v>
                </c:pt>
                <c:pt idx="300">
                  <c:v>192.06246444590255</c:v>
                </c:pt>
                <c:pt idx="301">
                  <c:v>192.05568510991657</c:v>
                </c:pt>
                <c:pt idx="302">
                  <c:v>192.04884012809765</c:v>
                </c:pt>
                <c:pt idx="303">
                  <c:v>192.04193011337037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OF5.4!$E$14</c15:sqref>
                        </c15:formulaRef>
                      </c:ext>
                    </c:extLst>
                    <c:strCache>
                      <c:ptCount val="1"/>
                      <c:pt idx="0">
                        <c:v>Isp (s)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123D-49E2-8915-A923C237D1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5186352"/>
        <c:axId val="225191448"/>
      </c:scatterChart>
      <c:valAx>
        <c:axId val="225186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Nozzle Area Expansion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191448"/>
        <c:crosses val="autoZero"/>
        <c:crossBetween val="midCat"/>
      </c:valAx>
      <c:valAx>
        <c:axId val="225191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</a:t>
                </a:r>
                <a:r>
                  <a:rPr lang="en-US" baseline="-25000"/>
                  <a:t>sp</a:t>
                </a:r>
                <a:r>
                  <a:rPr lang="en-US" baseline="0"/>
                  <a:t> Initial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186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'OF4.5 - Recordbreaker'!$E$14</c:f>
              <c:strCache>
                <c:ptCount val="1"/>
                <c:pt idx="0">
                  <c:v>Isp (s)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'OF4.5 - Recordbreaker'!$C$15:$C$318</c:f>
              <c:numCache>
                <c:formatCode>0.00</c:formatCode>
                <c:ptCount val="304"/>
                <c:pt idx="0">
                  <c:v>11.450975594821408</c:v>
                </c:pt>
                <c:pt idx="1">
                  <c:v>11.379378370431638</c:v>
                </c:pt>
                <c:pt idx="2">
                  <c:v>11.308839621944699</c:v>
                </c:pt>
                <c:pt idx="3">
                  <c:v>11.239335038272094</c:v>
                </c:pt>
                <c:pt idx="4">
                  <c:v>11.170841062097542</c:v>
                </c:pt>
                <c:pt idx="5">
                  <c:v>11.103334860551779</c:v>
                </c:pt>
                <c:pt idx="6">
                  <c:v>11.036794297255904</c:v>
                </c:pt>
                <c:pt idx="7">
                  <c:v>10.971197905659077</c:v>
                </c:pt>
                <c:pt idx="8">
                  <c:v>10.90652486360092</c:v>
                </c:pt>
                <c:pt idx="9">
                  <c:v>10.842754969033056</c:v>
                </c:pt>
                <c:pt idx="10">
                  <c:v>10.779868616838174</c:v>
                </c:pt>
                <c:pt idx="11">
                  <c:v>10.717846776689218</c:v>
                </c:pt>
                <c:pt idx="12">
                  <c:v>10.656670971893947</c:v>
                </c:pt>
                <c:pt idx="13">
                  <c:v>10.596323259174278</c:v>
                </c:pt>
                <c:pt idx="14">
                  <c:v>10.536786209331751</c:v>
                </c:pt>
                <c:pt idx="15">
                  <c:v>10.478042888754585</c:v>
                </c:pt>
                <c:pt idx="16">
                  <c:v>10.420076841722992</c:v>
                </c:pt>
                <c:pt idx="17">
                  <c:v>10.362872073473188</c:v>
                </c:pt>
                <c:pt idx="18">
                  <c:v>10.306413033981752</c:v>
                </c:pt>
                <c:pt idx="19">
                  <c:v>10.250684602435113</c:v>
                </c:pt>
                <c:pt idx="20">
                  <c:v>10.195672072350012</c:v>
                </c:pt>
                <c:pt idx="21">
                  <c:v>10.14136113731349</c:v>
                </c:pt>
                <c:pt idx="22">
                  <c:v>10.087737877312151</c:v>
                </c:pt>
                <c:pt idx="23">
                  <c:v>10.034788745622473</c:v>
                </c:pt>
                <c:pt idx="24">
                  <c:v>9.9825005562352551</c:v>
                </c:pt>
                <c:pt idx="25">
                  <c:v>9.9308604717888311</c:v>
                </c:pt>
                <c:pt idx="26">
                  <c:v>9.8798559919872257</c:v>
                </c:pt>
                <c:pt idx="27">
                  <c:v>9.8294749424803918</c:v>
                </c:pt>
                <c:pt idx="28">
                  <c:v>9.7797054641849979</c:v>
                </c:pt>
                <c:pt idx="29">
                  <c:v>9.7305360030257244</c:v>
                </c:pt>
                <c:pt idx="30">
                  <c:v>9.6819553000773695</c:v>
                </c:pt>
                <c:pt idx="31">
                  <c:v>9.6339523820899426</c:v>
                </c:pt>
                <c:pt idx="32">
                  <c:v>9.5865165523789475</c:v>
                </c:pt>
                <c:pt idx="33">
                  <c:v>9.5396373820649352</c:v>
                </c:pt>
                <c:pt idx="34">
                  <c:v>9.4933047016462542</c:v>
                </c:pt>
                <c:pt idx="35">
                  <c:v>9.4475085928906619</c:v>
                </c:pt>
                <c:pt idx="36">
                  <c:v>9.4022393810313183</c:v>
                </c:pt>
                <c:pt idx="37">
                  <c:v>9.3574876272542582</c:v>
                </c:pt>
                <c:pt idx="38">
                  <c:v>9.3132441214642707</c:v>
                </c:pt>
                <c:pt idx="39">
                  <c:v>9.2694998753173969</c:v>
                </c:pt>
                <c:pt idx="40">
                  <c:v>9.2262461155086157</c:v>
                </c:pt>
                <c:pt idx="41">
                  <c:v>9.1834742773035405</c:v>
                </c:pt>
                <c:pt idx="42">
                  <c:v>9.1411759983041385</c:v>
                </c:pt>
                <c:pt idx="43">
                  <c:v>9.0993431124383921</c:v>
                </c:pt>
                <c:pt idx="44">
                  <c:v>9.0579676441645276</c:v>
                </c:pt>
                <c:pt idx="45">
                  <c:v>9.0170418028810086</c:v>
                </c:pt>
                <c:pt idx="46">
                  <c:v>8.976557977533588</c:v>
                </c:pt>
                <c:pt idx="47">
                  <c:v>8.9365087314114966</c:v>
                </c:pt>
                <c:pt idx="48">
                  <c:v>8.8968867971249654</c:v>
                </c:pt>
                <c:pt idx="49">
                  <c:v>8.8576850717566042</c:v>
                </c:pt>
                <c:pt idx="50">
                  <c:v>8.8188966121798398</c:v>
                </c:pt>
                <c:pt idx="51">
                  <c:v>8.780514630537537</c:v>
                </c:pt>
                <c:pt idx="52">
                  <c:v>8.7425324898743924</c:v>
                </c:pt>
                <c:pt idx="53">
                  <c:v>8.7049436999171714</c:v>
                </c:pt>
                <c:pt idx="54">
                  <c:v>8.6677419129966999</c:v>
                </c:pt>
                <c:pt idx="55">
                  <c:v>8.6309209201064228</c:v>
                </c:pt>
                <c:pt idx="56">
                  <c:v>8.5944746470916709</c:v>
                </c:pt>
                <c:pt idx="57">
                  <c:v>8.5583971509651491</c:v>
                </c:pt>
                <c:pt idx="58">
                  <c:v>8.5226826163433262</c:v>
                </c:pt>
                <c:pt idx="59">
                  <c:v>8.4873253519993579</c:v>
                </c:pt>
                <c:pt idx="60">
                  <c:v>8.4523197875280012</c:v>
                </c:pt>
                <c:pt idx="61">
                  <c:v>8.4176604701182125</c:v>
                </c:pt>
                <c:pt idx="62">
                  <c:v>8.3833420614295537</c:v>
                </c:pt>
                <c:pt idx="63">
                  <c:v>8.3493593345683355</c:v>
                </c:pt>
                <c:pt idx="64">
                  <c:v>8.3157071711598149</c:v>
                </c:pt>
                <c:pt idx="65">
                  <c:v>8.2823805585130579</c:v>
                </c:pt>
                <c:pt idx="66">
                  <c:v>8.2493745868747315</c:v>
                </c:pt>
                <c:pt idx="67">
                  <c:v>8.2166844467688804</c:v>
                </c:pt>
                <c:pt idx="68">
                  <c:v>8.1843054264193515</c:v>
                </c:pt>
                <c:pt idx="69">
                  <c:v>8.1522329092519144</c:v>
                </c:pt>
                <c:pt idx="70">
                  <c:v>8.1204623714733248</c:v>
                </c:pt>
                <c:pt idx="71">
                  <c:v>8.0889893797243175</c:v>
                </c:pt>
                <c:pt idx="72">
                  <c:v>8.057809588804103</c:v>
                </c:pt>
                <c:pt idx="73">
                  <c:v>8.0269187394638077</c:v>
                </c:pt>
                <c:pt idx="74">
                  <c:v>7.9963126562662579</c:v>
                </c:pt>
                <c:pt idx="75">
                  <c:v>7.9659872455100222</c:v>
                </c:pt>
                <c:pt idx="76">
                  <c:v>7.9359384932152119</c:v>
                </c:pt>
                <c:pt idx="77">
                  <c:v>7.9061624631690455</c:v>
                </c:pt>
                <c:pt idx="78">
                  <c:v>7.8766552950292068</c:v>
                </c:pt>
                <c:pt idx="79">
                  <c:v>7.8474132024826035</c:v>
                </c:pt>
                <c:pt idx="80">
                  <c:v>7.8184324714581699</c:v>
                </c:pt>
                <c:pt idx="81">
                  <c:v>7.7897094583914459</c:v>
                </c:pt>
                <c:pt idx="82">
                  <c:v>7.7612405885393576</c:v>
                </c:pt>
                <c:pt idx="83">
                  <c:v>7.7330223543435146</c:v>
                </c:pt>
                <c:pt idx="84">
                  <c:v>7.7050513138403565</c:v>
                </c:pt>
                <c:pt idx="85">
                  <c:v>7.6773240891164525</c:v>
                </c:pt>
                <c:pt idx="86">
                  <c:v>7.6498373648078477</c:v>
                </c:pt>
                <c:pt idx="87">
                  <c:v>7.6225878866414361</c:v>
                </c:pt>
                <c:pt idx="88">
                  <c:v>7.5955724600175483</c:v>
                </c:pt>
                <c:pt idx="89">
                  <c:v>7.5687879486318952</c:v>
                </c:pt>
                <c:pt idx="90">
                  <c:v>7.5422312731359868</c:v>
                </c:pt>
                <c:pt idx="91">
                  <c:v>7.5158994098345309</c:v>
                </c:pt>
                <c:pt idx="92">
                  <c:v>7.489789389418692</c:v>
                </c:pt>
                <c:pt idx="93">
                  <c:v>7.4638982957341469</c:v>
                </c:pt>
                <c:pt idx="94">
                  <c:v>7.4382232645825948</c:v>
                </c:pt>
                <c:pt idx="95">
                  <c:v>7.4127614825559416</c:v>
                </c:pt>
                <c:pt idx="96">
                  <c:v>7.3875101859018777</c:v>
                </c:pt>
                <c:pt idx="97">
                  <c:v>7.3624666594200399</c:v>
                </c:pt>
                <c:pt idx="98">
                  <c:v>7.337628235387637</c:v>
                </c:pt>
                <c:pt idx="99">
                  <c:v>7.3129922925138029</c:v>
                </c:pt>
                <c:pt idx="100">
                  <c:v>7.2885562549215308</c:v>
                </c:pt>
                <c:pt idx="101">
                  <c:v>7.2643175911567122</c:v>
                </c:pt>
                <c:pt idx="102">
                  <c:v>7.2402738132229656</c:v>
                </c:pt>
                <c:pt idx="103">
                  <c:v>7.2164224756418651</c:v>
                </c:pt>
                <c:pt idx="104">
                  <c:v>7.1927611745376172</c:v>
                </c:pt>
                <c:pt idx="105">
                  <c:v>7.1692875467454655</c:v>
                </c:pt>
                <c:pt idx="106">
                  <c:v>7.1459992689430569</c:v>
                </c:pt>
                <c:pt idx="107">
                  <c:v>7.122894056804201</c:v>
                </c:pt>
                <c:pt idx="108">
                  <c:v>7.0999696641742736</c:v>
                </c:pt>
                <c:pt idx="109">
                  <c:v>7.0772238822664928</c:v>
                </c:pt>
                <c:pt idx="110">
                  <c:v>7.0546545388787782</c:v>
                </c:pt>
                <c:pt idx="111">
                  <c:v>7.0322594976302133</c:v>
                </c:pt>
                <c:pt idx="112">
                  <c:v>7.0100366572167561</c:v>
                </c:pt>
                <c:pt idx="113">
                  <c:v>6.9879839506856136</c:v>
                </c:pt>
                <c:pt idx="114">
                  <c:v>6.9660993447276534</c:v>
                </c:pt>
                <c:pt idx="115">
                  <c:v>6.9443808389873256</c:v>
                </c:pt>
                <c:pt idx="116">
                  <c:v>6.92282646538977</c:v>
                </c:pt>
                <c:pt idx="117">
                  <c:v>6.901434287484344</c:v>
                </c:pt>
                <c:pt idx="118">
                  <c:v>6.8802023998042889</c:v>
                </c:pt>
                <c:pt idx="119">
                  <c:v>6.8591289272419935</c:v>
                </c:pt>
                <c:pt idx="120">
                  <c:v>6.8382120244394518</c:v>
                </c:pt>
                <c:pt idx="121">
                  <c:v>6.8174498751934625</c:v>
                </c:pt>
                <c:pt idx="122">
                  <c:v>6.7968406918751452</c:v>
                </c:pt>
                <c:pt idx="123">
                  <c:v>6.7763827148633382</c:v>
                </c:pt>
                <c:pt idx="124">
                  <c:v>6.7560742119916508</c:v>
                </c:pt>
                <c:pt idx="125">
                  <c:v>6.7359134780085173</c:v>
                </c:pt>
                <c:pt idx="126">
                  <c:v>6.7158988340501651</c:v>
                </c:pt>
                <c:pt idx="127">
                  <c:v>6.6960286271259246</c:v>
                </c:pt>
                <c:pt idx="128">
                  <c:v>6.6763012296157127</c:v>
                </c:pt>
                <c:pt idx="129">
                  <c:v>6.6567150387792315</c:v>
                </c:pt>
                <c:pt idx="130">
                  <c:v>6.6372684762766045</c:v>
                </c:pt>
                <c:pt idx="131">
                  <c:v>6.6179599877001678</c:v>
                </c:pt>
                <c:pt idx="132">
                  <c:v>6.5987880421170146</c:v>
                </c:pt>
                <c:pt idx="133">
                  <c:v>6.5797511316222081</c:v>
                </c:pt>
                <c:pt idx="134">
                  <c:v>6.5608477709021233</c:v>
                </c:pt>
                <c:pt idx="135">
                  <c:v>6.542076496807784</c:v>
                </c:pt>
                <c:pt idx="136">
                  <c:v>6.5234358679379669</c:v>
                </c:pt>
                <c:pt idx="137">
                  <c:v>6.5049244642316859</c:v>
                </c:pt>
                <c:pt idx="138">
                  <c:v>6.4865408865699345</c:v>
                </c:pt>
                <c:pt idx="139">
                  <c:v>6.468283756386322</c:v>
                </c:pt>
                <c:pt idx="140">
                  <c:v>6.4501517152865313</c:v>
                </c:pt>
                <c:pt idx="141">
                  <c:v>6.4321434246761271</c:v>
                </c:pt>
                <c:pt idx="142">
                  <c:v>6.4142575653967917</c:v>
                </c:pt>
                <c:pt idx="143">
                  <c:v>6.396492837370495</c:v>
                </c:pt>
                <c:pt idx="144">
                  <c:v>6.378847959251571</c:v>
                </c:pt>
                <c:pt idx="145">
                  <c:v>6.3613216680864335</c:v>
                </c:pt>
                <c:pt idx="146">
                  <c:v>6.3439127189807412</c:v>
                </c:pt>
                <c:pt idx="147">
                  <c:v>6.3266198847738231</c:v>
                </c:pt>
                <c:pt idx="148">
                  <c:v>6.3094419557201453</c:v>
                </c:pt>
                <c:pt idx="149">
                  <c:v>6.2923777391777422</c:v>
                </c:pt>
                <c:pt idx="150">
                  <c:v>6.2754260593032827</c:v>
                </c:pt>
                <c:pt idx="151">
                  <c:v>6.2585857567537682</c:v>
                </c:pt>
                <c:pt idx="152">
                  <c:v>6.2418556883945522</c:v>
                </c:pt>
                <c:pt idx="153">
                  <c:v>6.2252347270136177</c:v>
                </c:pt>
                <c:pt idx="154">
                  <c:v>6.2087217610419341</c:v>
                </c:pt>
                <c:pt idx="155">
                  <c:v>6.1923156942797135</c:v>
                </c:pt>
                <c:pt idx="156">
                  <c:v>6.17601544562842</c:v>
                </c:pt>
                <c:pt idx="157">
                  <c:v>6.1598199488284751</c:v>
                </c:pt>
                <c:pt idx="158">
                  <c:v>6.1437281522024181</c:v>
                </c:pt>
                <c:pt idx="159">
                  <c:v>6.1277390184033882</c:v>
                </c:pt>
                <c:pt idx="160">
                  <c:v>6.1118515241689133</c:v>
                </c:pt>
                <c:pt idx="161">
                  <c:v>6.0960646600797332</c:v>
                </c:pt>
                <c:pt idx="162">
                  <c:v>6.0803774303236402</c:v>
                </c:pt>
                <c:pt idx="163">
                  <c:v>6.0647888524641482</c:v>
                </c:pt>
                <c:pt idx="164">
                  <c:v>6.0492979572139145</c:v>
                </c:pt>
                <c:pt idx="165">
                  <c:v>6.0339037882128093</c:v>
                </c:pt>
                <c:pt idx="166">
                  <c:v>6.0186054018104675</c:v>
                </c:pt>
                <c:pt idx="167">
                  <c:v>6.0034018668532338</c:v>
                </c:pt>
                <c:pt idx="168">
                  <c:v>5.9882922644755272</c:v>
                </c:pt>
                <c:pt idx="169">
                  <c:v>5.973275687895212</c:v>
                </c:pt>
                <c:pt idx="170">
                  <c:v>5.9583512422132703</c:v>
                </c:pt>
                <c:pt idx="171">
                  <c:v>5.9435180442173525</c:v>
                </c:pt>
                <c:pt idx="172">
                  <c:v>5.9287752221893051</c:v>
                </c:pt>
                <c:pt idx="173">
                  <c:v>5.9141219157164597</c:v>
                </c:pt>
                <c:pt idx="174">
                  <c:v>5.8995572755067629</c:v>
                </c:pt>
                <c:pt idx="175">
                  <c:v>5.8925914167420999</c:v>
                </c:pt>
                <c:pt idx="176">
                  <c:v>5.8850804632074034</c:v>
                </c:pt>
                <c:pt idx="177">
                  <c:v>5.8706906512271608</c:v>
                </c:pt>
                <c:pt idx="178">
                  <c:v>5.8563870225621129</c:v>
                </c:pt>
                <c:pt idx="179">
                  <c:v>5.84216877062482</c:v>
                </c:pt>
                <c:pt idx="180">
                  <c:v>5.8280350990767831</c:v>
                </c:pt>
                <c:pt idx="181">
                  <c:v>5.8139852216641765</c:v>
                </c:pt>
                <c:pt idx="182">
                  <c:v>5.8000183620567691</c:v>
                </c:pt>
                <c:pt idx="183">
                  <c:v>5.7861337536899011</c:v>
                </c:pt>
                <c:pt idx="184">
                  <c:v>5.7723306396095539</c:v>
                </c:pt>
                <c:pt idx="185">
                  <c:v>5.7586082723203313</c:v>
                </c:pt>
                <c:pt idx="186">
                  <c:v>5.7449659136363636</c:v>
                </c:pt>
                <c:pt idx="187">
                  <c:v>5.7314028345350589</c:v>
                </c:pt>
                <c:pt idx="188">
                  <c:v>5.7179183150136019</c:v>
                </c:pt>
                <c:pt idx="189">
                  <c:v>5.704511643948166</c:v>
                </c:pt>
                <c:pt idx="190">
                  <c:v>5.6911821189557807</c:v>
                </c:pt>
                <c:pt idx="191">
                  <c:v>5.677929046258793</c:v>
                </c:pt>
                <c:pt idx="192">
                  <c:v>5.6647517405518872</c:v>
                </c:pt>
                <c:pt idx="193">
                  <c:v>5.6516495248714831</c:v>
                </c:pt>
                <c:pt idx="194">
                  <c:v>5.6386217304677144</c:v>
                </c:pt>
                <c:pt idx="195">
                  <c:v>5.625667696678649</c:v>
                </c:pt>
                <c:pt idx="196">
                  <c:v>5.612786770806899</c:v>
                </c:pt>
                <c:pt idx="197">
                  <c:v>5.5999783079984562</c:v>
                </c:pt>
                <c:pt idx="198">
                  <c:v>5.5872416711238273</c:v>
                </c:pt>
                <c:pt idx="199">
                  <c:v>5.5745762306612292</c:v>
                </c:pt>
                <c:pt idx="200">
                  <c:v>5.5619813645820155</c:v>
                </c:pt>
                <c:pt idx="201">
                  <c:v>5.5494564582381187</c:v>
                </c:pt>
                <c:pt idx="202">
                  <c:v>5.53700090425159</c:v>
                </c:pt>
                <c:pt idx="203">
                  <c:v>5.524614102406062</c:v>
                </c:pt>
                <c:pt idx="204">
                  <c:v>5.5122954595402049</c:v>
                </c:pt>
                <c:pt idx="205">
                  <c:v>5.5000443894431443</c:v>
                </c:pt>
                <c:pt idx="206">
                  <c:v>5.4878603127516294</c:v>
                </c:pt>
                <c:pt idx="207">
                  <c:v>5.4757426568491256</c:v>
                </c:pt>
                <c:pt idx="208">
                  <c:v>5.4636908557667203</c:v>
                </c:pt>
                <c:pt idx="209">
                  <c:v>5.4517043500856808</c:v>
                </c:pt>
                <c:pt idx="210">
                  <c:v>5.4397825868418153</c:v>
                </c:pt>
                <c:pt idx="211">
                  <c:v>5.42792501943154</c:v>
                </c:pt>
                <c:pt idx="212">
                  <c:v>5.4161311075194938</c:v>
                </c:pt>
                <c:pt idx="213">
                  <c:v>5.4044003169478643</c:v>
                </c:pt>
                <c:pt idx="214">
                  <c:v>5.3927321196472651</c:v>
                </c:pt>
                <c:pt idx="215">
                  <c:v>5.3811259935491442</c:v>
                </c:pt>
                <c:pt idx="216">
                  <c:v>5.3695814224997687</c:v>
                </c:pt>
                <c:pt idx="217">
                  <c:v>5.3580978961755976</c:v>
                </c:pt>
                <c:pt idx="218">
                  <c:v>5.3466749100002389</c:v>
                </c:pt>
                <c:pt idx="219">
                  <c:v>5.3353119650627363</c:v>
                </c:pt>
                <c:pt idx="220">
                  <c:v>5.324008568037284</c:v>
                </c:pt>
                <c:pt idx="221">
                  <c:v>5.3127642311043468</c:v>
                </c:pt>
                <c:pt idx="222">
                  <c:v>5.3015784718730972</c:v>
                </c:pt>
                <c:pt idx="223">
                  <c:v>5.290450813305136</c:v>
                </c:pt>
                <c:pt idx="224">
                  <c:v>5.2793807836396018</c:v>
                </c:pt>
                <c:pt idx="225">
                  <c:v>5.2683679163194244</c:v>
                </c:pt>
                <c:pt idx="226">
                  <c:v>5.2574117499189192</c:v>
                </c:pt>
                <c:pt idx="227">
                  <c:v>5.2465118280725438</c:v>
                </c:pt>
                <c:pt idx="228">
                  <c:v>5.2356676994048774</c:v>
                </c:pt>
                <c:pt idx="229">
                  <c:v>5.2248789174617327</c:v>
                </c:pt>
                <c:pt idx="230">
                  <c:v>5.2141450406424621</c:v>
                </c:pt>
                <c:pt idx="231">
                  <c:v>5.2034656321333346</c:v>
                </c:pt>
                <c:pt idx="232">
                  <c:v>5.1928402598420753</c:v>
                </c:pt>
                <c:pt idx="233">
                  <c:v>5.1822684963334273</c:v>
                </c:pt>
                <c:pt idx="234">
                  <c:v>5.1717499187658165</c:v>
                </c:pt>
                <c:pt idx="235">
                  <c:v>5.1612841088290144</c:v>
                </c:pt>
                <c:pt idx="236">
                  <c:v>5.1508706526828973</c:v>
                </c:pt>
                <c:pt idx="237">
                  <c:v>5.1405091408970893</c:v>
                </c:pt>
                <c:pt idx="238">
                  <c:v>5.1301991683917141</c:v>
                </c:pt>
                <c:pt idx="239">
                  <c:v>5.119940334378998</c:v>
                </c:pt>
                <c:pt idx="240">
                  <c:v>5.1097322423058786</c:v>
                </c:pt>
                <c:pt idx="241">
                  <c:v>5.0995744997975487</c:v>
                </c:pt>
                <c:pt idx="242">
                  <c:v>5.0894667186018632</c:v>
                </c:pt>
                <c:pt idx="243">
                  <c:v>5.0794085145346726</c:v>
                </c:pt>
                <c:pt idx="244">
                  <c:v>5.0693995074260103</c:v>
                </c:pt>
                <c:pt idx="245">
                  <c:v>5.059439321067166</c:v>
                </c:pt>
                <c:pt idx="246">
                  <c:v>5.0495275831585538</c:v>
                </c:pt>
                <c:pt idx="247">
                  <c:v>5.0396639252584787</c:v>
                </c:pt>
                <c:pt idx="248">
                  <c:v>5.0298479827326377</c:v>
                </c:pt>
                <c:pt idx="249">
                  <c:v>5.0200793947044726</c:v>
                </c:pt>
                <c:pt idx="250">
                  <c:v>5.0103578040062837</c:v>
                </c:pt>
                <c:pt idx="251">
                  <c:v>5.0006828571310837</c:v>
                </c:pt>
                <c:pt idx="252">
                  <c:v>4.9910542041852892</c:v>
                </c:pt>
                <c:pt idx="253">
                  <c:v>4.9814714988420503</c:v>
                </c:pt>
                <c:pt idx="254">
                  <c:v>4.9719343982953408</c:v>
                </c:pt>
                <c:pt idx="255">
                  <c:v>4.9624425632148359</c:v>
                </c:pt>
                <c:pt idx="256">
                  <c:v>4.9529956577013587</c:v>
                </c:pt>
                <c:pt idx="257">
                  <c:v>4.9435933492431126</c:v>
                </c:pt>
                <c:pt idx="258">
                  <c:v>4.9342353086725508</c:v>
                </c:pt>
                <c:pt idx="259">
                  <c:v>4.9249212101239106</c:v>
                </c:pt>
                <c:pt idx="260">
                  <c:v>4.9156507309914099</c:v>
                </c:pt>
                <c:pt idx="261">
                  <c:v>4.9064235518880635</c:v>
                </c:pt>
                <c:pt idx="262">
                  <c:v>4.8972393566051435</c:v>
                </c:pt>
                <c:pt idx="263">
                  <c:v>4.8880978320722503</c:v>
                </c:pt>
                <c:pt idx="264">
                  <c:v>4.8789986683179851</c:v>
                </c:pt>
                <c:pt idx="265">
                  <c:v>4.8699415584312238</c:v>
                </c:pt>
                <c:pt idx="266">
                  <c:v>4.8609261985229697</c:v>
                </c:pt>
                <c:pt idx="267">
                  <c:v>4.8519522876887935</c:v>
                </c:pt>
                <c:pt idx="268">
                  <c:v>4.8430195279718076</c:v>
                </c:pt>
                <c:pt idx="269">
                  <c:v>4.8341276243262081</c:v>
                </c:pt>
                <c:pt idx="270">
                  <c:v>4.8252762845813955</c:v>
                </c:pt>
                <c:pt idx="271">
                  <c:v>4.8164652194065702</c:v>
                </c:pt>
                <c:pt idx="272">
                  <c:v>4.8076941422759027</c:v>
                </c:pt>
                <c:pt idx="273">
                  <c:v>4.798962769434171</c:v>
                </c:pt>
                <c:pt idx="274">
                  <c:v>4.7902708198629602</c:v>
                </c:pt>
                <c:pt idx="275">
                  <c:v>4.7816180152473482</c:v>
                </c:pt>
                <c:pt idx="276">
                  <c:v>4.7730040799430045</c:v>
                </c:pt>
                <c:pt idx="277">
                  <c:v>4.7644287409439059</c:v>
                </c:pt>
                <c:pt idx="278">
                  <c:v>4.7558917278504058</c:v>
                </c:pt>
                <c:pt idx="279">
                  <c:v>4.7473927728378262</c:v>
                </c:pt>
                <c:pt idx="280">
                  <c:v>4.7389316106255155</c:v>
                </c:pt>
                <c:pt idx="281">
                  <c:v>4.7305079784463011</c:v>
                </c:pt>
                <c:pt idx="282">
                  <c:v>4.7221216160164365</c:v>
                </c:pt>
                <c:pt idx="283">
                  <c:v>4.7137722655059795</c:v>
                </c:pt>
                <c:pt idx="284">
                  <c:v>4.7054596715095522</c:v>
                </c:pt>
                <c:pt idx="285">
                  <c:v>4.6971835810175726</c:v>
                </c:pt>
                <c:pt idx="286">
                  <c:v>4.688943743387874</c:v>
                </c:pt>
                <c:pt idx="287">
                  <c:v>4.6807399103177172</c:v>
                </c:pt>
                <c:pt idx="288">
                  <c:v>4.6725718358162371</c:v>
                </c:pt>
                <c:pt idx="289">
                  <c:v>4.664439276177248</c:v>
                </c:pt>
                <c:pt idx="290">
                  <c:v>4.6563419899524634</c:v>
                </c:pt>
                <c:pt idx="291">
                  <c:v>4.6482797379250638</c:v>
                </c:pt>
                <c:pt idx="292">
                  <c:v>4.6402522830836626</c:v>
                </c:pt>
                <c:pt idx="293">
                  <c:v>4.6322593905966158</c:v>
                </c:pt>
                <c:pt idx="294">
                  <c:v>4.6243008277867466</c:v>
                </c:pt>
                <c:pt idx="295">
                  <c:v>4.6163763641063369</c:v>
                </c:pt>
                <c:pt idx="296">
                  <c:v>4.6084857711125409</c:v>
                </c:pt>
                <c:pt idx="297">
                  <c:v>4.6006288224431149</c:v>
                </c:pt>
                <c:pt idx="298">
                  <c:v>4.5928052937924821</c:v>
                </c:pt>
                <c:pt idx="299">
                  <c:v>4.5850149628881383</c:v>
                </c:pt>
                <c:pt idx="300">
                  <c:v>4.5772576094673783</c:v>
                </c:pt>
                <c:pt idx="301">
                  <c:v>4.5695330152543558</c:v>
                </c:pt>
                <c:pt idx="302">
                  <c:v>4.5618409639374367</c:v>
                </c:pt>
                <c:pt idx="303">
                  <c:v>4.5541812411468721</c:v>
                </c:pt>
              </c:numCache>
            </c:numRef>
          </c:xVal>
          <c:yVal>
            <c:numRef>
              <c:f>'OF4.5 - Recordbreaker'!$E$15:$E$318</c:f>
              <c:numCache>
                <c:formatCode>0.00</c:formatCode>
                <c:ptCount val="304"/>
                <c:pt idx="0">
                  <c:v>180.72731142865268</c:v>
                </c:pt>
                <c:pt idx="1">
                  <c:v>180.89143596841578</c:v>
                </c:pt>
                <c:pt idx="2">
                  <c:v>181.05241169570203</c:v>
                </c:pt>
                <c:pt idx="3">
                  <c:v>181.21031552286902</c:v>
                </c:pt>
                <c:pt idx="4">
                  <c:v>181.36522191057091</c:v>
                </c:pt>
                <c:pt idx="5">
                  <c:v>181.51720296466024</c:v>
                </c:pt>
                <c:pt idx="6">
                  <c:v>181.66632852852112</c:v>
                </c:pt>
                <c:pt idx="7">
                  <c:v>181.81266627108272</c:v>
                </c:pt>
                <c:pt idx="8">
                  <c:v>181.95628177074832</c:v>
                </c:pt>
                <c:pt idx="9">
                  <c:v>182.09723859545909</c:v>
                </c:pt>
                <c:pt idx="10">
                  <c:v>182.23559837910051</c:v>
                </c:pt>
                <c:pt idx="11">
                  <c:v>182.37142089444302</c:v>
                </c:pt>
                <c:pt idx="12">
                  <c:v>182.50476412280173</c:v>
                </c:pt>
                <c:pt idx="13">
                  <c:v>182.63568432058474</c:v>
                </c:pt>
                <c:pt idx="14">
                  <c:v>182.76423608289267</c:v>
                </c:pt>
                <c:pt idx="15">
                  <c:v>182.89047240431901</c:v>
                </c:pt>
                <c:pt idx="16">
                  <c:v>183.01444473709705</c:v>
                </c:pt>
                <c:pt idx="17">
                  <c:v>183.13620304672554</c:v>
                </c:pt>
                <c:pt idx="18">
                  <c:v>183.25579586520067</c:v>
                </c:pt>
                <c:pt idx="19">
                  <c:v>183.37327034197409</c:v>
                </c:pt>
                <c:pt idx="20">
                  <c:v>183.48867229274998</c:v>
                </c:pt>
                <c:pt idx="21">
                  <c:v>183.60204624622631</c:v>
                </c:pt>
                <c:pt idx="22">
                  <c:v>183.71343548888274</c:v>
                </c:pt>
                <c:pt idx="23">
                  <c:v>183.82288210790773</c:v>
                </c:pt>
                <c:pt idx="24">
                  <c:v>183.9304270323565</c:v>
                </c:pt>
                <c:pt idx="25">
                  <c:v>184.03611007262336</c:v>
                </c:pt>
                <c:pt idx="26">
                  <c:v>184.13996995830894</c:v>
                </c:pt>
                <c:pt idx="27">
                  <c:v>184.24204437455765</c:v>
                </c:pt>
                <c:pt idx="28">
                  <c:v>184.34236999693849</c:v>
                </c:pt>
                <c:pt idx="29">
                  <c:v>184.44098252493441</c:v>
                </c:pt>
                <c:pt idx="30">
                  <c:v>184.53791671410784</c:v>
                </c:pt>
                <c:pt idx="31">
                  <c:v>184.63320640700039</c:v>
                </c:pt>
                <c:pt idx="32">
                  <c:v>184.72688456282614</c:v>
                </c:pt>
                <c:pt idx="33">
                  <c:v>184.81898328601287</c:v>
                </c:pt>
                <c:pt idx="34">
                  <c:v>184.90953385364264</c:v>
                </c:pt>
                <c:pt idx="35">
                  <c:v>184.99856674184173</c:v>
                </c:pt>
                <c:pt idx="36">
                  <c:v>185.08611165116616</c:v>
                </c:pt>
                <c:pt idx="37">
                  <c:v>185.17219753102714</c:v>
                </c:pt>
                <c:pt idx="38">
                  <c:v>185.25685260319895</c:v>
                </c:pt>
                <c:pt idx="39">
                  <c:v>185.34010438444909</c:v>
                </c:pt>
                <c:pt idx="40">
                  <c:v>185.42197970832854</c:v>
                </c:pt>
                <c:pt idx="41">
                  <c:v>185.5025047461591</c:v>
                </c:pt>
                <c:pt idx="42">
                  <c:v>185.58170502725068</c:v>
                </c:pt>
                <c:pt idx="43">
                  <c:v>185.65960545838303</c:v>
                </c:pt>
                <c:pt idx="44">
                  <c:v>185.73623034258193</c:v>
                </c:pt>
                <c:pt idx="45">
                  <c:v>185.81160339722013</c:v>
                </c:pt>
                <c:pt idx="46">
                  <c:v>185.88574777146985</c:v>
                </c:pt>
                <c:pt idx="47">
                  <c:v>185.95868606313641</c:v>
                </c:pt>
                <c:pt idx="48">
                  <c:v>186.03044033489576</c:v>
                </c:pt>
                <c:pt idx="49">
                  <c:v>186.10103212996188</c:v>
                </c:pt>
                <c:pt idx="50">
                  <c:v>186.17048248720758</c:v>
                </c:pt>
                <c:pt idx="51">
                  <c:v>186.23881195575925</c:v>
                </c:pt>
                <c:pt idx="52">
                  <c:v>186.3060406090886</c:v>
                </c:pt>
                <c:pt idx="53">
                  <c:v>186.37218805862068</c:v>
                </c:pt>
                <c:pt idx="54">
                  <c:v>186.43727346687729</c:v>
                </c:pt>
                <c:pt idx="55">
                  <c:v>186.50131556017431</c:v>
                </c:pt>
                <c:pt idx="56">
                  <c:v>186.56433264089131</c:v>
                </c:pt>
                <c:pt idx="57">
                  <c:v>186.62634259932886</c:v>
                </c:pt>
                <c:pt idx="58">
                  <c:v>186.68736292517076</c:v>
                </c:pt>
                <c:pt idx="59">
                  <c:v>186.7474107185655</c:v>
                </c:pt>
                <c:pt idx="60">
                  <c:v>186.806502700843</c:v>
                </c:pt>
                <c:pt idx="61">
                  <c:v>186.86465522487862</c:v>
                </c:pt>
                <c:pt idx="62">
                  <c:v>186.92188428512011</c:v>
                </c:pt>
                <c:pt idx="63">
                  <c:v>186.97820552728831</c:v>
                </c:pt>
                <c:pt idx="64">
                  <c:v>187.03363425776527</c:v>
                </c:pt>
                <c:pt idx="65">
                  <c:v>187.08818545268079</c:v>
                </c:pt>
                <c:pt idx="66">
                  <c:v>187.14187376670881</c:v>
                </c:pt>
                <c:pt idx="67">
                  <c:v>187.19471354158452</c:v>
                </c:pt>
                <c:pt idx="68">
                  <c:v>187.24671881435219</c:v>
                </c:pt>
                <c:pt idx="69">
                  <c:v>187.29790332535413</c:v>
                </c:pt>
                <c:pt idx="70">
                  <c:v>187.34828052596956</c:v>
                </c:pt>
                <c:pt idx="71">
                  <c:v>187.39786358611295</c:v>
                </c:pt>
                <c:pt idx="72">
                  <c:v>187.44666540150044</c:v>
                </c:pt>
                <c:pt idx="73">
                  <c:v>187.49469860069254</c:v>
                </c:pt>
                <c:pt idx="74">
                  <c:v>187.54197555192107</c:v>
                </c:pt>
                <c:pt idx="75">
                  <c:v>187.58850836970831</c:v>
                </c:pt>
                <c:pt idx="76">
                  <c:v>187.63430892128554</c:v>
                </c:pt>
                <c:pt idx="77">
                  <c:v>187.67938883281741</c:v>
                </c:pt>
                <c:pt idx="78">
                  <c:v>187.7237594954407</c:v>
                </c:pt>
                <c:pt idx="79">
                  <c:v>187.76743207112156</c:v>
                </c:pt>
                <c:pt idx="80">
                  <c:v>187.81041749833946</c:v>
                </c:pt>
                <c:pt idx="81">
                  <c:v>187.85272649760299</c:v>
                </c:pt>
                <c:pt idx="82">
                  <c:v>187.89436957680329</c:v>
                </c:pt>
                <c:pt idx="83">
                  <c:v>187.93535703641064</c:v>
                </c:pt>
                <c:pt idx="84">
                  <c:v>187.9756989745201</c:v>
                </c:pt>
                <c:pt idx="85">
                  <c:v>188.01540529175048</c:v>
                </c:pt>
                <c:pt idx="86">
                  <c:v>188.05448569600205</c:v>
                </c:pt>
                <c:pt idx="87">
                  <c:v>188.09294970707799</c:v>
                </c:pt>
                <c:pt idx="88">
                  <c:v>188.13080666117287</c:v>
                </c:pt>
                <c:pt idx="89">
                  <c:v>188.16806571523489</c:v>
                </c:pt>
                <c:pt idx="90">
                  <c:v>188.20473585120331</c:v>
                </c:pt>
                <c:pt idx="91">
                  <c:v>188.24082588012723</c:v>
                </c:pt>
                <c:pt idx="92">
                  <c:v>188.27634444616857</c:v>
                </c:pt>
                <c:pt idx="93">
                  <c:v>188.31130003049367</c:v>
                </c:pt>
                <c:pt idx="94">
                  <c:v>188.34570095505626</c:v>
                </c:pt>
                <c:pt idx="95">
                  <c:v>188.37955538627637</c:v>
                </c:pt>
                <c:pt idx="96">
                  <c:v>188.41287133861752</c:v>
                </c:pt>
                <c:pt idx="97">
                  <c:v>188.44565667806617</c:v>
                </c:pt>
                <c:pt idx="98">
                  <c:v>188.47791912551605</c:v>
                </c:pt>
                <c:pt idx="99">
                  <c:v>188.50966626006092</c:v>
                </c:pt>
                <c:pt idx="100">
                  <c:v>188.54090552219793</c:v>
                </c:pt>
                <c:pt idx="101">
                  <c:v>188.57164421694492</c:v>
                </c:pt>
                <c:pt idx="102">
                  <c:v>188.60188951687454</c:v>
                </c:pt>
                <c:pt idx="103">
                  <c:v>188.63164846506666</c:v>
                </c:pt>
                <c:pt idx="104">
                  <c:v>188.66092797798348</c:v>
                </c:pt>
                <c:pt idx="105">
                  <c:v>188.68973484826739</c:v>
                </c:pt>
                <c:pt idx="106">
                  <c:v>188.71807574746629</c:v>
                </c:pt>
                <c:pt idx="107">
                  <c:v>188.74595722868668</c:v>
                </c:pt>
                <c:pt idx="108">
                  <c:v>188.77338572917822</c:v>
                </c:pt>
                <c:pt idx="109">
                  <c:v>188.80036757285029</c:v>
                </c:pt>
                <c:pt idx="110">
                  <c:v>188.82690897272442</c:v>
                </c:pt>
                <c:pt idx="111">
                  <c:v>188.85301603332263</c:v>
                </c:pt>
                <c:pt idx="112">
                  <c:v>188.87869475299527</c:v>
                </c:pt>
                <c:pt idx="113">
                  <c:v>188.90395102618899</c:v>
                </c:pt>
                <c:pt idx="114">
                  <c:v>188.92879064565685</c:v>
                </c:pt>
                <c:pt idx="115">
                  <c:v>188.95321930461313</c:v>
                </c:pt>
                <c:pt idx="116">
                  <c:v>188.9772425988331</c:v>
                </c:pt>
                <c:pt idx="117">
                  <c:v>189.00086602870041</c:v>
                </c:pt>
                <c:pt idx="118">
                  <c:v>189.02409500120328</c:v>
                </c:pt>
                <c:pt idx="119">
                  <c:v>189.04693483188086</c:v>
                </c:pt>
                <c:pt idx="120">
                  <c:v>189.06939074672118</c:v>
                </c:pt>
                <c:pt idx="121">
                  <c:v>189.0914678840127</c:v>
                </c:pt>
                <c:pt idx="122">
                  <c:v>189.11317129614957</c:v>
                </c:pt>
                <c:pt idx="123">
                  <c:v>189.13450595139349</c:v>
                </c:pt>
                <c:pt idx="124">
                  <c:v>189.15547673559186</c:v>
                </c:pt>
                <c:pt idx="125">
                  <c:v>189.17608845385445</c:v>
                </c:pt>
                <c:pt idx="126">
                  <c:v>189.19634583218971</c:v>
                </c:pt>
                <c:pt idx="127">
                  <c:v>189.2162535191012</c:v>
                </c:pt>
                <c:pt idx="128">
                  <c:v>189.23581608714608</c:v>
                </c:pt>
                <c:pt idx="129">
                  <c:v>189.25503803445571</c:v>
                </c:pt>
                <c:pt idx="130">
                  <c:v>189.27392378622091</c:v>
                </c:pt>
                <c:pt idx="131">
                  <c:v>189.29247769614125</c:v>
                </c:pt>
                <c:pt idx="132">
                  <c:v>189.31070404784029</c:v>
                </c:pt>
                <c:pt idx="133">
                  <c:v>189.32860705624759</c:v>
                </c:pt>
                <c:pt idx="134">
                  <c:v>189.34619086894818</c:v>
                </c:pt>
                <c:pt idx="135">
                  <c:v>189.36345956750048</c:v>
                </c:pt>
                <c:pt idx="136">
                  <c:v>189.38041716872382</c:v>
                </c:pt>
                <c:pt idx="137">
                  <c:v>189.39706762595571</c:v>
                </c:pt>
                <c:pt idx="138">
                  <c:v>189.41341483028015</c:v>
                </c:pt>
                <c:pt idx="139">
                  <c:v>189.42946261172801</c:v>
                </c:pt>
                <c:pt idx="140">
                  <c:v>189.44521474044956</c:v>
                </c:pt>
                <c:pt idx="141">
                  <c:v>189.46067492786011</c:v>
                </c:pt>
                <c:pt idx="142">
                  <c:v>189.47584682776005</c:v>
                </c:pt>
                <c:pt idx="143">
                  <c:v>189.49073403742921</c:v>
                </c:pt>
                <c:pt idx="144">
                  <c:v>189.50534009869622</c:v>
                </c:pt>
                <c:pt idx="145">
                  <c:v>189.5196684989846</c:v>
                </c:pt>
                <c:pt idx="146">
                  <c:v>189.53372267233433</c:v>
                </c:pt>
                <c:pt idx="147">
                  <c:v>189.54750600040182</c:v>
                </c:pt>
                <c:pt idx="148">
                  <c:v>189.56102181343644</c:v>
                </c:pt>
                <c:pt idx="149">
                  <c:v>189.57427339123626</c:v>
                </c:pt>
                <c:pt idx="150">
                  <c:v>189.58726396408235</c:v>
                </c:pt>
                <c:pt idx="151">
                  <c:v>189.59999671365239</c:v>
                </c:pt>
                <c:pt idx="152">
                  <c:v>189.6124747739145</c:v>
                </c:pt>
                <c:pt idx="153">
                  <c:v>189.62470123200137</c:v>
                </c:pt>
                <c:pt idx="154">
                  <c:v>189.63667912906553</c:v>
                </c:pt>
                <c:pt idx="155">
                  <c:v>189.64841146111564</c:v>
                </c:pt>
                <c:pt idx="156">
                  <c:v>189.65990117983546</c:v>
                </c:pt>
                <c:pt idx="157">
                  <c:v>189.67115119338428</c:v>
                </c:pt>
                <c:pt idx="158">
                  <c:v>189.68216436718077</c:v>
                </c:pt>
                <c:pt idx="159">
                  <c:v>189.69294352467003</c:v>
                </c:pt>
                <c:pt idx="160">
                  <c:v>189.70349144807398</c:v>
                </c:pt>
                <c:pt idx="161">
                  <c:v>189.71381087912599</c:v>
                </c:pt>
                <c:pt idx="162">
                  <c:v>189.72390451979004</c:v>
                </c:pt>
                <c:pt idx="163">
                  <c:v>189.7337750329645</c:v>
                </c:pt>
                <c:pt idx="164">
                  <c:v>189.7434250431715</c:v>
                </c:pt>
                <c:pt idx="165">
                  <c:v>189.75285713723113</c:v>
                </c:pt>
                <c:pt idx="166">
                  <c:v>189.76207386492254</c:v>
                </c:pt>
                <c:pt idx="167">
                  <c:v>189.77107773963041</c:v>
                </c:pt>
                <c:pt idx="168">
                  <c:v>189.77987123897839</c:v>
                </c:pt>
                <c:pt idx="169">
                  <c:v>189.78845680544967</c:v>
                </c:pt>
                <c:pt idx="170">
                  <c:v>189.79683684699438</c:v>
                </c:pt>
                <c:pt idx="171">
                  <c:v>189.80501373762465</c:v>
                </c:pt>
                <c:pt idx="172">
                  <c:v>189.81298981799739</c:v>
                </c:pt>
                <c:pt idx="173">
                  <c:v>189.82076739598563</c:v>
                </c:pt>
                <c:pt idx="174">
                  <c:v>189.82834874723775</c:v>
                </c:pt>
                <c:pt idx="175">
                  <c:v>189.83192185952259</c:v>
                </c:pt>
                <c:pt idx="176">
                  <c:v>189.83573611572544</c:v>
                </c:pt>
                <c:pt idx="177">
                  <c:v>189.84293171428101</c:v>
                </c:pt>
                <c:pt idx="178">
                  <c:v>189.84993772512325</c:v>
                </c:pt>
                <c:pt idx="179">
                  <c:v>189.85675630037341</c:v>
                </c:pt>
                <c:pt idx="180">
                  <c:v>189.86338956256034</c:v>
                </c:pt>
                <c:pt idx="181">
                  <c:v>189.86983960511589</c:v>
                </c:pt>
                <c:pt idx="182">
                  <c:v>189.87610849286023</c:v>
                </c:pt>
                <c:pt idx="183">
                  <c:v>189.88219826247783</c:v>
                </c:pt>
                <c:pt idx="184">
                  <c:v>189.88811092298366</c:v>
                </c:pt>
                <c:pt idx="185">
                  <c:v>189.89384845618079</c:v>
                </c:pt>
                <c:pt idx="186">
                  <c:v>189.89941281710841</c:v>
                </c:pt>
                <c:pt idx="187">
                  <c:v>189.9048059344814</c:v>
                </c:pt>
                <c:pt idx="188">
                  <c:v>189.91002971112164</c:v>
                </c:pt>
                <c:pt idx="189">
                  <c:v>189.91508602437997</c:v>
                </c:pt>
                <c:pt idx="190">
                  <c:v>189.91997672655128</c:v>
                </c:pt>
                <c:pt idx="191">
                  <c:v>189.92470364528054</c:v>
                </c:pt>
                <c:pt idx="192">
                  <c:v>189.92926858396154</c:v>
                </c:pt>
                <c:pt idx="193">
                  <c:v>189.93367332212779</c:v>
                </c:pt>
                <c:pt idx="194">
                  <c:v>189.93791961583605</c:v>
                </c:pt>
                <c:pt idx="195">
                  <c:v>189.94200919804248</c:v>
                </c:pt>
                <c:pt idx="196">
                  <c:v>189.94594377897175</c:v>
                </c:pt>
                <c:pt idx="197">
                  <c:v>189.94972504647899</c:v>
                </c:pt>
                <c:pt idx="198">
                  <c:v>189.95335466640498</c:v>
                </c:pt>
                <c:pt idx="199">
                  <c:v>189.9568342829248</c:v>
                </c:pt>
                <c:pt idx="200">
                  <c:v>189.96016551888965</c:v>
                </c:pt>
                <c:pt idx="201">
                  <c:v>189.96334997616259</c:v>
                </c:pt>
                <c:pt idx="202">
                  <c:v>189.96638923594762</c:v>
                </c:pt>
                <c:pt idx="203">
                  <c:v>189.9692848591132</c:v>
                </c:pt>
                <c:pt idx="204">
                  <c:v>189.97203838650907</c:v>
                </c:pt>
                <c:pt idx="205">
                  <c:v>189.97465133927798</c:v>
                </c:pt>
                <c:pt idx="206">
                  <c:v>189.977125219161</c:v>
                </c:pt>
                <c:pt idx="207">
                  <c:v>189.97946150879756</c:v>
                </c:pt>
                <c:pt idx="208">
                  <c:v>189.98166167202015</c:v>
                </c:pt>
                <c:pt idx="209">
                  <c:v>189.98372715414303</c:v>
                </c:pt>
                <c:pt idx="210">
                  <c:v>189.9856593822465</c:v>
                </c:pt>
                <c:pt idx="211">
                  <c:v>189.98745976545521</c:v>
                </c:pt>
                <c:pt idx="212">
                  <c:v>189.98912969521217</c:v>
                </c:pt>
                <c:pt idx="213">
                  <c:v>189.99067054554709</c:v>
                </c:pt>
                <c:pt idx="214">
                  <c:v>189.99208367334063</c:v>
                </c:pt>
                <c:pt idx="215">
                  <c:v>189.99337041858303</c:v>
                </c:pt>
                <c:pt idx="216">
                  <c:v>189.99453210462914</c:v>
                </c:pt>
                <c:pt idx="217">
                  <c:v>189.99557003844794</c:v>
                </c:pt>
                <c:pt idx="218">
                  <c:v>189.99648551086844</c:v>
                </c:pt>
                <c:pt idx="219">
                  <c:v>189.99727979682041</c:v>
                </c:pt>
                <c:pt idx="220">
                  <c:v>189.99795415557159</c:v>
                </c:pt>
                <c:pt idx="221">
                  <c:v>189.99850983096024</c:v>
                </c:pt>
                <c:pt idx="222">
                  <c:v>189.99894805162367</c:v>
                </c:pt>
                <c:pt idx="223">
                  <c:v>189.9992700312232</c:v>
                </c:pt>
                <c:pt idx="224">
                  <c:v>189.99947696866442</c:v>
                </c:pt>
                <c:pt idx="225">
                  <c:v>189.99957004831413</c:v>
                </c:pt>
                <c:pt idx="226">
                  <c:v>189.99955044021357</c:v>
                </c:pt>
                <c:pt idx="227">
                  <c:v>189.99941930028754</c:v>
                </c:pt>
                <c:pt idx="228">
                  <c:v>189.99917777055032</c:v>
                </c:pt>
                <c:pt idx="229">
                  <c:v>189.99882697930778</c:v>
                </c:pt>
                <c:pt idx="230">
                  <c:v>189.99836804135603</c:v>
                </c:pt>
                <c:pt idx="231">
                  <c:v>189.9978020581768</c:v>
                </c:pt>
                <c:pt idx="232">
                  <c:v>189.99713011812946</c:v>
                </c:pt>
                <c:pt idx="233">
                  <c:v>189.99635329663954</c:v>
                </c:pt>
                <c:pt idx="234">
                  <c:v>189.99547265638435</c:v>
                </c:pt>
                <c:pt idx="235">
                  <c:v>189.99448924747529</c:v>
                </c:pt>
                <c:pt idx="236">
                  <c:v>189.99340410763696</c:v>
                </c:pt>
                <c:pt idx="237">
                  <c:v>189.99221826238363</c:v>
                </c:pt>
                <c:pt idx="238">
                  <c:v>189.99093272519224</c:v>
                </c:pt>
                <c:pt idx="239">
                  <c:v>189.98954849767307</c:v>
                </c:pt>
                <c:pt idx="240">
                  <c:v>189.98806656973667</c:v>
                </c:pt>
                <c:pt idx="241">
                  <c:v>189.98648791975936</c:v>
                </c:pt>
                <c:pt idx="242">
                  <c:v>189.98481351474442</c:v>
                </c:pt>
                <c:pt idx="243">
                  <c:v>189.98304431048189</c:v>
                </c:pt>
                <c:pt idx="244">
                  <c:v>189.98118125170507</c:v>
                </c:pt>
                <c:pt idx="245">
                  <c:v>189.97922527224435</c:v>
                </c:pt>
                <c:pt idx="246">
                  <c:v>189.97717729517908</c:v>
                </c:pt>
                <c:pt idx="247">
                  <c:v>189.97503823298618</c:v>
                </c:pt>
                <c:pt idx="248">
                  <c:v>189.97280898768722</c:v>
                </c:pt>
                <c:pt idx="249">
                  <c:v>189.9704904509922</c:v>
                </c:pt>
                <c:pt idx="250">
                  <c:v>189.96808350444152</c:v>
                </c:pt>
                <c:pt idx="251">
                  <c:v>189.96558901954558</c:v>
                </c:pt>
                <c:pt idx="252">
                  <c:v>189.96300785792192</c:v>
                </c:pt>
                <c:pt idx="253">
                  <c:v>189.96034087143042</c:v>
                </c:pt>
                <c:pt idx="254">
                  <c:v>189.95758890230604</c:v>
                </c:pt>
                <c:pt idx="255">
                  <c:v>189.95475278328965</c:v>
                </c:pt>
                <c:pt idx="256">
                  <c:v>189.9518333377566</c:v>
                </c:pt>
                <c:pt idx="257">
                  <c:v>189.94883137984328</c:v>
                </c:pt>
                <c:pt idx="258">
                  <c:v>189.94574771457187</c:v>
                </c:pt>
                <c:pt idx="259">
                  <c:v>189.94258313797263</c:v>
                </c:pt>
                <c:pt idx="260">
                  <c:v>189.93933843720467</c:v>
                </c:pt>
                <c:pt idx="261">
                  <c:v>189.93601439067481</c:v>
                </c:pt>
                <c:pt idx="262">
                  <c:v>189.93261176815406</c:v>
                </c:pt>
                <c:pt idx="263">
                  <c:v>189.92913133089303</c:v>
                </c:pt>
                <c:pt idx="264">
                  <c:v>189.92557383173477</c:v>
                </c:pt>
                <c:pt idx="265">
                  <c:v>189.92194001522643</c:v>
                </c:pt>
                <c:pt idx="266">
                  <c:v>189.91823061772885</c:v>
                </c:pt>
                <c:pt idx="267">
                  <c:v>189.91444636752448</c:v>
                </c:pt>
                <c:pt idx="268">
                  <c:v>189.91058798492372</c:v>
                </c:pt>
                <c:pt idx="269">
                  <c:v>189.90665618236952</c:v>
                </c:pt>
                <c:pt idx="270">
                  <c:v>189.90265166454043</c:v>
                </c:pt>
                <c:pt idx="271">
                  <c:v>189.89857512845197</c:v>
                </c:pt>
                <c:pt idx="272">
                  <c:v>189.89442726355637</c:v>
                </c:pt>
                <c:pt idx="273">
                  <c:v>189.89020875184144</c:v>
                </c:pt>
                <c:pt idx="274">
                  <c:v>189.88592026792642</c:v>
                </c:pt>
                <c:pt idx="275">
                  <c:v>189.88156247915822</c:v>
                </c:pt>
                <c:pt idx="276">
                  <c:v>189.87713604570493</c:v>
                </c:pt>
                <c:pt idx="277">
                  <c:v>189.87264162064812</c:v>
                </c:pt>
                <c:pt idx="278">
                  <c:v>189.86807985007411</c:v>
                </c:pt>
                <c:pt idx="279">
                  <c:v>189.86345137316363</c:v>
                </c:pt>
                <c:pt idx="280">
                  <c:v>189.85875682228001</c:v>
                </c:pt>
                <c:pt idx="281">
                  <c:v>189.85399682305609</c:v>
                </c:pt>
                <c:pt idx="282">
                  <c:v>189.84917199448023</c:v>
                </c:pt>
                <c:pt idx="283">
                  <c:v>189.84428294898035</c:v>
                </c:pt>
                <c:pt idx="284">
                  <c:v>189.8393302925071</c:v>
                </c:pt>
                <c:pt idx="285">
                  <c:v>189.83431462461596</c:v>
                </c:pt>
                <c:pt idx="286">
                  <c:v>189.82923653854763</c:v>
                </c:pt>
                <c:pt idx="287">
                  <c:v>189.82409662130766</c:v>
                </c:pt>
                <c:pt idx="288">
                  <c:v>189.81889545374463</c:v>
                </c:pt>
                <c:pt idx="289">
                  <c:v>189.81363361062751</c:v>
                </c:pt>
                <c:pt idx="290">
                  <c:v>189.80831166072105</c:v>
                </c:pt>
                <c:pt idx="291">
                  <c:v>189.80293016686144</c:v>
                </c:pt>
                <c:pt idx="292">
                  <c:v>189.79748968602954</c:v>
                </c:pt>
                <c:pt idx="293">
                  <c:v>189.79199076942362</c:v>
                </c:pt>
                <c:pt idx="294">
                  <c:v>189.78643396253122</c:v>
                </c:pt>
                <c:pt idx="295">
                  <c:v>189.78081980519943</c:v>
                </c:pt>
                <c:pt idx="296">
                  <c:v>189.77514883170471</c:v>
                </c:pt>
                <c:pt idx="297">
                  <c:v>189.76942157082121</c:v>
                </c:pt>
                <c:pt idx="298">
                  <c:v>189.76363854588851</c:v>
                </c:pt>
                <c:pt idx="299">
                  <c:v>189.75780027487789</c:v>
                </c:pt>
                <c:pt idx="300">
                  <c:v>189.75190727045845</c:v>
                </c:pt>
                <c:pt idx="301">
                  <c:v>189.74596004006108</c:v>
                </c:pt>
                <c:pt idx="302">
                  <c:v>189.7399590859429</c:v>
                </c:pt>
                <c:pt idx="303">
                  <c:v>189.7339049052496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8C4-4DAC-9DE9-A7A6662706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5192232"/>
        <c:axId val="225189488"/>
      </c:scatterChart>
      <c:valAx>
        <c:axId val="225192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Nozzle Area Expansion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189488"/>
        <c:crosses val="autoZero"/>
        <c:crossBetween val="midCat"/>
      </c:valAx>
      <c:valAx>
        <c:axId val="22518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</a:t>
                </a:r>
                <a:r>
                  <a:rPr lang="en-US" baseline="-25000"/>
                  <a:t>sp</a:t>
                </a:r>
                <a:r>
                  <a:rPr lang="en-US" baseline="0"/>
                  <a:t> Initial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192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47</xdr:row>
      <xdr:rowOff>184785</xdr:rowOff>
    </xdr:from>
    <xdr:to>
      <xdr:col>17</xdr:col>
      <xdr:colOff>9525</xdr:colOff>
      <xdr:row>69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47</xdr:row>
      <xdr:rowOff>184785</xdr:rowOff>
    </xdr:from>
    <xdr:to>
      <xdr:col>17</xdr:col>
      <xdr:colOff>9525</xdr:colOff>
      <xdr:row>69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47</xdr:row>
      <xdr:rowOff>184785</xdr:rowOff>
    </xdr:from>
    <xdr:to>
      <xdr:col>17</xdr:col>
      <xdr:colOff>9525</xdr:colOff>
      <xdr:row>69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607695</xdr:colOff>
      <xdr:row>46</xdr:row>
      <xdr:rowOff>13335</xdr:rowOff>
    </xdr:from>
    <xdr:to>
      <xdr:col>17</xdr:col>
      <xdr:colOff>0</xdr:colOff>
      <xdr:row>68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607695</xdr:colOff>
      <xdr:row>46</xdr:row>
      <xdr:rowOff>13335</xdr:rowOff>
    </xdr:from>
    <xdr:to>
      <xdr:col>17</xdr:col>
      <xdr:colOff>0</xdr:colOff>
      <xdr:row>68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47</xdr:row>
      <xdr:rowOff>184785</xdr:rowOff>
    </xdr:from>
    <xdr:to>
      <xdr:col>17</xdr:col>
      <xdr:colOff>9525</xdr:colOff>
      <xdr:row>69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607695</xdr:colOff>
      <xdr:row>46</xdr:row>
      <xdr:rowOff>13335</xdr:rowOff>
    </xdr:from>
    <xdr:to>
      <xdr:col>17</xdr:col>
      <xdr:colOff>0</xdr:colOff>
      <xdr:row>68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S318"/>
  <sheetViews>
    <sheetView topLeftCell="A15" workbookViewId="0">
      <selection activeCell="H10" sqref="H10"/>
    </sheetView>
  </sheetViews>
  <sheetFormatPr defaultRowHeight="14.4" x14ac:dyDescent="0.55000000000000004"/>
  <cols>
    <col min="1" max="1" width="11.68359375" bestFit="1" customWidth="1"/>
    <col min="2" max="3" width="9" bestFit="1" customWidth="1"/>
    <col min="4" max="5" width="9.578125" bestFit="1" customWidth="1"/>
    <col min="8" max="8" width="10.26171875" customWidth="1"/>
    <col min="11" max="11" width="22.68359375" customWidth="1"/>
    <col min="14" max="14" width="9.15625" customWidth="1"/>
  </cols>
  <sheetData>
    <row r="1" spans="1:14" x14ac:dyDescent="0.55000000000000004">
      <c r="A1" s="25" t="s">
        <v>0</v>
      </c>
      <c r="B1" s="12">
        <f>CONVERT(23000, "ft", "m")</f>
        <v>7010.4</v>
      </c>
      <c r="C1" s="25" t="str">
        <f>"---&gt;"</f>
        <v>---&gt;</v>
      </c>
      <c r="D1" s="1" t="s">
        <v>1</v>
      </c>
      <c r="E1" s="4">
        <f>SQRT(2*9.81*(B1-500))*1.5</f>
        <v>536.09850587368737</v>
      </c>
      <c r="F1" s="25"/>
      <c r="G1" s="25"/>
      <c r="H1" s="25"/>
      <c r="I1" s="25"/>
      <c r="J1" s="25"/>
      <c r="K1" s="25"/>
      <c r="L1" s="25"/>
      <c r="M1" s="25"/>
      <c r="N1" s="25"/>
    </row>
    <row r="2" spans="1:14" x14ac:dyDescent="0.55000000000000004">
      <c r="A2" s="25" t="s">
        <v>2</v>
      </c>
      <c r="B2" s="12">
        <v>5.4</v>
      </c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</row>
    <row r="3" spans="1:14" ht="16.8" x14ac:dyDescent="0.75">
      <c r="A3" s="25" t="s">
        <v>3</v>
      </c>
      <c r="B3" s="13">
        <f>CONVERT(350,"psi","Pa")/1000</f>
        <v>2413.165052608927</v>
      </c>
      <c r="C3" s="25"/>
      <c r="D3" s="25" t="s">
        <v>4</v>
      </c>
      <c r="E3" s="25">
        <v>1311</v>
      </c>
      <c r="F3" s="25"/>
      <c r="G3" s="25"/>
      <c r="H3" s="25"/>
      <c r="I3" s="25"/>
      <c r="J3" s="25"/>
      <c r="K3" s="25"/>
      <c r="L3" s="25"/>
      <c r="M3" s="25"/>
      <c r="N3" s="25"/>
    </row>
    <row r="4" spans="1:14" ht="16.8" x14ac:dyDescent="0.75">
      <c r="A4" s="1" t="s">
        <v>5</v>
      </c>
      <c r="B4" s="12">
        <v>10</v>
      </c>
      <c r="C4" s="25"/>
      <c r="D4" s="25" t="s">
        <v>6</v>
      </c>
      <c r="E4" s="4">
        <f>101.325*(1 - 0.0065*E3/288.16)^(-9.81/-0.0065/287)</f>
        <v>86.528880457303998</v>
      </c>
      <c r="F4" s="2" t="s">
        <v>7</v>
      </c>
      <c r="G4" s="25"/>
      <c r="H4" s="25"/>
      <c r="I4" s="25"/>
      <c r="J4" s="25"/>
      <c r="K4" s="25"/>
      <c r="L4" s="25"/>
      <c r="M4" s="25"/>
      <c r="N4" s="25"/>
    </row>
    <row r="5" spans="1:14" ht="16.8" x14ac:dyDescent="0.75">
      <c r="A5" s="1" t="s">
        <v>8</v>
      </c>
      <c r="B5" s="25">
        <v>0.9</v>
      </c>
      <c r="C5" s="25"/>
      <c r="D5" s="1" t="s">
        <v>9</v>
      </c>
      <c r="E5" s="4">
        <f>101.325*(1 - 0.0065*2/3*B1/288.16)^(-9.81/-0.0065/287)</f>
        <v>56.401942621880451</v>
      </c>
      <c r="F5" s="2" t="s">
        <v>10</v>
      </c>
      <c r="G5" s="25"/>
      <c r="H5" s="25"/>
      <c r="I5" s="25"/>
      <c r="J5" s="25"/>
      <c r="K5" s="25"/>
      <c r="L5" s="25"/>
      <c r="M5" s="25"/>
      <c r="N5" s="25"/>
    </row>
    <row r="6" spans="1:14" x14ac:dyDescent="0.55000000000000004">
      <c r="A6" s="1" t="s">
        <v>11</v>
      </c>
      <c r="B6" s="25">
        <v>0.9</v>
      </c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</row>
    <row r="7" spans="1:14" ht="16.8" x14ac:dyDescent="0.75">
      <c r="A7" s="1" t="s">
        <v>12</v>
      </c>
      <c r="B7" s="25">
        <f>19/30</f>
        <v>0.6333333333333333</v>
      </c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</row>
    <row r="9" spans="1:14" x14ac:dyDescent="0.55000000000000004">
      <c r="A9" s="1" t="s">
        <v>13</v>
      </c>
      <c r="B9" s="25">
        <v>1.19</v>
      </c>
      <c r="C9" s="25"/>
      <c r="D9" s="25"/>
      <c r="E9" s="25"/>
      <c r="F9" s="25"/>
      <c r="G9" s="25"/>
      <c r="H9" s="25" t="s">
        <v>14</v>
      </c>
      <c r="I9" s="25"/>
      <c r="J9" s="25"/>
      <c r="K9" s="25"/>
      <c r="L9" s="25"/>
      <c r="M9" s="25"/>
      <c r="N9" s="25"/>
    </row>
    <row r="10" spans="1:14" x14ac:dyDescent="0.55000000000000004">
      <c r="A10" s="1" t="s">
        <v>15</v>
      </c>
      <c r="B10" s="25">
        <v>24.527999999999999</v>
      </c>
      <c r="C10" s="25" t="str">
        <f>"---&gt;"</f>
        <v>---&gt;</v>
      </c>
      <c r="D10" s="25" t="s">
        <v>16</v>
      </c>
      <c r="E10" s="25">
        <f>8314/B10</f>
        <v>338.95955642530987</v>
      </c>
      <c r="F10" s="25"/>
      <c r="G10" s="25"/>
      <c r="H10" s="4">
        <f>E244</f>
        <v>192.32907204612999</v>
      </c>
      <c r="I10" s="25"/>
      <c r="J10" s="25"/>
      <c r="K10" s="25"/>
      <c r="L10" s="25"/>
      <c r="M10" s="25"/>
      <c r="N10" s="6"/>
    </row>
    <row r="11" spans="1:14" ht="16.8" x14ac:dyDescent="0.75">
      <c r="A11" s="1" t="s">
        <v>17</v>
      </c>
      <c r="B11" s="25">
        <v>3100</v>
      </c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</row>
    <row r="12" spans="1:14" x14ac:dyDescent="0.55000000000000004">
      <c r="A12" s="1" t="s">
        <v>18</v>
      </c>
      <c r="B12" s="4">
        <f>B5*SQRT(B9*E10*B11)/B9/(2/(B9 + 1))^((B9 + 1)/(2*B9 - 2))</f>
        <v>1426.8345240214944</v>
      </c>
      <c r="C12" s="25"/>
      <c r="D12" s="25"/>
      <c r="E12" s="25"/>
      <c r="F12" s="25"/>
      <c r="G12" s="25"/>
      <c r="H12" s="25" t="s">
        <v>19</v>
      </c>
      <c r="I12" s="25"/>
      <c r="J12" s="25" t="s">
        <v>20</v>
      </c>
      <c r="K12" s="25"/>
      <c r="L12" s="25"/>
      <c r="M12" s="25" t="s">
        <v>21</v>
      </c>
      <c r="N12" s="25"/>
    </row>
    <row r="13" spans="1:14" ht="17.7" x14ac:dyDescent="0.75">
      <c r="A13" s="25"/>
      <c r="B13" s="25"/>
      <c r="C13" s="25"/>
      <c r="D13" s="9" t="s">
        <v>22</v>
      </c>
      <c r="E13" s="3" t="s">
        <v>23</v>
      </c>
      <c r="F13" s="25"/>
      <c r="G13" s="25"/>
      <c r="H13" s="1" t="s">
        <v>24</v>
      </c>
      <c r="I13" s="25">
        <f>0.2*B3</f>
        <v>482.63301052178542</v>
      </c>
      <c r="J13" s="25">
        <f>CONVERT(I13*1000, "Pa", "psi")</f>
        <v>70.000000000000014</v>
      </c>
      <c r="K13" s="25"/>
      <c r="L13" s="25"/>
      <c r="M13" s="25" t="s">
        <v>25</v>
      </c>
      <c r="N13" s="25">
        <f>I26*B12/(B3*1000)</f>
        <v>1.2253575891453751E-3</v>
      </c>
    </row>
    <row r="14" spans="1:14" ht="17.7" x14ac:dyDescent="0.75">
      <c r="A14" s="25" t="s">
        <v>26</v>
      </c>
      <c r="B14" s="25" t="s">
        <v>27</v>
      </c>
      <c r="C14" s="1" t="s">
        <v>28</v>
      </c>
      <c r="D14" s="1" t="s">
        <v>29</v>
      </c>
      <c r="E14" s="1" t="s">
        <v>29</v>
      </c>
      <c r="F14" s="25"/>
      <c r="G14" s="25"/>
      <c r="H14" s="1" t="s">
        <v>30</v>
      </c>
      <c r="I14" s="25">
        <v>0</v>
      </c>
      <c r="J14" s="2" t="s">
        <v>31</v>
      </c>
      <c r="K14" s="25"/>
      <c r="L14" s="25"/>
      <c r="M14" s="25" t="s">
        <v>32</v>
      </c>
      <c r="N14" s="25">
        <f>N13*C244</f>
        <v>5.7169102157342503E-3</v>
      </c>
    </row>
    <row r="15" spans="1:14" ht="16.8" x14ac:dyDescent="0.75">
      <c r="A15" s="25">
        <v>29.5</v>
      </c>
      <c r="B15" s="4">
        <f>SQRT(2/($B$9-1)*((A15/$B$3)^((1-$B$9)/$B$9) - 1))</f>
        <v>3.277071336395633</v>
      </c>
      <c r="C15" s="4">
        <f>1/B15*(2/($B$9+1)*(1 + ($B$9-1)/2*B15^2))^(($B$9+1)/(2*$B$9-2))</f>
        <v>10.409493444728808</v>
      </c>
      <c r="D15" s="4">
        <f t="shared" ref="D15:D78" si="0">$B$6*$B$12/9.81*($B$9*SQRT(2/($B$9-1)*(2/($B$9+1))^(($B$9+1)/($B$9-1))*(1 - (A15/$B$3)^(($B$9-1)/$B$9))) + C15/$B$3*(A15 - $E$5))</f>
        <v>197.68729278296695</v>
      </c>
      <c r="E15" s="4">
        <f t="shared" ref="E15:E78" si="1">$B$6*$B$12/9.81*($B$9*SQRT(2/($B$9-1)*(2/($B$9+1))^(($B$9+1)/($B$9-1))*(1 - (A15/$B$3)^(($B$9-1)/$B$9))) + C15/$B$3*(A15 - $E$4))</f>
        <v>180.6757120230709</v>
      </c>
      <c r="F15" s="25"/>
      <c r="G15" s="25"/>
      <c r="H15" s="1" t="s">
        <v>33</v>
      </c>
      <c r="I15" s="25">
        <f>0.5*B3/E10/B11*1^2</f>
        <v>1.1482790863912358E-3</v>
      </c>
      <c r="J15" s="2" t="s">
        <v>34</v>
      </c>
      <c r="K15" s="25"/>
      <c r="L15" s="25"/>
      <c r="M15" s="10" t="s">
        <v>35</v>
      </c>
      <c r="N15" s="25"/>
    </row>
    <row r="16" spans="1:14" ht="16.8" x14ac:dyDescent="0.75">
      <c r="A16" s="25">
        <v>29.75</v>
      </c>
      <c r="B16" s="4">
        <f t="shared" ref="B16:B78" si="2">SQRT(2/($B$9-1)*((A16/$B$3)^((1-$B$9)/$B$9) - 1))</f>
        <v>3.2726996595280777</v>
      </c>
      <c r="C16" s="4">
        <f t="shared" ref="C16:C78" si="3">1/B16*(2/($B$9+1)*(1 + ($B$9-1)/2*B16^2))^(($B$9+1)/(2*$B$9-2))</f>
        <v>10.342772365307727</v>
      </c>
      <c r="D16" s="4">
        <f t="shared" si="0"/>
        <v>197.78420739299571</v>
      </c>
      <c r="E16" s="4">
        <f t="shared" si="1"/>
        <v>180.88166469887932</v>
      </c>
      <c r="F16" s="25"/>
      <c r="G16" s="25"/>
      <c r="H16" s="1" t="s">
        <v>36</v>
      </c>
      <c r="I16" s="15">
        <f>B3+I13+I14+I15</f>
        <v>2895.7992114097988</v>
      </c>
      <c r="J16" s="4">
        <f>CONVERT(I16*1000, "Pa", "psi")</f>
        <v>420.00016654380107</v>
      </c>
      <c r="K16" s="25"/>
      <c r="L16" s="25"/>
      <c r="M16" s="25"/>
      <c r="N16" s="25"/>
    </row>
    <row r="17" spans="1:19" x14ac:dyDescent="0.55000000000000004">
      <c r="A17" s="25">
        <v>30</v>
      </c>
      <c r="B17" s="4">
        <f t="shared" si="2"/>
        <v>3.268364616207426</v>
      </c>
      <c r="C17" s="4">
        <f t="shared" si="3"/>
        <v>10.277049891099866</v>
      </c>
      <c r="D17" s="4">
        <f t="shared" si="0"/>
        <v>197.87878020627463</v>
      </c>
      <c r="E17" s="4">
        <f t="shared" si="1"/>
        <v>181.08364362021371</v>
      </c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1:19" x14ac:dyDescent="0.55000000000000004">
      <c r="A18" s="25">
        <v>30.25</v>
      </c>
      <c r="B18" s="4">
        <f t="shared" si="2"/>
        <v>3.2640655905216245</v>
      </c>
      <c r="C18" s="4">
        <f t="shared" si="3"/>
        <v>10.21230290209227</v>
      </c>
      <c r="D18" s="4">
        <f t="shared" si="0"/>
        <v>197.97107126345506</v>
      </c>
      <c r="E18" s="4">
        <f t="shared" si="1"/>
        <v>181.28174661130922</v>
      </c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</row>
    <row r="19" spans="1:19" x14ac:dyDescent="0.55000000000000004">
      <c r="A19" s="25">
        <v>30.5</v>
      </c>
      <c r="B19" s="4">
        <f t="shared" si="2"/>
        <v>3.2598019819280841</v>
      </c>
      <c r="C19" s="4">
        <f t="shared" si="3"/>
        <v>10.148508999391336</v>
      </c>
      <c r="D19" s="4">
        <f t="shared" si="0"/>
        <v>198.06113864644644</v>
      </c>
      <c r="E19" s="4">
        <f t="shared" si="1"/>
        <v>181.47606835917892</v>
      </c>
      <c r="F19" s="25"/>
      <c r="G19" s="25"/>
      <c r="H19" s="25" t="s">
        <v>37</v>
      </c>
      <c r="I19" s="25"/>
      <c r="J19" s="25"/>
      <c r="K19" s="25" t="s">
        <v>38</v>
      </c>
      <c r="L19" s="25"/>
      <c r="M19" s="25"/>
      <c r="N19" s="25"/>
      <c r="O19" s="25"/>
      <c r="P19" s="25"/>
      <c r="Q19" s="25"/>
      <c r="R19" s="25"/>
      <c r="S19" s="25"/>
    </row>
    <row r="20" spans="1:19" ht="17.7" x14ac:dyDescent="0.75">
      <c r="A20" s="25">
        <v>30.75</v>
      </c>
      <c r="B20" s="4">
        <f t="shared" si="2"/>
        <v>3.2555732047473813</v>
      </c>
      <c r="C20" s="4">
        <f t="shared" si="3"/>
        <v>10.085646477034452</v>
      </c>
      <c r="D20" s="4">
        <f t="shared" si="0"/>
        <v>198.14903855694925</v>
      </c>
      <c r="E20" s="4">
        <f t="shared" si="1"/>
        <v>181.66670053821363</v>
      </c>
      <c r="F20" s="25"/>
      <c r="G20" s="25"/>
      <c r="H20" s="25" t="s">
        <v>39</v>
      </c>
      <c r="I20" s="12">
        <v>30</v>
      </c>
      <c r="J20" s="25"/>
      <c r="K20" s="25" t="s">
        <v>40</v>
      </c>
      <c r="L20" s="12">
        <v>700</v>
      </c>
      <c r="M20" s="10" t="s">
        <v>41</v>
      </c>
      <c r="N20" s="25"/>
      <c r="O20" s="25"/>
      <c r="P20" s="25"/>
      <c r="Q20" s="25"/>
      <c r="R20" s="25"/>
      <c r="S20" s="25"/>
    </row>
    <row r="21" spans="1:19" ht="17.7" x14ac:dyDescent="0.75">
      <c r="A21" s="25">
        <v>31</v>
      </c>
      <c r="B21" s="4">
        <f t="shared" si="2"/>
        <v>3.2513786876776161</v>
      </c>
      <c r="C21" s="4">
        <f t="shared" si="3"/>
        <v>10.023694295122839</v>
      </c>
      <c r="D21" s="4">
        <f t="shared" si="0"/>
        <v>198.23482539124868</v>
      </c>
      <c r="E21" s="4">
        <f t="shared" si="1"/>
        <v>181.85373192888241</v>
      </c>
      <c r="F21" s="25"/>
      <c r="G21" s="25"/>
      <c r="H21" s="25" t="s">
        <v>42</v>
      </c>
      <c r="I21" s="4">
        <f>I20*EXP(E1/H10/9.81)</f>
        <v>39.858522802607879</v>
      </c>
      <c r="J21" s="25"/>
      <c r="K21" s="25" t="s">
        <v>43</v>
      </c>
      <c r="L21" s="25">
        <f>I28/1/L20</f>
        <v>2.4979975545420634E-3</v>
      </c>
      <c r="M21" s="4">
        <f>L21*100^2</f>
        <v>24.979975545420633</v>
      </c>
      <c r="N21" s="25" t="s">
        <v>44</v>
      </c>
      <c r="O21" s="25"/>
      <c r="P21" s="25"/>
      <c r="Q21" s="25"/>
      <c r="R21" s="25"/>
      <c r="S21" s="25"/>
    </row>
    <row r="22" spans="1:19" ht="16.8" x14ac:dyDescent="0.75">
      <c r="A22" s="25">
        <v>31.25</v>
      </c>
      <c r="B22" s="4">
        <f t="shared" si="2"/>
        <v>3.2472178733284083</v>
      </c>
      <c r="C22" s="4">
        <f t="shared" si="3"/>
        <v>9.9626320542027518</v>
      </c>
      <c r="D22" s="4">
        <f t="shared" si="0"/>
        <v>198.3185518114731</v>
      </c>
      <c r="E22" s="4">
        <f t="shared" si="1"/>
        <v>182.03724853085853</v>
      </c>
      <c r="F22" s="25"/>
      <c r="G22" s="25"/>
      <c r="H22" s="25" t="s">
        <v>45</v>
      </c>
      <c r="I22" s="7">
        <f>I21-I20</f>
        <v>9.8585228026078795</v>
      </c>
      <c r="J22" s="25"/>
      <c r="K22" s="25" t="s">
        <v>46</v>
      </c>
      <c r="L22" s="16">
        <f>2*SQRT(L21/PI())</f>
        <v>5.6396358651021848E-2</v>
      </c>
      <c r="M22" s="4">
        <f>L22*100</f>
        <v>5.6396358651021847</v>
      </c>
      <c r="N22" s="25" t="s">
        <v>47</v>
      </c>
      <c r="O22" s="4"/>
      <c r="P22" s="25"/>
      <c r="Q22" s="25"/>
      <c r="R22" s="25"/>
      <c r="S22" s="25"/>
    </row>
    <row r="23" spans="1:19" ht="16.8" x14ac:dyDescent="0.75">
      <c r="A23" s="25">
        <v>31.5</v>
      </c>
      <c r="B23" s="4">
        <f t="shared" si="2"/>
        <v>3.2430902177736174</v>
      </c>
      <c r="C23" s="4">
        <f t="shared" si="3"/>
        <v>9.9024399708284783</v>
      </c>
      <c r="D23" s="4">
        <f t="shared" si="0"/>
        <v>198.40026881351224</v>
      </c>
      <c r="E23" s="4">
        <f t="shared" si="1"/>
        <v>182.21733367087333</v>
      </c>
      <c r="F23" s="25"/>
      <c r="G23" s="25"/>
      <c r="H23" s="25" t="s">
        <v>48</v>
      </c>
      <c r="I23" s="14">
        <f>I22/(1+B2)</f>
        <v>1.5403941879074812</v>
      </c>
      <c r="J23" s="25"/>
      <c r="K23" s="25" t="s">
        <v>49</v>
      </c>
      <c r="L23" s="16">
        <f>(I27*PI()^(0.5-1)/(0.155*(4*I26)^0.5*900)*L22^(2*0.5-1))^(1/(2+1))</f>
        <v>7.690590243214919E-2</v>
      </c>
      <c r="M23" s="4">
        <f>L23*100</f>
        <v>7.6905902432149187</v>
      </c>
      <c r="N23" s="25" t="s">
        <v>47</v>
      </c>
      <c r="O23" s="17">
        <f>I23/900/(PI()*(O24/2)^2 - L21)</f>
        <v>0.3551772930659437</v>
      </c>
      <c r="P23" s="10" t="s">
        <v>50</v>
      </c>
      <c r="Q23" s="25"/>
      <c r="R23" s="25"/>
      <c r="S23" s="25"/>
    </row>
    <row r="24" spans="1:19" ht="16.8" x14ac:dyDescent="0.75">
      <c r="A24" s="25">
        <v>31.75</v>
      </c>
      <c r="B24" s="4">
        <f t="shared" si="2"/>
        <v>3.2389951901218592</v>
      </c>
      <c r="C24" s="4">
        <f t="shared" si="3"/>
        <v>9.843098854242962</v>
      </c>
      <c r="D24" s="4">
        <f t="shared" si="0"/>
        <v>198.4800257917754</v>
      </c>
      <c r="E24" s="4">
        <f t="shared" si="1"/>
        <v>182.39406810558404</v>
      </c>
      <c r="F24" s="25"/>
      <c r="G24" s="25"/>
      <c r="H24" s="25" t="s">
        <v>51</v>
      </c>
      <c r="I24" s="7">
        <f>I22-I23</f>
        <v>8.3181286147003988</v>
      </c>
      <c r="J24" s="25"/>
      <c r="K24" s="25" t="s">
        <v>52</v>
      </c>
      <c r="L24" s="8">
        <f>SQRT(4*I23/PI()/L23/900/1 + L22^2)</f>
        <v>0.17752924193294067</v>
      </c>
      <c r="M24" s="4">
        <f t="shared" ref="M24:M25" si="4">L24*100</f>
        <v>17.752924193294067</v>
      </c>
      <c r="N24" s="25" t="s">
        <v>47</v>
      </c>
      <c r="O24" s="18">
        <f>CONVERT(3.8, "in", "m")</f>
        <v>9.6519999999999995E-2</v>
      </c>
      <c r="P24" s="25"/>
      <c r="Q24" s="25"/>
      <c r="R24" s="25"/>
      <c r="S24" s="25"/>
    </row>
    <row r="25" spans="1:19" ht="16.8" x14ac:dyDescent="0.75">
      <c r="A25" s="25">
        <v>32</v>
      </c>
      <c r="B25" s="4">
        <f t="shared" si="2"/>
        <v>3.2349322721039941</v>
      </c>
      <c r="C25" s="4">
        <f t="shared" si="3"/>
        <v>9.7845900841169726</v>
      </c>
      <c r="D25" s="4">
        <f t="shared" si="0"/>
        <v>198.55787060096031</v>
      </c>
      <c r="E25" s="4">
        <f t="shared" si="1"/>
        <v>182.56753011972179</v>
      </c>
      <c r="F25" s="25"/>
      <c r="G25" s="25"/>
      <c r="H25" s="25" t="s">
        <v>53</v>
      </c>
      <c r="I25" s="8">
        <f>I20/I21</f>
        <v>0.75266211315882359</v>
      </c>
      <c r="J25" s="25"/>
      <c r="K25" s="25" t="s">
        <v>54</v>
      </c>
      <c r="L25" s="17">
        <f>(L24-L22)/2</f>
        <v>6.0566441640959409E-2</v>
      </c>
      <c r="M25" s="4">
        <f t="shared" si="4"/>
        <v>6.0566441640959408</v>
      </c>
      <c r="N25" s="25" t="s">
        <v>47</v>
      </c>
      <c r="O25" s="4"/>
      <c r="P25" s="25"/>
      <c r="Q25" s="25"/>
      <c r="R25" s="25"/>
      <c r="S25" s="25"/>
    </row>
    <row r="26" spans="1:19" ht="16.8" x14ac:dyDescent="0.75">
      <c r="A26" s="25">
        <v>32.25</v>
      </c>
      <c r="B26" s="4">
        <f t="shared" si="2"/>
        <v>3.2309009576767895</v>
      </c>
      <c r="C26" s="4">
        <f t="shared" si="3"/>
        <v>9.7268955892908728</v>
      </c>
      <c r="D26" s="4">
        <f t="shared" si="0"/>
        <v>198.63384961499207</v>
      </c>
      <c r="E26" s="4">
        <f t="shared" si="1"/>
        <v>182.73779561977202</v>
      </c>
      <c r="F26" s="25"/>
      <c r="G26" s="25"/>
      <c r="H26" s="25" t="s">
        <v>55</v>
      </c>
      <c r="I26" s="14">
        <f>B4*I21/H10</f>
        <v>2.0724127859904526</v>
      </c>
      <c r="J26" s="25"/>
      <c r="K26" s="10" t="s">
        <v>56</v>
      </c>
      <c r="L26" s="25"/>
      <c r="M26" s="25"/>
      <c r="N26" s="25"/>
      <c r="O26" s="25"/>
      <c r="P26" s="25"/>
      <c r="Q26" s="25"/>
      <c r="R26" s="25"/>
      <c r="S26" s="25"/>
    </row>
    <row r="27" spans="1:19" ht="16.8" x14ac:dyDescent="0.75">
      <c r="A27" s="25">
        <v>32.5</v>
      </c>
      <c r="B27" s="4">
        <f t="shared" si="2"/>
        <v>3.2269007526419986</v>
      </c>
      <c r="C27" s="4">
        <f t="shared" si="3"/>
        <v>9.6699978274663518</v>
      </c>
      <c r="D27" s="4">
        <f t="shared" si="0"/>
        <v>198.70800778328294</v>
      </c>
      <c r="E27" s="4">
        <f t="shared" si="1"/>
        <v>182.90493822342225</v>
      </c>
      <c r="F27" s="25"/>
      <c r="G27" s="25"/>
      <c r="H27" s="25" t="s">
        <v>57</v>
      </c>
      <c r="I27" s="8">
        <f>I26/(1 + B2)</f>
        <v>0.32381449781100818</v>
      </c>
      <c r="J27" s="25"/>
      <c r="K27" s="25"/>
      <c r="L27" s="25"/>
      <c r="M27" s="25"/>
      <c r="N27" s="25"/>
      <c r="O27" s="25"/>
      <c r="P27" s="25"/>
      <c r="Q27" s="25"/>
      <c r="R27" s="25"/>
      <c r="S27" s="25"/>
    </row>
    <row r="28" spans="1:19" ht="16.8" x14ac:dyDescent="0.75">
      <c r="A28" s="25">
        <v>32.75</v>
      </c>
      <c r="B28" s="4">
        <f t="shared" si="2"/>
        <v>3.2229311742801401</v>
      </c>
      <c r="C28" s="4">
        <f t="shared" si="3"/>
        <v>9.6138797657989787</v>
      </c>
      <c r="D28" s="4">
        <f t="shared" si="0"/>
        <v>198.7803886844523</v>
      </c>
      <c r="E28" s="4">
        <f t="shared" si="1"/>
        <v>183.0690293449988</v>
      </c>
      <c r="F28" s="25"/>
      <c r="G28" s="25"/>
      <c r="H28" s="25" t="s">
        <v>58</v>
      </c>
      <c r="I28" s="7">
        <f>I26-I27</f>
        <v>1.7485982881794444</v>
      </c>
      <c r="J28" s="25"/>
      <c r="K28" s="25"/>
      <c r="L28" s="25"/>
      <c r="M28" s="25"/>
      <c r="N28" s="25"/>
      <c r="O28" s="25"/>
      <c r="P28" s="25"/>
      <c r="Q28" s="25"/>
      <c r="R28" s="25"/>
      <c r="S28" s="25"/>
    </row>
    <row r="29" spans="1:19" x14ac:dyDescent="0.55000000000000004">
      <c r="A29" s="25">
        <v>33</v>
      </c>
      <c r="B29" s="4">
        <f t="shared" si="2"/>
        <v>3.2189917509983053</v>
      </c>
      <c r="C29" s="4">
        <f t="shared" si="3"/>
        <v>9.5585248623445995</v>
      </c>
      <c r="D29" s="4">
        <f t="shared" si="0"/>
        <v>198.85103457764168</v>
      </c>
      <c r="E29" s="4">
        <f t="shared" si="1"/>
        <v>183.2301382771027</v>
      </c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7"/>
    </row>
    <row r="30" spans="1:19" x14ac:dyDescent="0.55000000000000004">
      <c r="A30" s="25">
        <v>33.25</v>
      </c>
      <c r="B30" s="4">
        <f t="shared" si="2"/>
        <v>3.2150820219913587</v>
      </c>
      <c r="C30" s="4">
        <f t="shared" si="3"/>
        <v>9.5039170483164437</v>
      </c>
      <c r="D30" s="4">
        <f t="shared" si="0"/>
        <v>198.91998645154797</v>
      </c>
      <c r="E30" s="4">
        <f t="shared" si="1"/>
        <v>183.38833226863878</v>
      </c>
      <c r="F30" s="25"/>
      <c r="G30" s="25"/>
      <c r="H30" s="25"/>
      <c r="I30" s="25"/>
      <c r="J30" s="25"/>
      <c r="K30" s="25"/>
      <c r="L30" s="25"/>
      <c r="M30" s="4"/>
      <c r="N30" s="4"/>
      <c r="O30" s="25"/>
      <c r="P30" s="25"/>
      <c r="Q30" s="25"/>
      <c r="R30" s="25"/>
      <c r="S30" s="25"/>
    </row>
    <row r="31" spans="1:19" x14ac:dyDescent="0.55000000000000004">
      <c r="A31" s="25">
        <v>33.5</v>
      </c>
      <c r="B31" s="4">
        <f t="shared" si="2"/>
        <v>3.2112015369159179</v>
      </c>
      <c r="C31" s="4">
        <f t="shared" si="3"/>
        <v>9.4500407111113311</v>
      </c>
      <c r="D31" s="4">
        <f t="shared" si="0"/>
        <v>198.98728407129224</v>
      </c>
      <c r="E31" s="4">
        <f t="shared" si="1"/>
        <v>183.54367659942415</v>
      </c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</row>
    <row r="32" spans="1:19" x14ac:dyDescent="0.55000000000000004">
      <c r="A32" s="25">
        <v>33.75</v>
      </c>
      <c r="B32" s="4">
        <f t="shared" si="2"/>
        <v>3.2073498555765392</v>
      </c>
      <c r="C32" s="4">
        <f t="shared" si="3"/>
        <v>9.3968806780662</v>
      </c>
      <c r="D32" s="4">
        <f t="shared" si="0"/>
        <v>199.05296602323577</v>
      </c>
      <c r="E32" s="4">
        <f t="shared" si="1"/>
        <v>183.6962346515495</v>
      </c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</row>
    <row r="33" spans="1:8" x14ac:dyDescent="0.55000000000000004">
      <c r="A33" s="25">
        <v>34</v>
      </c>
      <c r="B33" s="4">
        <f t="shared" si="2"/>
        <v>3.2035265476235795</v>
      </c>
      <c r="C33" s="4">
        <f t="shared" si="3"/>
        <v>9.3444222009086602</v>
      </c>
      <c r="D33" s="4">
        <f t="shared" si="0"/>
        <v>199.11706975784674</v>
      </c>
      <c r="E33" s="4">
        <f t="shared" si="1"/>
        <v>183.84606797765738</v>
      </c>
      <c r="F33" s="25"/>
      <c r="G33" s="25"/>
      <c r="H33" s="25"/>
    </row>
    <row r="34" spans="1:8" x14ac:dyDescent="0.55000000000000004">
      <c r="A34" s="25">
        <v>34.25</v>
      </c>
      <c r="B34" s="4">
        <f t="shared" si="2"/>
        <v>3.1997311922621945</v>
      </c>
      <c r="C34" s="4">
        <f t="shared" si="3"/>
        <v>9.2926509408667339</v>
      </c>
      <c r="D34" s="4">
        <f t="shared" si="0"/>
        <v>199.17963163071511</v>
      </c>
      <c r="E34" s="4">
        <f t="shared" si="1"/>
        <v>183.99323636629146</v>
      </c>
      <c r="F34" s="25"/>
      <c r="G34" s="25"/>
      <c r="H34" s="25"/>
    </row>
    <row r="35" spans="1:8" x14ac:dyDescent="0.55000000000000004">
      <c r="A35" s="25">
        <v>34.5</v>
      </c>
      <c r="B35" s="4">
        <f t="shared" si="2"/>
        <v>3.1959633779720038</v>
      </c>
      <c r="C35" s="4">
        <f t="shared" si="3"/>
        <v>9.241552954405444</v>
      </c>
      <c r="D35" s="4">
        <f t="shared" si="0"/>
        <v>199.24068694180974</v>
      </c>
      <c r="E35" s="4">
        <f t="shared" si="1"/>
        <v>184.13779790446335</v>
      </c>
      <c r="F35" s="25"/>
      <c r="G35" s="25"/>
      <c r="H35" s="25" t="s">
        <v>59</v>
      </c>
    </row>
    <row r="36" spans="1:8" x14ac:dyDescent="0.55000000000000004">
      <c r="A36" s="25">
        <v>34.75</v>
      </c>
      <c r="B36" s="4">
        <f t="shared" si="2"/>
        <v>3.19222270223695</v>
      </c>
      <c r="C36" s="4">
        <f t="shared" si="3"/>
        <v>9.1911146795594636</v>
      </c>
      <c r="D36" s="4">
        <f t="shared" si="0"/>
        <v>199.30026997306376</v>
      </c>
      <c r="E36" s="4">
        <f t="shared" si="1"/>
        <v>184.27980903757341</v>
      </c>
      <c r="F36" s="25"/>
      <c r="G36" s="25"/>
      <c r="H36" s="25" t="s">
        <v>60</v>
      </c>
    </row>
    <row r="37" spans="1:8" x14ac:dyDescent="0.55000000000000004">
      <c r="A37" s="25">
        <v>35</v>
      </c>
      <c r="B37" s="4">
        <f t="shared" si="2"/>
        <v>3.1885087712849063</v>
      </c>
      <c r="C37" s="4">
        <f t="shared" si="3"/>
        <v>9.1413229228328632</v>
      </c>
      <c r="D37" s="4">
        <f t="shared" si="0"/>
        <v>199.35841402437086</v>
      </c>
      <c r="E37" s="4">
        <f t="shared" si="1"/>
        <v>184.41932462681646</v>
      </c>
      <c r="F37" s="25"/>
      <c r="G37" s="25"/>
      <c r="H37" s="25"/>
    </row>
    <row r="38" spans="1:8" x14ac:dyDescent="0.55000000000000004">
      <c r="A38" s="25">
        <v>35.25</v>
      </c>
      <c r="B38" s="4">
        <f t="shared" si="2"/>
        <v>3.1848211998366267</v>
      </c>
      <c r="C38" s="4">
        <f t="shared" si="3"/>
        <v>9.092164846638596</v>
      </c>
      <c r="D38" s="4">
        <f t="shared" si="0"/>
        <v>199.41515144807056</v>
      </c>
      <c r="E38" s="4">
        <f t="shared" si="1"/>
        <v>184.55639800419348</v>
      </c>
      <c r="F38" s="25"/>
      <c r="G38" s="25"/>
      <c r="H38" s="25"/>
    </row>
    <row r="39" spans="1:8" x14ac:dyDescent="0.55000000000000004">
      <c r="A39" s="25">
        <v>35.5</v>
      </c>
      <c r="B39" s="4">
        <f t="shared" si="2"/>
        <v>3.1811596108636233</v>
      </c>
      <c r="C39" s="4">
        <f t="shared" si="3"/>
        <v>9.0436279572516671</v>
      </c>
      <c r="D39" s="4">
        <f t="shared" si="0"/>
        <v>199.47051368199595</v>
      </c>
      <c r="E39" s="4">
        <f t="shared" si="1"/>
        <v>184.69108102524689</v>
      </c>
      <c r="F39" s="25"/>
      <c r="G39" s="25"/>
      <c r="H39" s="25"/>
    </row>
    <row r="40" spans="1:8" x14ac:dyDescent="0.55000000000000004">
      <c r="A40" s="25">
        <v>35.75</v>
      </c>
      <c r="B40" s="4">
        <f t="shared" si="2"/>
        <v>3.177523635354607</v>
      </c>
      <c r="C40" s="4">
        <f t="shared" si="3"/>
        <v>8.9957000932517648</v>
      </c>
      <c r="D40" s="4">
        <f t="shared" si="0"/>
        <v>199.52453128115241</v>
      </c>
      <c r="E40" s="4">
        <f t="shared" si="1"/>
        <v>184.82342411962676</v>
      </c>
      <c r="F40" s="25"/>
      <c r="G40" s="25"/>
      <c r="H40" s="25"/>
    </row>
    <row r="41" spans="1:8" x14ac:dyDescent="0.55000000000000004">
      <c r="A41" s="25">
        <v>36</v>
      </c>
      <c r="B41" s="4">
        <f t="shared" si="2"/>
        <v>3.1739129120901222</v>
      </c>
      <c r="C41" s="4">
        <f t="shared" si="3"/>
        <v>8.9483694144320367</v>
      </c>
      <c r="D41" s="4">
        <f t="shared" si="0"/>
        <v>199.57723394809418</v>
      </c>
      <c r="E41" s="4">
        <f t="shared" si="1"/>
        <v>184.95347633959318</v>
      </c>
      <c r="F41" s="25"/>
      <c r="G41" s="25"/>
      <c r="H41" s="25"/>
    </row>
    <row r="42" spans="1:8" x14ac:dyDescent="0.55000000000000004">
      <c r="A42" s="25">
        <v>36.25</v>
      </c>
      <c r="B42" s="4">
        <f t="shared" si="2"/>
        <v>3.170327087425036</v>
      </c>
      <c r="C42" s="4">
        <f t="shared" si="3"/>
        <v>8.9016243911520707</v>
      </c>
      <c r="D42" s="4">
        <f t="shared" si="0"/>
        <v>199.62865056205979</v>
      </c>
      <c r="E42" s="4">
        <f t="shared" si="1"/>
        <v>185.08128540655113</v>
      </c>
      <c r="F42" s="25"/>
      <c r="G42" s="25"/>
      <c r="H42" s="25"/>
    </row>
    <row r="43" spans="1:8" x14ac:dyDescent="0.55000000000000004">
      <c r="A43" s="25">
        <v>36.5</v>
      </c>
      <c r="B43" s="4">
        <f t="shared" si="2"/>
        <v>3.1667658150785591</v>
      </c>
      <c r="C43" s="4">
        <f t="shared" si="3"/>
        <v>8.8554537941146485</v>
      </c>
      <c r="D43" s="4">
        <f t="shared" si="0"/>
        <v>199.67880920692568</v>
      </c>
      <c r="E43" s="4">
        <f t="shared" si="1"/>
        <v>185.20689775571154</v>
      </c>
      <c r="F43" s="25"/>
      <c r="G43" s="25"/>
      <c r="H43" s="25"/>
    </row>
    <row r="44" spans="1:8" x14ac:dyDescent="0.55000000000000004">
      <c r="A44" s="25">
        <v>36.75</v>
      </c>
      <c r="B44" s="4">
        <f t="shared" si="2"/>
        <v>3.1632287559314829</v>
      </c>
      <c r="C44" s="4">
        <f t="shared" si="3"/>
        <v>8.8098466845463062</v>
      </c>
      <c r="D44" s="4">
        <f t="shared" si="0"/>
        <v>199.72773719803257</v>
      </c>
      <c r="E44" s="4">
        <f t="shared" si="1"/>
        <v>185.3303585789651</v>
      </c>
      <c r="F44" s="25"/>
      <c r="G44" s="25"/>
      <c r="H44" s="25"/>
    </row>
    <row r="45" spans="1:8" x14ac:dyDescent="0.55000000000000004">
      <c r="A45" s="25">
        <v>37</v>
      </c>
      <c r="B45" s="4">
        <f t="shared" si="2"/>
        <v>3.1597155778303354</v>
      </c>
      <c r="C45" s="4">
        <f t="shared" si="3"/>
        <v>8.7647924047631793</v>
      </c>
      <c r="D45" s="4">
        <f t="shared" si="0"/>
        <v>199.77546110793907</v>
      </c>
      <c r="E45" s="4">
        <f t="shared" si="1"/>
        <v>185.45171186605302</v>
      </c>
      <c r="F45" s="25"/>
      <c r="G45" s="25"/>
      <c r="H45" s="25"/>
    </row>
    <row r="46" spans="1:8" x14ac:dyDescent="0.55000000000000004">
      <c r="A46" s="25">
        <v>37.25</v>
      </c>
      <c r="B46" s="4">
        <f t="shared" si="2"/>
        <v>3.1562259553981895</v>
      </c>
      <c r="C46" s="4">
        <f t="shared" si="3"/>
        <v>8.7202805691048635</v>
      </c>
      <c r="D46" s="4">
        <f t="shared" si="0"/>
        <v>199.82200679114951</v>
      </c>
      <c r="E46" s="4">
        <f t="shared" si="1"/>
        <v>185.5710004441116</v>
      </c>
      <c r="F46" s="25"/>
      <c r="G46" s="25"/>
      <c r="H46" s="25"/>
    </row>
    <row r="47" spans="1:8" x14ac:dyDescent="0.55000000000000004">
      <c r="A47" s="25">
        <v>37.5</v>
      </c>
      <c r="B47" s="4">
        <f t="shared" si="2"/>
        <v>3.1527595698518325</v>
      </c>
      <c r="C47" s="4">
        <f t="shared" si="3"/>
        <v>8.6763010552190121</v>
      </c>
      <c r="D47" s="4">
        <f t="shared" si="0"/>
        <v>199.86739940786566</v>
      </c>
      <c r="E47" s="4">
        <f t="shared" si="1"/>
        <v>185.68826601566681</v>
      </c>
      <c r="F47" s="25"/>
      <c r="G47" s="25"/>
      <c r="H47" s="25"/>
    </row>
    <row r="48" spans="1:8" x14ac:dyDescent="0.55000000000000004">
      <c r="A48" s="25">
        <v>37.75</v>
      </c>
      <c r="B48" s="4">
        <f t="shared" si="2"/>
        <v>3.1493161088250599</v>
      </c>
      <c r="C48" s="4">
        <f t="shared" si="3"/>
        <v>8.6328439956813963</v>
      </c>
      <c r="D48" s="4">
        <f t="shared" si="0"/>
        <v>199.91166344680607</v>
      </c>
      <c r="E48" s="4">
        <f t="shared" si="1"/>
        <v>185.80354919514821</v>
      </c>
      <c r="F48" s="25"/>
      <c r="G48" s="25"/>
      <c r="H48" s="25"/>
    </row>
    <row r="49" spans="1:5" x14ac:dyDescent="0.55000000000000004">
      <c r="A49" s="25">
        <v>38</v>
      </c>
      <c r="B49" s="4">
        <f t="shared" si="2"/>
        <v>3.1458952661978419</v>
      </c>
      <c r="C49" s="4">
        <f t="shared" si="3"/>
        <v>8.58989976993605</v>
      </c>
      <c r="D49" s="4">
        <f t="shared" si="0"/>
        <v>199.95482274713461</v>
      </c>
      <c r="E49" s="4">
        <f t="shared" si="1"/>
        <v>185.91688954398953</v>
      </c>
    </row>
    <row r="50" spans="1:5" x14ac:dyDescent="0.55000000000000004">
      <c r="A50" s="25">
        <v>38.25</v>
      </c>
      <c r="B50" s="4">
        <f t="shared" si="2"/>
        <v>3.1424967419311303</v>
      </c>
      <c r="C50" s="4">
        <f t="shared" si="3"/>
        <v>8.5474589965413781</v>
      </c>
      <c r="D50" s="4">
        <f t="shared" si="0"/>
        <v>199.99690051954008</v>
      </c>
      <c r="E50" s="4">
        <f t="shared" si="1"/>
        <v>186.02832560437986</v>
      </c>
    </row>
    <row r="51" spans="1:5" x14ac:dyDescent="0.55000000000000004">
      <c r="A51" s="25">
        <v>38.5</v>
      </c>
      <c r="B51" s="4">
        <f t="shared" si="2"/>
        <v>3.1391202419070829</v>
      </c>
      <c r="C51" s="4">
        <f t="shared" si="3"/>
        <v>8.505512525708685</v>
      </c>
      <c r="D51" s="4">
        <f t="shared" si="0"/>
        <v>200.03791936650342</v>
      </c>
      <c r="E51" s="4">
        <f t="shared" si="1"/>
        <v>186.13789493172456</v>
      </c>
    </row>
    <row r="52" spans="1:5" x14ac:dyDescent="0.55000000000000004">
      <c r="A52" s="25">
        <v>38.75</v>
      </c>
      <c r="B52" s="4">
        <f t="shared" si="2"/>
        <v>3.1357654777744983</v>
      </c>
      <c r="C52" s="4">
        <f t="shared" si="3"/>
        <v>8.4640514321203</v>
      </c>
      <c r="D52" s="4">
        <f t="shared" si="0"/>
        <v>200.07790130178967</v>
      </c>
      <c r="E52" s="4">
        <f t="shared" si="1"/>
        <v>186.24563412587429</v>
      </c>
    </row>
    <row r="53" spans="1:5" x14ac:dyDescent="0.55000000000000004">
      <c r="A53" s="25">
        <v>39</v>
      </c>
      <c r="B53" s="4">
        <f t="shared" si="2"/>
        <v>3.1324321667992585</v>
      </c>
      <c r="C53" s="4">
        <f t="shared" si="3"/>
        <v>8.4230670080150958</v>
      </c>
      <c r="D53" s="4">
        <f t="shared" si="0"/>
        <v>200.11686776919865</v>
      </c>
      <c r="E53" s="4">
        <f t="shared" si="1"/>
        <v>186.35157886117557</v>
      </c>
    </row>
    <row r="54" spans="1:5" x14ac:dyDescent="0.55000000000000004">
      <c r="A54" s="25">
        <v>39.25</v>
      </c>
      <c r="B54" s="4">
        <f t="shared" si="2"/>
        <v>3.1291200317195758</v>
      </c>
      <c r="C54" s="4">
        <f t="shared" si="3"/>
        <v>8.3825507565296977</v>
      </c>
      <c r="D54" s="4">
        <f t="shared" si="0"/>
        <v>200.15483966060728</v>
      </c>
      <c r="E54" s="4">
        <f t="shared" si="1"/>
        <v>186.45576391539481</v>
      </c>
    </row>
    <row r="55" spans="1:5" x14ac:dyDescent="0.55000000000000004">
      <c r="A55" s="25">
        <v>39.5</v>
      </c>
      <c r="B55" s="4">
        <f t="shared" si="2"/>
        <v>3.1258288006058716</v>
      </c>
      <c r="C55" s="4">
        <f t="shared" si="3"/>
        <v>8.3424943852844873</v>
      </c>
      <c r="D55" s="4">
        <f t="shared" si="0"/>
        <v>200.19183733333392</v>
      </c>
      <c r="E55" s="4">
        <f t="shared" si="1"/>
        <v>186.55822319756524</v>
      </c>
    </row>
    <row r="56" spans="1:5" x14ac:dyDescent="0.55000000000000004">
      <c r="A56" s="25">
        <v>39.75</v>
      </c>
      <c r="B56" s="4">
        <f t="shared" si="2"/>
        <v>3.1225582067251114</v>
      </c>
      <c r="C56" s="4">
        <f t="shared" si="3"/>
        <v>8.302889800203932</v>
      </c>
      <c r="D56" s="4">
        <f t="shared" si="0"/>
        <v>200.22788062685484</v>
      </c>
      <c r="E56" s="4">
        <f t="shared" si="1"/>
        <v>186.65898977480185</v>
      </c>
    </row>
    <row r="57" spans="1:5" x14ac:dyDescent="0.55000000000000004">
      <c r="A57" s="25">
        <v>40</v>
      </c>
      <c r="B57" s="4">
        <f t="shared" si="2"/>
        <v>3.1193079884094135</v>
      </c>
      <c r="C57" s="4">
        <f t="shared" si="3"/>
        <v>8.2637290995610915</v>
      </c>
      <c r="D57" s="4">
        <f t="shared" si="0"/>
        <v>200.26298887890064</v>
      </c>
      <c r="E57" s="4">
        <f t="shared" si="1"/>
        <v>186.75809589813096</v>
      </c>
    </row>
    <row r="58" spans="1:5" x14ac:dyDescent="0.55000000000000004">
      <c r="A58" s="25">
        <v>40.25</v>
      </c>
      <c r="B58" s="4">
        <f t="shared" si="2"/>
        <v>3.1160778889287886</v>
      </c>
      <c r="C58" s="4">
        <f t="shared" si="3"/>
        <v>8.2250045682370807</v>
      </c>
      <c r="D58" s="4">
        <f t="shared" si="0"/>
        <v>200.29718094095927</v>
      </c>
      <c r="E58" s="4">
        <f t="shared" si="1"/>
        <v>186.85557302737419</v>
      </c>
    </row>
    <row r="59" spans="1:5" x14ac:dyDescent="0.55000000000000004">
      <c r="A59" s="25">
        <v>40.5</v>
      </c>
      <c r="B59" s="4">
        <f t="shared" si="2"/>
        <v>3.1128676563678401</v>
      </c>
      <c r="C59" s="4">
        <f t="shared" si="3"/>
        <v>8.1867086721861746</v>
      </c>
      <c r="D59" s="4">
        <f t="shared" si="0"/>
        <v>200.33047519321016</v>
      </c>
      <c r="E59" s="4">
        <f t="shared" si="1"/>
        <v>186.95145185512834</v>
      </c>
    </row>
    <row r="60" spans="1:5" x14ac:dyDescent="0.55000000000000004">
      <c r="A60" s="25">
        <v>40.75</v>
      </c>
      <c r="B60" s="4">
        <f t="shared" si="2"/>
        <v>3.1096770435062879</v>
      </c>
      <c r="C60" s="4">
        <f t="shared" si="3"/>
        <v>8.1488340530982022</v>
      </c>
      <c r="D60" s="4">
        <f t="shared" si="0"/>
        <v>200.36288955891536</v>
      </c>
      <c r="E60" s="4">
        <f t="shared" si="1"/>
        <v>187.04576232987924</v>
      </c>
    </row>
    <row r="61" spans="1:5" x14ac:dyDescent="0.55000000000000004">
      <c r="A61" s="25">
        <v>41</v>
      </c>
      <c r="B61" s="4">
        <f t="shared" si="2"/>
        <v>3.1065058077031753</v>
      </c>
      <c r="C61" s="4">
        <f t="shared" si="3"/>
        <v>8.1113735232499007</v>
      </c>
      <c r="D61" s="4">
        <f t="shared" si="0"/>
        <v>200.39444151828872</v>
      </c>
      <c r="E61" s="4">
        <f t="shared" si="1"/>
        <v>187.138533678285</v>
      </c>
    </row>
    <row r="62" spans="1:5" x14ac:dyDescent="0.55000000000000004">
      <c r="A62" s="25">
        <v>41.25</v>
      </c>
      <c r="B62" s="4">
        <f t="shared" si="2"/>
        <v>3.1033537107846105</v>
      </c>
      <c r="C62" s="4">
        <f t="shared" si="3"/>
        <v>8.0743200605374899</v>
      </c>
      <c r="D62" s="4">
        <f t="shared" si="0"/>
        <v>200.42514812186633</v>
      </c>
      <c r="E62" s="4">
        <f t="shared" si="1"/>
        <v>187.2297944266644</v>
      </c>
    </row>
    <row r="63" spans="1:5" x14ac:dyDescent="0.55000000000000004">
      <c r="A63" s="25">
        <v>41.5</v>
      </c>
      <c r="B63" s="4">
        <f t="shared" si="2"/>
        <v>3.1002205189349334</v>
      </c>
      <c r="C63" s="4">
        <f t="shared" si="3"/>
        <v>8.0376668036829617</v>
      </c>
      <c r="D63" s="4">
        <f t="shared" si="0"/>
        <v>200.45502600339793</v>
      </c>
      <c r="E63" s="4">
        <f t="shared" si="1"/>
        <v>187.31957242172268</v>
      </c>
    </row>
    <row r="64" spans="1:5" x14ac:dyDescent="0.55000000000000004">
      <c r="A64" s="25">
        <v>41.75</v>
      </c>
      <c r="B64" s="4">
        <f t="shared" si="2"/>
        <v>3.0971060025911674</v>
      </c>
      <c r="C64" s="4">
        <f t="shared" si="3"/>
        <v>8.0014070476071488</v>
      </c>
      <c r="D64" s="4">
        <f t="shared" si="0"/>
        <v>200.48409139228028</v>
      </c>
      <c r="E64" s="4">
        <f t="shared" si="1"/>
        <v>187.40789485054583</v>
      </c>
    </row>
    <row r="65" spans="1:5" x14ac:dyDescent="0.55000000000000004">
      <c r="A65" s="25">
        <v>42</v>
      </c>
      <c r="B65" s="4">
        <f t="shared" si="2"/>
        <v>3.0940099363406448</v>
      </c>
      <c r="C65" s="4">
        <f t="shared" si="3"/>
        <v>7.9655342389626007</v>
      </c>
      <c r="D65" s="4">
        <f t="shared" si="0"/>
        <v>200.51236012555032</v>
      </c>
      <c r="E65" s="4">
        <f t="shared" si="1"/>
        <v>187.49478825989459</v>
      </c>
    </row>
    <row r="66" spans="1:5" x14ac:dyDescent="0.55000000000000004">
      <c r="A66" s="25">
        <v>42.25</v>
      </c>
      <c r="B66" s="4">
        <f t="shared" si="2"/>
        <v>3.0909320988216935</v>
      </c>
      <c r="C66" s="4">
        <f t="shared" si="3"/>
        <v>7.930041971820077</v>
      </c>
      <c r="D66" s="4">
        <f t="shared" si="0"/>
        <v>200.53984765945665</v>
      </c>
      <c r="E66" s="4">
        <f t="shared" si="1"/>
        <v>187.58027857482506</v>
      </c>
    </row>
    <row r="67" spans="1:5" x14ac:dyDescent="0.55000000000000004">
      <c r="A67" s="25">
        <v>42.5</v>
      </c>
      <c r="B67" s="4">
        <f t="shared" si="2"/>
        <v>3.0878722726272727</v>
      </c>
      <c r="C67" s="4">
        <f t="shared" si="3"/>
        <v>7.8949239835022968</v>
      </c>
      <c r="D67" s="4">
        <f t="shared" si="0"/>
        <v>200.56656908062655</v>
      </c>
      <c r="E67" s="4">
        <f t="shared" si="1"/>
        <v>187.66439111666429</v>
      </c>
    </row>
    <row r="68" spans="1:5" x14ac:dyDescent="0.55000000000000004">
      <c r="A68" s="25">
        <v>42.75</v>
      </c>
      <c r="B68" s="4">
        <f t="shared" si="2"/>
        <v>3.0848302442114486</v>
      </c>
      <c r="C68" s="4">
        <f t="shared" si="3"/>
        <v>7.8601741505591267</v>
      </c>
      <c r="D68" s="4">
        <f t="shared" si="0"/>
        <v>200.59253911684468</v>
      </c>
      <c r="E68" s="4">
        <f t="shared" si="1"/>
        <v>187.74715062036657</v>
      </c>
    </row>
    <row r="69" spans="1:5" x14ac:dyDescent="0.55000000000000004">
      <c r="A69" s="25">
        <v>43</v>
      </c>
      <c r="B69" s="4">
        <f t="shared" si="2"/>
        <v>3.0818058037986278</v>
      </c>
      <c r="C69" s="4">
        <f t="shared" si="3"/>
        <v>7.8257864848787619</v>
      </c>
      <c r="D69" s="4">
        <f t="shared" si="0"/>
        <v>200.61777214745905</v>
      </c>
      <c r="E69" s="4">
        <f t="shared" si="1"/>
        <v>187.82858125127453</v>
      </c>
    </row>
    <row r="70" spans="1:5" x14ac:dyDescent="0.55000000000000004">
      <c r="A70" s="25">
        <v>43.25</v>
      </c>
      <c r="B70" s="4">
        <f t="shared" si="2"/>
        <v>3.0787987452954257</v>
      </c>
      <c r="C70" s="4">
        <f t="shared" si="3"/>
        <v>7.7917551299293359</v>
      </c>
      <c r="D70" s="4">
        <f t="shared" si="0"/>
        <v>200.64228221342947</v>
      </c>
      <c r="E70" s="4">
        <f t="shared" si="1"/>
        <v>187.90870662130993</v>
      </c>
    </row>
    <row r="71" spans="1:5" x14ac:dyDescent="0.55000000000000004">
      <c r="A71" s="25">
        <v>43.5</v>
      </c>
      <c r="B71" s="4">
        <f t="shared" si="2"/>
        <v>3.0758088662051035</v>
      </c>
      <c r="C71" s="4">
        <f t="shared" si="3"/>
        <v>7.7580743571259205</v>
      </c>
      <c r="D71" s="4">
        <f t="shared" si="0"/>
        <v>200.66608302703256</v>
      </c>
      <c r="E71" s="4">
        <f t="shared" si="1"/>
        <v>187.98754980461558</v>
      </c>
    </row>
    <row r="72" spans="1:5" x14ac:dyDescent="0.55000000000000004">
      <c r="A72" s="25">
        <v>43.75</v>
      </c>
      <c r="B72" s="4">
        <f t="shared" si="2"/>
        <v>3.0728359675444676</v>
      </c>
      <c r="C72" s="4">
        <f t="shared" si="3"/>
        <v>7.7247385623182208</v>
      </c>
      <c r="D72" s="4">
        <f t="shared" si="0"/>
        <v>200.68918798123659</v>
      </c>
      <c r="E72" s="4">
        <f t="shared" si="1"/>
        <v>188.06513335267024</v>
      </c>
    </row>
    <row r="73" spans="1:5" x14ac:dyDescent="0.55000000000000004">
      <c r="A73" s="25">
        <v>44</v>
      </c>
      <c r="B73" s="4">
        <f t="shared" si="2"/>
        <v>3.0698798537631538</v>
      </c>
      <c r="C73" s="4">
        <f t="shared" si="3"/>
        <v>7.6917422623939409</v>
      </c>
      <c r="D73" s="4">
        <f t="shared" si="0"/>
        <v>200.71161015875973</v>
      </c>
      <c r="E73" s="4">
        <f t="shared" si="1"/>
        <v>188.14147930889791</v>
      </c>
    </row>
    <row r="74" spans="1:5" x14ac:dyDescent="0.55000000000000004">
      <c r="A74" s="25">
        <v>44.25</v>
      </c>
      <c r="B74" s="4">
        <f t="shared" si="2"/>
        <v>3.0669403326652143</v>
      </c>
      <c r="C74" s="4">
        <f t="shared" si="3"/>
        <v>7.6590800919937454</v>
      </c>
      <c r="D74" s="4">
        <f t="shared" si="0"/>
        <v>200.73336234082353</v>
      </c>
      <c r="E74" s="4">
        <f t="shared" si="1"/>
        <v>188.21660922278954</v>
      </c>
    </row>
    <row r="75" spans="1:5" x14ac:dyDescent="0.55000000000000004">
      <c r="A75" s="25">
        <v>44.5</v>
      </c>
      <c r="B75" s="4">
        <f t="shared" si="2"/>
        <v>3.064017215332933</v>
      </c>
      <c r="C75" s="4">
        <f t="shared" si="3"/>
        <v>7.626746800333251</v>
      </c>
      <c r="D75" s="4">
        <f t="shared" si="0"/>
        <v>200.75445701561412</v>
      </c>
      <c r="E75" s="4">
        <f t="shared" si="1"/>
        <v>188.29054416355814</v>
      </c>
    </row>
    <row r="76" spans="1:5" x14ac:dyDescent="0.55000000000000004">
      <c r="A76" s="25">
        <v>44.75</v>
      </c>
      <c r="B76" s="4">
        <f t="shared" si="2"/>
        <v>3.0611103160527771</v>
      </c>
      <c r="C76" s="4">
        <f t="shared" si="3"/>
        <v>7.594737248128145</v>
      </c>
      <c r="D76" s="4">
        <f t="shared" si="0"/>
        <v>200.77490638646134</v>
      </c>
      <c r="E76" s="4">
        <f t="shared" si="1"/>
        <v>188.36330473334283</v>
      </c>
    </row>
    <row r="77" spans="1:5" x14ac:dyDescent="0.55000000000000004">
      <c r="A77" s="25">
        <v>45</v>
      </c>
      <c r="B77" s="4">
        <f t="shared" si="2"/>
        <v>3.0582194522434425</v>
      </c>
      <c r="C77" s="4">
        <f t="shared" si="3"/>
        <v>7.5630464046185679</v>
      </c>
      <c r="D77" s="4">
        <f t="shared" si="0"/>
        <v>200.79472237974849</v>
      </c>
      <c r="E77" s="4">
        <f t="shared" si="1"/>
        <v>188.43491107998142</v>
      </c>
    </row>
    <row r="78" spans="1:5" x14ac:dyDescent="0.55000000000000004">
      <c r="A78" s="25">
        <v>45.25</v>
      </c>
      <c r="B78" s="4">
        <f t="shared" si="2"/>
        <v>3.0553444443858875</v>
      </c>
      <c r="C78" s="4">
        <f t="shared" si="3"/>
        <v>7.5316693446887513</v>
      </c>
      <c r="D78" s="4">
        <f t="shared" si="0"/>
        <v>200.81391665256041</v>
      </c>
      <c r="E78" s="4">
        <f t="shared" si="1"/>
        <v>188.50538290936598</v>
      </c>
    </row>
    <row r="79" spans="1:5" x14ac:dyDescent="0.55000000000000004">
      <c r="A79" s="25">
        <v>45.5</v>
      </c>
      <c r="B79" s="4">
        <f t="shared" ref="B79:B142" si="5">SQRT(2/($B$9-1)*((A79/$B$3)^((1-$B$9)/$B$9) - 1))</f>
        <v>3.0524851159553275</v>
      </c>
      <c r="C79" s="4">
        <f t="shared" ref="C79:C116" si="6">1/B79*(2/($B$9+1)*(1 + ($B$9-1)/2*B79^2))^(($B$9+1)/(2*$B$9-2))</f>
        <v>7.5006012460787641</v>
      </c>
      <c r="D79" s="4">
        <f t="shared" ref="D79:D142" si="7">$B$6*$B$12/9.81*($B$9*SQRT(2/($B$9-1)*(2/($B$9+1))^(($B$9+1)/($B$9-1))*(1 - (A79/$B$3)^(($B$9-1)/$B$9))) + C79/$B$3*(A79 - $E$5))</f>
        <v>200.83250060008288</v>
      </c>
      <c r="E79" s="4">
        <f t="shared" ref="E79:E142" si="8">$B$6*$B$12/9.81*($B$9*SQRT(2/($B$9-1)*(2/($B$9+1))^(($B$9+1)/($B$9-1))*(1 - (A79/$B$3)^(($B$9-1)/$B$9))) + C79/$B$3*(A79 - $E$4))</f>
        <v>188.57473949739841</v>
      </c>
    </row>
    <row r="80" spans="1:5" x14ac:dyDescent="0.55000000000000004">
      <c r="A80" s="25">
        <v>45.75</v>
      </c>
      <c r="B80" s="4">
        <f t="shared" si="5"/>
        <v>3.0496412933550836</v>
      </c>
      <c r="C80" s="4">
        <f t="shared" si="6"/>
        <v>7.4698373866845715</v>
      </c>
      <c r="D80" s="4">
        <f t="shared" si="7"/>
        <v>200.85048536276014</v>
      </c>
      <c r="E80" s="4">
        <f t="shared" si="8"/>
        <v>188.64299970156083</v>
      </c>
    </row>
    <row r="81" spans="1:5" x14ac:dyDescent="0.55000000000000004">
      <c r="A81" s="25">
        <v>46</v>
      </c>
      <c r="B81" s="4">
        <f t="shared" si="5"/>
        <v>3.0468128058522645</v>
      </c>
      <c r="C81" s="4">
        <f t="shared" si="6"/>
        <v>7.4393731419432987</v>
      </c>
      <c r="D81" s="4">
        <f t="shared" si="7"/>
        <v>200.86788183322093</v>
      </c>
      <c r="E81" s="4">
        <f t="shared" si="8"/>
        <v>188.7101819721143</v>
      </c>
    </row>
    <row r="82" spans="1:5" x14ac:dyDescent="0.55000000000000004">
      <c r="A82" s="25">
        <v>46.25</v>
      </c>
      <c r="B82" s="4">
        <f t="shared" si="5"/>
        <v>3.0439994855151933</v>
      </c>
      <c r="C82" s="4">
        <f t="shared" si="6"/>
        <v>7.4092039823006575</v>
      </c>
      <c r="D82" s="4">
        <f t="shared" si="7"/>
        <v>200.88470066298194</v>
      </c>
      <c r="E82" s="4">
        <f t="shared" si="8"/>
        <v>188.77630436294137</v>
      </c>
    </row>
    <row r="83" spans="1:5" x14ac:dyDescent="0.55000000000000004">
      <c r="A83" s="25">
        <v>46.5</v>
      </c>
      <c r="B83" s="4">
        <f t="shared" si="5"/>
        <v>3.0412011671525341</v>
      </c>
      <c r="C83" s="4">
        <f t="shared" si="6"/>
        <v>7.3793254707573022</v>
      </c>
      <c r="D83" s="4">
        <f t="shared" si="7"/>
        <v>200.90095226893584</v>
      </c>
      <c r="E83" s="4">
        <f t="shared" si="8"/>
        <v>188.84138454204378</v>
      </c>
    </row>
    <row r="84" spans="1:5" x14ac:dyDescent="0.55000000000000004">
      <c r="A84" s="25">
        <v>46.75</v>
      </c>
      <c r="B84" s="4">
        <f t="shared" si="5"/>
        <v>3.0384176882540603</v>
      </c>
      <c r="C84" s="4">
        <f t="shared" si="6"/>
        <v>7.349733260491341</v>
      </c>
      <c r="D84" s="4">
        <f t="shared" si="7"/>
        <v>200.91664683963296</v>
      </c>
      <c r="E84" s="4">
        <f t="shared" si="8"/>
        <v>188.90543980170972</v>
      </c>
    </row>
    <row r="85" spans="1:5" x14ac:dyDescent="0.55000000000000004">
      <c r="A85" s="25">
        <v>47</v>
      </c>
      <c r="B85" s="4">
        <f t="shared" si="5"/>
        <v>3.0356488889330202</v>
      </c>
      <c r="C85" s="4">
        <f t="shared" si="6"/>
        <v>7.3204230925544831</v>
      </c>
      <c r="D85" s="4">
        <f t="shared" si="7"/>
        <v>200.93179434136397</v>
      </c>
      <c r="E85" s="4">
        <f t="shared" si="8"/>
        <v>188.96848706836124</v>
      </c>
    </row>
    <row r="86" spans="1:5" x14ac:dyDescent="0.55000000000000004">
      <c r="A86" s="25">
        <v>47.25</v>
      </c>
      <c r="B86" s="4">
        <f t="shared" si="5"/>
        <v>3.0328946118700308</v>
      </c>
      <c r="C86" s="4">
        <f t="shared" si="6"/>
        <v>7.2913907936386773</v>
      </c>
      <c r="D86" s="4">
        <f t="shared" si="7"/>
        <v>200.94640452405017</v>
      </c>
      <c r="E86" s="4">
        <f t="shared" si="8"/>
        <v>189.03054291209466</v>
      </c>
    </row>
    <row r="87" spans="1:5" x14ac:dyDescent="0.55000000000000004">
      <c r="A87" s="25">
        <v>47.5</v>
      </c>
      <c r="B87" s="4">
        <f t="shared" si="5"/>
        <v>3.0301547022584723</v>
      </c>
      <c r="C87" s="4">
        <f t="shared" si="6"/>
        <v>7.2626322739111693</v>
      </c>
      <c r="D87" s="4">
        <f t="shared" si="7"/>
        <v>200.96048692694956</v>
      </c>
      <c r="E87" s="4">
        <f t="shared" si="8"/>
        <v>189.09162355592451</v>
      </c>
    </row>
    <row r="88" spans="1:5" x14ac:dyDescent="0.55000000000000004">
      <c r="A88" s="25">
        <v>47.75</v>
      </c>
      <c r="B88" s="4">
        <f t="shared" si="5"/>
        <v>3.0274290077513162</v>
      </c>
      <c r="C88" s="4">
        <f t="shared" si="6"/>
        <v>7.2341435249152886</v>
      </c>
      <c r="D88" s="4">
        <f t="shared" si="7"/>
        <v>200.97405088418412</v>
      </c>
      <c r="E88" s="4">
        <f t="shared" si="8"/>
        <v>189.15174488474156</v>
      </c>
    </row>
    <row r="89" spans="1:5" x14ac:dyDescent="0.55000000000000004">
      <c r="A89" s="25">
        <v>48</v>
      </c>
      <c r="B89" s="4">
        <f t="shared" si="5"/>
        <v>3.0247173784093571</v>
      </c>
      <c r="C89" s="4">
        <f t="shared" si="6"/>
        <v>7.2059206175347335</v>
      </c>
      <c r="D89" s="4">
        <f t="shared" si="7"/>
        <v>200.98710553009604</v>
      </c>
      <c r="E89" s="4">
        <f t="shared" si="8"/>
        <v>189.21092245399575</v>
      </c>
    </row>
    <row r="90" spans="1:5" x14ac:dyDescent="0.55000000000000004">
      <c r="A90" s="25">
        <v>48.25</v>
      </c>
      <c r="B90" s="4">
        <f t="shared" si="5"/>
        <v>3.0220196666507992</v>
      </c>
      <c r="C90" s="4">
        <f t="shared" si="6"/>
        <v>7.1779597000190991</v>
      </c>
      <c r="D90" s="4">
        <f t="shared" si="7"/>
        <v>200.99965980443801</v>
      </c>
      <c r="E90" s="4">
        <f t="shared" si="8"/>
        <v>189.26917149811339</v>
      </c>
    </row>
    <row r="91" spans="1:5" x14ac:dyDescent="0.55000000000000004">
      <c r="A91" s="25">
        <v>48.5</v>
      </c>
      <c r="B91" s="4">
        <f t="shared" si="5"/>
        <v>3.0193357272021464</v>
      </c>
      <c r="C91" s="4">
        <f t="shared" si="6"/>
        <v>7.1502569960684284</v>
      </c>
      <c r="D91" s="4">
        <f t="shared" si="7"/>
        <v>201.01172245740395</v>
      </c>
      <c r="E91" s="4">
        <f t="shared" si="8"/>
        <v>189.32650693865799</v>
      </c>
    </row>
    <row r="92" spans="1:5" x14ac:dyDescent="0.55000000000000004">
      <c r="A92" s="25">
        <v>48.75</v>
      </c>
      <c r="B92" s="4">
        <f t="shared" si="5"/>
        <v>3.0166654170503726</v>
      </c>
      <c r="C92" s="4">
        <f t="shared" si="6"/>
        <v>7.1228088029749115</v>
      </c>
      <c r="D92" s="4">
        <f t="shared" si="7"/>
        <v>201.02330205450608</v>
      </c>
      <c r="E92" s="4">
        <f t="shared" si="8"/>
        <v>189.38294339224427</v>
      </c>
    </row>
    <row r="93" spans="1:5" x14ac:dyDescent="0.55000000000000004">
      <c r="A93" s="25">
        <v>49</v>
      </c>
      <c r="B93" s="4">
        <f t="shared" si="5"/>
        <v>3.0140085953963149</v>
      </c>
      <c r="C93" s="4">
        <f t="shared" si="6"/>
        <v>7.0956114898194143</v>
      </c>
      <c r="D93" s="4">
        <f t="shared" si="7"/>
        <v>201.03440698130294</v>
      </c>
      <c r="E93" s="4">
        <f t="shared" si="8"/>
        <v>189.43849517821386</v>
      </c>
    </row>
    <row r="94" spans="1:5" x14ac:dyDescent="0.55000000000000004">
      <c r="A94" s="25">
        <v>49.25</v>
      </c>
      <c r="B94" s="4">
        <f t="shared" si="5"/>
        <v>3.01136512360927</v>
      </c>
      <c r="C94" s="4">
        <f t="shared" si="6"/>
        <v>7.0686614957214431</v>
      </c>
      <c r="D94" s="4">
        <f t="shared" si="7"/>
        <v>201.04504544798488</v>
      </c>
      <c r="E94" s="4">
        <f t="shared" si="8"/>
        <v>189.49317632608009</v>
      </c>
    </row>
    <row r="95" spans="1:5" x14ac:dyDescent="0.55000000000000004">
      <c r="A95" s="25">
        <v>49.5</v>
      </c>
      <c r="B95" s="4">
        <f t="shared" si="5"/>
        <v>3.0087348651827366</v>
      </c>
      <c r="C95" s="4">
        <f t="shared" si="6"/>
        <v>7.0419553281400997</v>
      </c>
      <c r="D95" s="4">
        <f t="shared" si="7"/>
        <v>201.05522549382067</v>
      </c>
      <c r="E95" s="4">
        <f t="shared" si="8"/>
        <v>189.54700058275188</v>
      </c>
    </row>
    <row r="96" spans="1:5" x14ac:dyDescent="0.55000000000000004">
      <c r="A96" s="25">
        <v>49.75</v>
      </c>
      <c r="B96" s="4">
        <f t="shared" si="5"/>
        <v>3.0061176856912928</v>
      </c>
      <c r="C96" s="4">
        <f t="shared" si="6"/>
        <v>7.0154895612248573</v>
      </c>
      <c r="D96" s="4">
        <f t="shared" si="7"/>
        <v>201.0649549914711</v>
      </c>
      <c r="E96" s="4">
        <f t="shared" si="8"/>
        <v>189.59998141954205</v>
      </c>
    </row>
    <row r="97" spans="1:5" x14ac:dyDescent="0.55000000000000004">
      <c r="A97" s="25">
        <v>50</v>
      </c>
      <c r="B97" s="4">
        <f t="shared" si="5"/>
        <v>3.0035134527485448</v>
      </c>
      <c r="C97" s="4">
        <f t="shared" si="6"/>
        <v>6.989260834214039</v>
      </c>
      <c r="D97" s="4">
        <f t="shared" si="7"/>
        <v>201.07424165117357</v>
      </c>
      <c r="E97" s="4">
        <f t="shared" si="8"/>
        <v>189.65213203896965</v>
      </c>
    </row>
    <row r="98" spans="1:5" x14ac:dyDescent="0.55000000000000004">
      <c r="A98" s="25">
        <v>50.25</v>
      </c>
      <c r="B98" s="4">
        <f t="shared" si="5"/>
        <v>3.0009220359661528</v>
      </c>
      <c r="C98" s="4">
        <f t="shared" si="6"/>
        <v>6.9632658498796607</v>
      </c>
      <c r="D98" s="4">
        <f t="shared" si="7"/>
        <v>201.08309302480251</v>
      </c>
      <c r="E98" s="4">
        <f t="shared" si="8"/>
        <v>189.7034653813615</v>
      </c>
    </row>
    <row r="99" spans="1:5" x14ac:dyDescent="0.55000000000000004">
      <c r="A99" s="25">
        <v>50.5</v>
      </c>
      <c r="B99" s="4">
        <f t="shared" si="5"/>
        <v>2.9983433069138572</v>
      </c>
      <c r="C99" s="4">
        <f t="shared" si="6"/>
        <v>6.9375013730168522</v>
      </c>
      <c r="D99" s="4">
        <f t="shared" si="7"/>
        <v>201.09151650980968</v>
      </c>
      <c r="E99" s="4">
        <f t="shared" si="8"/>
        <v>189.75399413126127</v>
      </c>
    </row>
    <row r="100" spans="1:5" x14ac:dyDescent="0.55000000000000004">
      <c r="A100" s="25">
        <v>50.75</v>
      </c>
      <c r="B100" s="4">
        <f t="shared" si="5"/>
        <v>2.9957771390805177</v>
      </c>
      <c r="C100" s="4">
        <f t="shared" si="6"/>
        <v>6.911964228976613</v>
      </c>
      <c r="D100" s="4">
        <f t="shared" si="7"/>
        <v>201.09951935304824</v>
      </c>
      <c r="E100" s="4">
        <f t="shared" si="8"/>
        <v>189.80373072365143</v>
      </c>
    </row>
    <row r="101" spans="1:5" x14ac:dyDescent="0.55000000000000004">
      <c r="A101" s="25">
        <v>51</v>
      </c>
      <c r="B101" s="4">
        <f t="shared" si="5"/>
        <v>2.9932234078361022</v>
      </c>
      <c r="C101" s="4">
        <f t="shared" si="6"/>
        <v>6.8866513022401241</v>
      </c>
      <c r="D101" s="4">
        <f t="shared" si="7"/>
        <v>201.10710865448542</v>
      </c>
      <c r="E101" s="4">
        <f t="shared" si="8"/>
        <v>189.85268734999579</v>
      </c>
    </row>
    <row r="102" spans="1:5" x14ac:dyDescent="0.55000000000000004">
      <c r="A102" s="25">
        <v>51.25</v>
      </c>
      <c r="B102" s="4">
        <f t="shared" si="5"/>
        <v>2.9906819903946196</v>
      </c>
      <c r="C102" s="4">
        <f t="shared" si="6"/>
        <v>6.8615595350336447</v>
      </c>
      <c r="D102" s="4">
        <f t="shared" si="7"/>
        <v>201.11429137080626</v>
      </c>
      <c r="E102" s="4">
        <f t="shared" si="8"/>
        <v>189.90087596410675</v>
      </c>
    </row>
    <row r="103" spans="1:5" x14ac:dyDescent="0.55000000000000004">
      <c r="A103" s="25">
        <v>51.5</v>
      </c>
      <c r="B103" s="4">
        <f t="shared" si="5"/>
        <v>2.9881527657779565</v>
      </c>
      <c r="C103" s="4">
        <f t="shared" si="6"/>
        <v>6.8366859259822901</v>
      </c>
      <c r="D103" s="4">
        <f t="shared" si="7"/>
        <v>201.12107431891332</v>
      </c>
      <c r="E103" s="4">
        <f t="shared" si="8"/>
        <v>189.94830828784518</v>
      </c>
    </row>
    <row r="104" spans="1:5" x14ac:dyDescent="0.55000000000000004">
      <c r="A104" s="25">
        <v>51.75</v>
      </c>
      <c r="B104" s="4">
        <f t="shared" si="5"/>
        <v>2.9856356147805969</v>
      </c>
      <c r="C104" s="4">
        <f t="shared" si="6"/>
        <v>6.8120275288015986</v>
      </c>
      <c r="D104" s="4">
        <f t="shared" si="7"/>
        <v>201.12746417932522</v>
      </c>
      <c r="E104" s="4">
        <f t="shared" si="8"/>
        <v>189.99499581665719</v>
      </c>
    </row>
    <row r="105" spans="1:5" x14ac:dyDescent="0.55000000000000004">
      <c r="A105" s="25">
        <v>52</v>
      </c>
      <c r="B105" s="4">
        <f t="shared" si="5"/>
        <v>2.9831304199351978</v>
      </c>
      <c r="C105" s="4">
        <f t="shared" si="6"/>
        <v>6.7875814510256607</v>
      </c>
      <c r="D105" s="4">
        <f t="shared" si="7"/>
        <v>201.13346749947701</v>
      </c>
      <c r="E105" s="4">
        <f t="shared" si="8"/>
        <v>190.04094982495309</v>
      </c>
    </row>
    <row r="106" spans="1:5" x14ac:dyDescent="0.55000000000000004">
      <c r="A106" s="25">
        <v>52.25</v>
      </c>
      <c r="B106" s="4">
        <f t="shared" si="5"/>
        <v>2.9806370654789913</v>
      </c>
      <c r="C106" s="4">
        <f t="shared" si="6"/>
        <v>6.7633448527704569</v>
      </c>
      <c r="D106" s="4">
        <f t="shared" si="7"/>
        <v>201.13909069692693</v>
      </c>
      <c r="E106" s="4">
        <f t="shared" si="8"/>
        <v>190.0861813713349</v>
      </c>
    </row>
    <row r="107" spans="1:5" x14ac:dyDescent="0.55000000000000004">
      <c r="A107" s="25">
        <v>52.5</v>
      </c>
      <c r="B107" s="4">
        <f t="shared" si="5"/>
        <v>2.9781554373209991</v>
      </c>
      <c r="C107" s="4">
        <f t="shared" si="6"/>
        <v>6.7393149455314898</v>
      </c>
      <c r="D107" s="4">
        <f t="shared" si="7"/>
        <v>201.14434006247109</v>
      </c>
      <c r="E107" s="4">
        <f t="shared" si="8"/>
        <v>190.13070130367649</v>
      </c>
    </row>
    <row r="108" spans="1:5" x14ac:dyDescent="0.55000000000000004">
      <c r="A108" s="25">
        <v>52.75</v>
      </c>
      <c r="B108" s="4">
        <f t="shared" si="5"/>
        <v>2.9756854230100327</v>
      </c>
      <c r="C108" s="4">
        <f t="shared" si="6"/>
        <v>6.7154889910144639</v>
      </c>
      <c r="D108" s="4">
        <f t="shared" si="7"/>
        <v>201.14922176317046</v>
      </c>
      <c r="E108" s="4">
        <f t="shared" si="8"/>
        <v>190.17452026406099</v>
      </c>
    </row>
    <row r="109" spans="1:5" x14ac:dyDescent="0.55000000000000004">
      <c r="A109" s="25">
        <v>53</v>
      </c>
      <c r="B109" s="4">
        <f t="shared" si="5"/>
        <v>2.9732269117034451</v>
      </c>
      <c r="C109" s="4">
        <f t="shared" si="6"/>
        <v>6.6918642999979401</v>
      </c>
      <c r="D109" s="4">
        <f t="shared" si="7"/>
        <v>201.15374184529176</v>
      </c>
      <c r="E109" s="4">
        <f t="shared" si="8"/>
        <v>190.21764869358071</v>
      </c>
    </row>
    <row r="110" spans="1:5" x14ac:dyDescent="0.55000000000000004">
      <c r="A110" s="25">
        <v>53.25</v>
      </c>
      <c r="B110" s="4">
        <f t="shared" si="5"/>
        <v>2.9707797941366314</v>
      </c>
      <c r="C110" s="4">
        <f t="shared" si="6"/>
        <v>6.6684382312269763</v>
      </c>
      <c r="D110" s="4">
        <f t="shared" si="7"/>
        <v>201.15790623716654</v>
      </c>
      <c r="E110" s="4">
        <f t="shared" si="8"/>
        <v>190.260096837004</v>
      </c>
    </row>
    <row r="111" spans="1:5" x14ac:dyDescent="0.55000000000000004">
      <c r="A111" s="25">
        <v>53.5</v>
      </c>
      <c r="B111" s="4">
        <f t="shared" si="5"/>
        <v>2.9683439625932504</v>
      </c>
      <c r="C111" s="4">
        <f t="shared" si="6"/>
        <v>6.6452081903369233</v>
      </c>
      <c r="D111" s="4">
        <f t="shared" si="7"/>
        <v>201.16172075196965</v>
      </c>
      <c r="E111" s="4">
        <f t="shared" si="8"/>
        <v>190.30187474731287</v>
      </c>
    </row>
    <row r="112" spans="1:5" x14ac:dyDescent="0.55000000000000004">
      <c r="A112" s="25">
        <v>53.75</v>
      </c>
      <c r="B112" s="4">
        <f t="shared" si="5"/>
        <v>2.9659193108761293</v>
      </c>
      <c r="C112" s="4">
        <f t="shared" si="6"/>
        <v>6.6221716288059946</v>
      </c>
      <c r="D112" s="4">
        <f t="shared" si="7"/>
        <v>201.16519109042051</v>
      </c>
      <c r="E112" s="4">
        <f t="shared" si="8"/>
        <v>190.34299229011563</v>
      </c>
    </row>
    <row r="113" spans="1:5" x14ac:dyDescent="0.55000000000000004">
      <c r="A113" s="25">
        <v>54</v>
      </c>
      <c r="B113" s="4">
        <f t="shared" si="5"/>
        <v>2.9635057342788689</v>
      </c>
      <c r="C113" s="4">
        <f t="shared" si="6"/>
        <v>6.5993260429362763</v>
      </c>
      <c r="D113" s="4">
        <f t="shared" si="7"/>
        <v>201.1683228434099</v>
      </c>
      <c r="E113" s="4">
        <f t="shared" si="8"/>
        <v>190.38345914793922</v>
      </c>
    </row>
    <row r="114" spans="1:5" x14ac:dyDescent="0.55000000000000004">
      <c r="A114" s="25">
        <v>54.25</v>
      </c>
      <c r="B114" s="4">
        <f t="shared" si="5"/>
        <v>2.9611031295580936</v>
      </c>
      <c r="C114" s="4">
        <f t="shared" si="6"/>
        <v>6.5766689728617864</v>
      </c>
      <c r="D114" s="4">
        <f t="shared" si="7"/>
        <v>201.17112149455349</v>
      </c>
      <c r="E114" s="4">
        <f t="shared" si="8"/>
        <v>190.42328482440365</v>
      </c>
    </row>
    <row r="115" spans="1:5" x14ac:dyDescent="0.55000000000000004">
      <c r="A115" s="25">
        <v>54.5</v>
      </c>
      <c r="B115" s="4">
        <f t="shared" si="5"/>
        <v>2.9587113949063486</v>
      </c>
      <c r="C115" s="4">
        <f t="shared" si="6"/>
        <v>6.5541980015830426</v>
      </c>
      <c r="D115" s="4">
        <f t="shared" si="7"/>
        <v>201.17359242267634</v>
      </c>
      <c r="E115" s="4">
        <f t="shared" si="8"/>
        <v>190.46247864828422</v>
      </c>
    </row>
    <row r="116" spans="1:5" x14ac:dyDescent="0.55000000000000004">
      <c r="A116" s="25">
        <v>54.75</v>
      </c>
      <c r="B116" s="4">
        <f t="shared" si="5"/>
        <v>2.9563304299256208</v>
      </c>
      <c r="C116" s="4">
        <f t="shared" si="6"/>
        <v>6.5319107540271792</v>
      </c>
      <c r="D116" s="4">
        <f t="shared" si="7"/>
        <v>201.17574090422815</v>
      </c>
      <c r="E116" s="4">
        <f t="shared" si="8"/>
        <v>190.50104977746298</v>
      </c>
    </row>
    <row r="117" spans="1:5" x14ac:dyDescent="0.55000000000000004">
      <c r="A117" s="25">
        <v>55</v>
      </c>
      <c r="B117" s="4">
        <f t="shared" si="5"/>
        <v>2.95396013560147</v>
      </c>
      <c r="C117" s="4">
        <f t="shared" ref="C117:C148" si="9">1/B117*(2/($B$9+1)*(1 + ($B$9-1)/2*B117^2))^(($B$9+1)/(2*$B$9-2))</f>
        <v>6.5098048961328994</v>
      </c>
      <c r="D117" s="4">
        <f t="shared" si="7"/>
        <v>201.17757211563392</v>
      </c>
      <c r="E117" s="4">
        <f t="shared" si="8"/>
        <v>190.53900720277457</v>
      </c>
    </row>
    <row r="118" spans="1:5" x14ac:dyDescent="0.55000000000000004">
      <c r="A118" s="25">
        <v>55.25</v>
      </c>
      <c r="B118" s="4">
        <f t="shared" si="5"/>
        <v>2.9516004142777414</v>
      </c>
      <c r="C118" s="4">
        <f t="shared" si="9"/>
        <v>6.4878781339593559</v>
      </c>
      <c r="D118" s="4">
        <f t="shared" si="7"/>
        <v>201.17909113557997</v>
      </c>
      <c r="E118" s="4">
        <f t="shared" si="8"/>
        <v>190.57635975174858</v>
      </c>
    </row>
    <row r="119" spans="1:5" x14ac:dyDescent="0.55000000000000004">
      <c r="A119" s="25">
        <v>55.5</v>
      </c>
      <c r="B119" s="4">
        <f t="shared" si="5"/>
        <v>2.9492511696318648</v>
      </c>
      <c r="C119" s="4">
        <f t="shared" si="9"/>
        <v>6.4661282128184974</v>
      </c>
      <c r="D119" s="4">
        <f t="shared" si="7"/>
        <v>201.18030294723891</v>
      </c>
      <c r="E119" s="4">
        <f t="shared" si="8"/>
        <v>190.61311609225265</v>
      </c>
    </row>
    <row r="120" spans="1:5" x14ac:dyDescent="0.55000000000000004">
      <c r="A120" s="25">
        <v>55.75</v>
      </c>
      <c r="B120" s="4">
        <f t="shared" si="5"/>
        <v>2.9469123066507019</v>
      </c>
      <c r="C120" s="4">
        <f t="shared" si="9"/>
        <v>6.4445529164298003</v>
      </c>
      <c r="D120" s="4">
        <f t="shared" si="7"/>
        <v>201.18121244043448</v>
      </c>
      <c r="E120" s="4">
        <f t="shared" si="8"/>
        <v>190.64928473603834</v>
      </c>
    </row>
    <row r="121" spans="1:5" x14ac:dyDescent="0.55000000000000004">
      <c r="A121" s="25">
        <v>56</v>
      </c>
      <c r="B121" s="4">
        <f t="shared" si="5"/>
        <v>2.9445837316069441</v>
      </c>
      <c r="C121" s="4">
        <f t="shared" si="9"/>
        <v>6.4231500660970928</v>
      </c>
      <c r="D121" s="4">
        <f t="shared" si="7"/>
        <v>201.18182441374844</v>
      </c>
      <c r="E121" s="4">
        <f t="shared" si="8"/>
        <v>190.68487404219374</v>
      </c>
    </row>
    <row r="122" spans="1:5" x14ac:dyDescent="0.55000000000000004">
      <c r="A122" s="25">
        <v>56.25</v>
      </c>
      <c r="B122" s="4">
        <f t="shared" si="5"/>
        <v>2.942265352036034</v>
      </c>
      <c r="C122" s="4">
        <f t="shared" si="9"/>
        <v>6.4019175199064478</v>
      </c>
      <c r="D122" s="4">
        <f t="shared" si="7"/>
        <v>201.18214357657158</v>
      </c>
      <c r="E122" s="4">
        <f t="shared" si="8"/>
        <v>190.71989222050482</v>
      </c>
    </row>
    <row r="123" spans="1:5" x14ac:dyDescent="0.55000000000000004">
      <c r="A123" s="25">
        <v>56.5</v>
      </c>
      <c r="B123" s="4">
        <f t="shared" si="5"/>
        <v>2.9399570767136098</v>
      </c>
      <c r="C123" s="4">
        <f t="shared" si="9"/>
        <v>6.3808531719447918</v>
      </c>
      <c r="D123" s="4">
        <f t="shared" si="7"/>
        <v>201.18217455109996</v>
      </c>
      <c r="E123" s="4">
        <f t="shared" si="8"/>
        <v>190.75434733472906</v>
      </c>
    </row>
    <row r="124" spans="1:5" x14ac:dyDescent="0.55000000000000004">
      <c r="A124" s="25">
        <v>56.75</v>
      </c>
      <c r="B124" s="4">
        <f t="shared" si="5"/>
        <v>2.937658815633438</v>
      </c>
      <c r="C124" s="4">
        <f t="shared" si="9"/>
        <v>6.3599549515383815</v>
      </c>
      <c r="D124" s="4">
        <f t="shared" si="7"/>
        <v>201.18192187427871</v>
      </c>
      <c r="E124" s="4">
        <f t="shared" si="8"/>
        <v>190.78824730578344</v>
      </c>
    </row>
    <row r="125" spans="1:5" x14ac:dyDescent="0.55000000000000004">
      <c r="A125" s="25">
        <v>57</v>
      </c>
      <c r="B125" s="4">
        <f t="shared" si="5"/>
        <v>2.9353704799858504</v>
      </c>
      <c r="C125" s="4">
        <f t="shared" si="9"/>
        <v>6.3392208225108284</v>
      </c>
      <c r="D125" s="4">
        <f t="shared" si="7"/>
        <v>201.18138999969443</v>
      </c>
      <c r="E125" s="4">
        <f t="shared" si="8"/>
        <v>190.82159991484971</v>
      </c>
    </row>
    <row r="126" spans="1:5" x14ac:dyDescent="0.55000000000000004">
      <c r="A126" s="25">
        <v>57.25</v>
      </c>
      <c r="B126" s="4">
        <f t="shared" si="5"/>
        <v>2.9330919821366406</v>
      </c>
      <c r="C126" s="4">
        <f t="shared" si="9"/>
        <v>6.3186487824597064</v>
      </c>
      <c r="D126" s="4">
        <f t="shared" si="7"/>
        <v>201.1805832994184</v>
      </c>
      <c r="E126" s="4">
        <f t="shared" si="8"/>
        <v>190.85441280639952</v>
      </c>
    </row>
    <row r="127" spans="1:5" x14ac:dyDescent="0.55000000000000004">
      <c r="A127" s="25">
        <v>57.5</v>
      </c>
      <c r="B127" s="4">
        <f t="shared" si="5"/>
        <v>2.9308232356064314</v>
      </c>
      <c r="C127" s="4">
        <f t="shared" si="9"/>
        <v>6.2982368620516125</v>
      </c>
      <c r="D127" s="4">
        <f t="shared" si="7"/>
        <v>201.17950606580118</v>
      </c>
      <c r="E127" s="4">
        <f t="shared" si="8"/>
        <v>190.88669349114122</v>
      </c>
    </row>
    <row r="128" spans="1:5" x14ac:dyDescent="0.55000000000000004">
      <c r="A128" s="25">
        <v>57.75</v>
      </c>
      <c r="B128" s="4">
        <f t="shared" si="5"/>
        <v>2.9285641550504953</v>
      </c>
      <c r="C128" s="4">
        <f t="shared" si="9"/>
        <v>6.2779831243348401</v>
      </c>
      <c r="D128" s="4">
        <f t="shared" si="7"/>
        <v>201.178162513221</v>
      </c>
      <c r="E128" s="4">
        <f t="shared" si="8"/>
        <v>190.91844934889144</v>
      </c>
    </row>
    <row r="129" spans="1:5" x14ac:dyDescent="0.55000000000000004">
      <c r="A129" s="25">
        <v>58</v>
      </c>
      <c r="B129" s="4">
        <f t="shared" si="5"/>
        <v>2.9263146562390037</v>
      </c>
      <c r="C129" s="4">
        <f t="shared" si="9"/>
        <v>6.2578856640692582</v>
      </c>
      <c r="D129" s="4">
        <f t="shared" si="7"/>
        <v>201.17655677978681</v>
      </c>
      <c r="E129" s="4">
        <f t="shared" si="8"/>
        <v>190.94968763137331</v>
      </c>
    </row>
    <row r="130" spans="1:5" x14ac:dyDescent="0.55000000000000004">
      <c r="A130" s="25">
        <v>58.25</v>
      </c>
      <c r="B130" s="4">
        <f t="shared" si="5"/>
        <v>2.9240746560377135</v>
      </c>
      <c r="C130" s="4">
        <f t="shared" si="9"/>
        <v>6.2379426070728412</v>
      </c>
      <c r="D130" s="4">
        <f t="shared" si="7"/>
        <v>201.17469292899736</v>
      </c>
      <c r="E130" s="4">
        <f t="shared" si="8"/>
        <v>190.98041546494343</v>
      </c>
    </row>
    <row r="131" spans="1:5" x14ac:dyDescent="0.55000000000000004">
      <c r="A131" s="25">
        <v>58.5</v>
      </c>
      <c r="B131" s="4">
        <f t="shared" si="5"/>
        <v>2.9218440723890624</v>
      </c>
      <c r="C131" s="4">
        <f t="shared" si="9"/>
        <v>6.2181521095845165</v>
      </c>
      <c r="D131" s="4">
        <f t="shared" si="7"/>
        <v>201.17257495135775</v>
      </c>
      <c r="E131" s="4">
        <f t="shared" si="8"/>
        <v>191.01063985324973</v>
      </c>
    </row>
    <row r="132" spans="1:5" x14ac:dyDescent="0.55000000000000004">
      <c r="A132" s="25">
        <v>58.75</v>
      </c>
      <c r="B132" s="4">
        <f t="shared" si="5"/>
        <v>2.919622824293675</v>
      </c>
      <c r="C132" s="4">
        <f t="shared" si="9"/>
        <v>6.1985123576426426</v>
      </c>
      <c r="D132" s="4">
        <f t="shared" si="7"/>
        <v>201.17020676595473</v>
      </c>
      <c r="E132" s="4">
        <f t="shared" si="8"/>
        <v>191.04036767982248</v>
      </c>
    </row>
    <row r="133" spans="1:5" x14ac:dyDescent="0.55000000000000004">
      <c r="A133" s="25">
        <v>59</v>
      </c>
      <c r="B133" s="4">
        <f t="shared" si="5"/>
        <v>2.9174108317922611</v>
      </c>
      <c r="C133" s="4">
        <f t="shared" si="9"/>
        <v>6.1790215664787942</v>
      </c>
      <c r="D133" s="4">
        <f t="shared" si="7"/>
        <v>201.1675922219919</v>
      </c>
      <c r="E133" s="4">
        <f t="shared" si="8"/>
        <v>191.06960571060003</v>
      </c>
    </row>
    <row r="134" spans="1:5" x14ac:dyDescent="0.55000000000000004">
      <c r="A134" s="25">
        <v>59.25</v>
      </c>
      <c r="B134" s="4">
        <f t="shared" si="5"/>
        <v>2.9152080159479024</v>
      </c>
      <c r="C134" s="4">
        <f t="shared" si="9"/>
        <v>6.1596779799264256</v>
      </c>
      <c r="D134" s="4">
        <f t="shared" si="7"/>
        <v>201.16473510028575</v>
      </c>
      <c r="E134" s="4">
        <f t="shared" si="8"/>
        <v>191.09836059639159</v>
      </c>
    </row>
    <row r="135" spans="1:5" x14ac:dyDescent="0.55000000000000004">
      <c r="A135" s="25">
        <v>59.5</v>
      </c>
      <c r="B135" s="4">
        <f t="shared" si="5"/>
        <v>2.913014298828704</v>
      </c>
      <c r="C135" s="4">
        <f t="shared" si="9"/>
        <v>6.1404798698438805</v>
      </c>
      <c r="D135" s="4">
        <f t="shared" si="7"/>
        <v>201.16163911472455</v>
      </c>
      <c r="E135" s="4">
        <f t="shared" si="8"/>
        <v>191.12663887527853</v>
      </c>
    </row>
    <row r="136" spans="1:5" x14ac:dyDescent="0.55000000000000004">
      <c r="A136" s="25">
        <v>59.75</v>
      </c>
      <c r="B136" s="4">
        <f t="shared" si="5"/>
        <v>2.9108296034908339</v>
      </c>
      <c r="C136" s="4">
        <f t="shared" si="9"/>
        <v>6.1214255355515625</v>
      </c>
      <c r="D136" s="4">
        <f t="shared" si="7"/>
        <v>201.15830791368978</v>
      </c>
      <c r="E136" s="4">
        <f t="shared" si="8"/>
        <v>191.15444697495624</v>
      </c>
    </row>
    <row r="137" spans="1:5" x14ac:dyDescent="0.55000000000000004">
      <c r="A137" s="25">
        <v>60</v>
      </c>
      <c r="B137" s="4">
        <f t="shared" si="5"/>
        <v>2.9086538539618898</v>
      </c>
      <c r="C137" s="4">
        <f t="shared" si="9"/>
        <v>6.1025133032824757</v>
      </c>
      <c r="D137" s="4">
        <f t="shared" si="7"/>
        <v>201.15474508144243</v>
      </c>
      <c r="E137" s="4">
        <f t="shared" si="8"/>
        <v>191.1817912150178</v>
      </c>
    </row>
    <row r="138" spans="1:5" x14ac:dyDescent="0.55000000000000004">
      <c r="A138" s="25">
        <v>60.25</v>
      </c>
      <c r="B138" s="4">
        <f t="shared" si="5"/>
        <v>2.9064869752246398</v>
      </c>
      <c r="C138" s="4">
        <f t="shared" si="9"/>
        <v>6.0837415256462331</v>
      </c>
      <c r="D138" s="4">
        <f t="shared" si="7"/>
        <v>201.15095413947472</v>
      </c>
      <c r="E138" s="4">
        <f t="shared" si="8"/>
        <v>191.20867780918203</v>
      </c>
    </row>
    <row r="139" spans="1:5" x14ac:dyDescent="0.55000000000000004">
      <c r="A139" s="25">
        <v>60.5</v>
      </c>
      <c r="B139" s="4">
        <f t="shared" si="5"/>
        <v>2.9043288932010847</v>
      </c>
      <c r="C139" s="4">
        <f t="shared" si="9"/>
        <v>6.0651085811057603</v>
      </c>
      <c r="D139" s="4">
        <f t="shared" si="7"/>
        <v>201.14693854782814</v>
      </c>
      <c r="E139" s="4">
        <f t="shared" si="8"/>
        <v>191.23511286746648</v>
      </c>
    </row>
    <row r="140" spans="1:5" x14ac:dyDescent="0.55000000000000004">
      <c r="A140" s="25">
        <v>60.75</v>
      </c>
      <c r="B140" s="4">
        <f t="shared" si="5"/>
        <v>2.90217953473686</v>
      </c>
      <c r="C140" s="4">
        <f t="shared" si="9"/>
        <v>6.0466128734665743</v>
      </c>
      <c r="D140" s="4">
        <f t="shared" si="7"/>
        <v>201.1427017063786</v>
      </c>
      <c r="E140" s="4">
        <f t="shared" si="8"/>
        <v>191.26110239830746</v>
      </c>
    </row>
    <row r="141" spans="1:5" x14ac:dyDescent="0.55000000000000004">
      <c r="A141" s="25">
        <v>61</v>
      </c>
      <c r="B141" s="4">
        <f t="shared" si="5"/>
        <v>2.9000388275859543</v>
      </c>
      <c r="C141" s="4">
        <f t="shared" si="9"/>
        <v>6.02825283137817</v>
      </c>
      <c r="D141" s="4">
        <f t="shared" si="7"/>
        <v>201.13824695609074</v>
      </c>
      <c r="E141" s="4">
        <f t="shared" si="8"/>
        <v>191.2866523106288</v>
      </c>
    </row>
    <row r="142" spans="1:5" x14ac:dyDescent="0.55000000000000004">
      <c r="A142" s="25">
        <v>61.25</v>
      </c>
      <c r="B142" s="4">
        <f t="shared" si="5"/>
        <v>2.8979067003957506</v>
      </c>
      <c r="C142" s="4">
        <f t="shared" si="9"/>
        <v>6.0100269078472435</v>
      </c>
      <c r="D142" s="4">
        <f t="shared" si="7"/>
        <v>201.13357758024017</v>
      </c>
      <c r="E142" s="4">
        <f t="shared" si="8"/>
        <v>191.31176841586012</v>
      </c>
    </row>
    <row r="143" spans="1:5" x14ac:dyDescent="0.55000000000000004">
      <c r="A143" s="25">
        <v>61.5</v>
      </c>
      <c r="B143" s="4">
        <f t="shared" ref="B143:B206" si="10">SQRT(2/($B$9-1)*((A143/$B$3)^((1-$B$9)/$B$9) - 1))</f>
        <v>2.8957830826923616</v>
      </c>
      <c r="C143" s="4">
        <f t="shared" si="9"/>
        <v>5.9919335797623532</v>
      </c>
      <c r="D143" s="4">
        <f t="shared" ref="D143:D206" si="11">$B$6*$B$12/9.81*($B$9*SQRT(2/($B$9-1)*(2/($B$9+1))^(($B$9+1)/($B$9-1))*(1 - (A143/$B$3)^(($B$9-1)/$B$9))) + C143/$B$3*(A143 - $E$5))</f>
        <v>201.12869680560721</v>
      </c>
      <c r="E143" s="4">
        <f t="shared" ref="E143:E206" si="12">$B$6*$B$12/9.81*($B$9*SQRT(2/($B$9-1)*(2/($B$9+1))^(($B$9+1)/($B$9-1))*(1 - (A143/$B$3)^(($B$9-1)/$B$9))) + C143/$B$3*(A143 - $E$4))</f>
        <v>191.33645642990697</v>
      </c>
    </row>
    <row r="144" spans="1:5" x14ac:dyDescent="0.55000000000000004">
      <c r="A144" s="25">
        <v>61.75</v>
      </c>
      <c r="B144" s="4">
        <f t="shared" si="10"/>
        <v>2.893667904866279</v>
      </c>
      <c r="C144" s="4">
        <f t="shared" si="9"/>
        <v>5.9739713474298481</v>
      </c>
      <c r="D144" s="4">
        <f t="shared" si="11"/>
        <v>201.12360780364043</v>
      </c>
      <c r="E144" s="4">
        <f t="shared" si="12"/>
        <v>191.36072197507306</v>
      </c>
    </row>
    <row r="145" spans="1:5" x14ac:dyDescent="0.55000000000000004">
      <c r="A145" s="25">
        <v>62</v>
      </c>
      <c r="B145" s="4">
        <f t="shared" si="10"/>
        <v>2.8915610981582982</v>
      </c>
      <c r="C145" s="4">
        <f t="shared" si="9"/>
        <v>5.9561387341204783</v>
      </c>
      <c r="D145" s="4">
        <f t="shared" si="11"/>
        <v>201.11831369159236</v>
      </c>
      <c r="E145" s="4">
        <f t="shared" si="12"/>
        <v>191.38457058193666</v>
      </c>
    </row>
    <row r="146" spans="1:5" x14ac:dyDescent="0.55000000000000004">
      <c r="A146" s="25">
        <v>62.25</v>
      </c>
      <c r="B146" s="4">
        <f t="shared" si="10"/>
        <v>2.8894625946457437</v>
      </c>
      <c r="C146" s="4">
        <f t="shared" si="9"/>
        <v>5.9384342856267649</v>
      </c>
      <c r="D146" s="4">
        <f t="shared" si="11"/>
        <v>201.11281753362826</v>
      </c>
      <c r="E146" s="4">
        <f t="shared" si="12"/>
        <v>191.40800769118283</v>
      </c>
    </row>
    <row r="147" spans="1:5" x14ac:dyDescent="0.55000000000000004">
      <c r="A147" s="25">
        <v>62.5</v>
      </c>
      <c r="B147" s="4">
        <f t="shared" si="10"/>
        <v>2.8873723272289613</v>
      </c>
      <c r="C147" s="4">
        <f t="shared" si="9"/>
        <v>5.9208565698305291</v>
      </c>
      <c r="D147" s="4">
        <f t="shared" si="11"/>
        <v>201.107122341907</v>
      </c>
      <c r="E147" s="4">
        <f t="shared" si="12"/>
        <v>191.43103865539123</v>
      </c>
    </row>
    <row r="148" spans="1:5" x14ac:dyDescent="0.55000000000000004">
      <c r="A148" s="25">
        <v>62.75</v>
      </c>
      <c r="B148" s="4">
        <f t="shared" si="10"/>
        <v>2.885290229618088</v>
      </c>
      <c r="C148" s="4">
        <f t="shared" si="9"/>
        <v>5.903404176280425</v>
      </c>
      <c r="D148" s="4">
        <f t="shared" si="11"/>
        <v>201.10123107763729</v>
      </c>
      <c r="E148" s="4">
        <f t="shared" si="12"/>
        <v>191.45366874078255</v>
      </c>
    </row>
    <row r="149" spans="1:5" x14ac:dyDescent="0.55000000000000004">
      <c r="A149" s="25">
        <v>63</v>
      </c>
      <c r="B149" s="4">
        <f t="shared" si="10"/>
        <v>2.88321623632008</v>
      </c>
      <c r="C149" s="4">
        <f t="shared" ref="C149:C180" si="13">1/B149*(2/($B$9+1)*(1 + ($B$9-1)/2*B149^2))^(($B$9+1)/(2*$B$9-2))</f>
        <v>5.88607571577925</v>
      </c>
      <c r="D149" s="4">
        <f t="shared" si="11"/>
        <v>201.0951466521079</v>
      </c>
      <c r="E149" s="4">
        <f t="shared" si="12"/>
        <v>191.47590312892316</v>
      </c>
    </row>
    <row r="150" spans="1:5" x14ac:dyDescent="0.55000000000000004">
      <c r="A150" s="25">
        <v>63.25</v>
      </c>
      <c r="B150" s="4">
        <f t="shared" si="10"/>
        <v>2.8811502826260078</v>
      </c>
      <c r="C150" s="4">
        <f t="shared" si="13"/>
        <v>5.8688698199806684</v>
      </c>
      <c r="D150" s="4">
        <f t="shared" si="11"/>
        <v>201.0888719276933</v>
      </c>
      <c r="E150" s="4">
        <f t="shared" si="12"/>
        <v>191.49774691838996</v>
      </c>
    </row>
    <row r="151" spans="1:5" x14ac:dyDescent="0.55000000000000004">
      <c r="A151" s="25">
        <v>63.5</v>
      </c>
      <c r="B151" s="4">
        <f t="shared" si="10"/>
        <v>2.8790923045985948</v>
      </c>
      <c r="C151" s="4">
        <f t="shared" si="13"/>
        <v>5.8517851409951938</v>
      </c>
      <c r="D151" s="4">
        <f t="shared" si="11"/>
        <v>201.08240971883615</v>
      </c>
      <c r="E151" s="4">
        <f t="shared" si="12"/>
        <v>191.51920512639666</v>
      </c>
    </row>
    <row r="152" spans="1:5" x14ac:dyDescent="0.55000000000000004">
      <c r="A152" s="25">
        <v>63.75</v>
      </c>
      <c r="B152" s="4">
        <f t="shared" si="10"/>
        <v>2.8770422390600081</v>
      </c>
      <c r="C152" s="4">
        <f t="shared" si="13"/>
        <v>5.8348203510050736</v>
      </c>
      <c r="D152" s="4">
        <f t="shared" si="11"/>
        <v>201.07576279300568</v>
      </c>
      <c r="E152" s="4">
        <f t="shared" si="12"/>
        <v>191.54028269038156</v>
      </c>
    </row>
    <row r="153" spans="1:5" x14ac:dyDescent="0.55000000000000004">
      <c r="A153" s="25">
        <v>64</v>
      </c>
      <c r="B153" s="4">
        <f t="shared" si="10"/>
        <v>2.8750000235798865</v>
      </c>
      <c r="C153" s="4">
        <f t="shared" si="13"/>
        <v>5.8179741418879791</v>
      </c>
      <c r="D153" s="4">
        <f t="shared" si="11"/>
        <v>201.0689338716341</v>
      </c>
      <c r="E153" s="4">
        <f t="shared" si="12"/>
        <v>191.56098446955895</v>
      </c>
    </row>
    <row r="154" spans="1:5" x14ac:dyDescent="0.55000000000000004">
      <c r="A154" s="25">
        <v>64.25</v>
      </c>
      <c r="B154" s="4">
        <f t="shared" si="10"/>
        <v>2.8729655964636045</v>
      </c>
      <c r="C154" s="4">
        <f t="shared" si="13"/>
        <v>5.8012452248491169</v>
      </c>
      <c r="D154" s="4">
        <f t="shared" si="11"/>
        <v>201.06192563103085</v>
      </c>
      <c r="E154" s="4">
        <f t="shared" si="12"/>
        <v>191.58131524643468</v>
      </c>
    </row>
    <row r="155" spans="1:5" x14ac:dyDescent="0.55000000000000004">
      <c r="A155" s="25">
        <v>64.5</v>
      </c>
      <c r="B155" s="4">
        <f t="shared" si="10"/>
        <v>2.8709388967407685</v>
      </c>
      <c r="C155" s="4">
        <f t="shared" si="13"/>
        <v>5.7846323300617009</v>
      </c>
      <c r="D155" s="4">
        <f t="shared" si="11"/>
        <v>201.0547407032758</v>
      </c>
      <c r="E155" s="4">
        <f t="shared" si="12"/>
        <v>191.60127972828656</v>
      </c>
    </row>
    <row r="156" spans="1:5" x14ac:dyDescent="0.55000000000000004">
      <c r="A156" s="25">
        <v>64.75</v>
      </c>
      <c r="B156" s="4">
        <f t="shared" si="10"/>
        <v>2.8689198641539289</v>
      </c>
      <c r="C156" s="4">
        <f t="shared" si="13"/>
        <v>5.7681342063153815</v>
      </c>
      <c r="D156" s="4">
        <f t="shared" si="11"/>
        <v>201.04738167709081</v>
      </c>
      <c r="E156" s="4">
        <f t="shared" si="12"/>
        <v>191.62088254861095</v>
      </c>
    </row>
    <row r="157" spans="1:5" x14ac:dyDescent="0.55000000000000004">
      <c r="A157" s="25">
        <v>65</v>
      </c>
      <c r="B157" s="4">
        <f t="shared" si="10"/>
        <v>2.8669084391475175</v>
      </c>
      <c r="C157" s="4">
        <f t="shared" si="13"/>
        <v>5.7517496206725625</v>
      </c>
      <c r="D157" s="4">
        <f t="shared" si="11"/>
        <v>201.03985109869211</v>
      </c>
      <c r="E157" s="4">
        <f t="shared" si="12"/>
        <v>191.6401282685365</v>
      </c>
    </row>
    <row r="158" spans="1:5" x14ac:dyDescent="0.55000000000000004">
      <c r="A158" s="25">
        <v>65.25</v>
      </c>
      <c r="B158" s="4">
        <f t="shared" si="10"/>
        <v>2.8649045628570007</v>
      </c>
      <c r="C158" s="4">
        <f t="shared" si="13"/>
        <v>5.7354773581324263</v>
      </c>
      <c r="D158" s="4">
        <f t="shared" si="11"/>
        <v>201.03215147262236</v>
      </c>
      <c r="E158" s="4">
        <f t="shared" si="12"/>
        <v>191.6590213782053</v>
      </c>
    </row>
    <row r="159" spans="1:5" x14ac:dyDescent="0.55000000000000004">
      <c r="A159" s="25">
        <v>65.5</v>
      </c>
      <c r="B159" s="4">
        <f t="shared" si="10"/>
        <v>2.8629081770982339</v>
      </c>
      <c r="C159" s="4">
        <f t="shared" si="13"/>
        <v>5.7193162213022548</v>
      </c>
      <c r="D159" s="4">
        <f t="shared" si="11"/>
        <v>201.02428526256352</v>
      </c>
      <c r="E159" s="4">
        <f t="shared" si="12"/>
        <v>191.67756629812294</v>
      </c>
    </row>
    <row r="160" spans="1:5" x14ac:dyDescent="0.55000000000000004">
      <c r="A160" s="25">
        <v>65.75</v>
      </c>
      <c r="B160" s="4">
        <f t="shared" si="10"/>
        <v>2.8609192243570223</v>
      </c>
      <c r="C160" s="4">
        <f t="shared" si="13"/>
        <v>5.7032650300761247</v>
      </c>
      <c r="D160" s="4">
        <f t="shared" si="11"/>
        <v>201.01625489213151</v>
      </c>
      <c r="E160" s="4">
        <f t="shared" si="12"/>
        <v>191.69576738047834</v>
      </c>
    </row>
    <row r="161" spans="1:6" x14ac:dyDescent="0.55000000000000004">
      <c r="A161" s="25">
        <v>66</v>
      </c>
      <c r="B161" s="4">
        <f t="shared" si="10"/>
        <v>2.858937647778887</v>
      </c>
      <c r="C161" s="4">
        <f t="shared" si="13"/>
        <v>5.6873226213206269</v>
      </c>
      <c r="D161" s="4">
        <f t="shared" si="11"/>
        <v>201.00806274565238</v>
      </c>
      <c r="E161" s="4">
        <f t="shared" si="12"/>
        <v>191.71362891043321</v>
      </c>
      <c r="F161" s="25"/>
    </row>
    <row r="162" spans="1:6" x14ac:dyDescent="0.55000000000000004">
      <c r="A162" s="25">
        <v>66.25</v>
      </c>
      <c r="B162" s="4">
        <f t="shared" si="10"/>
        <v>2.8569633911590162</v>
      </c>
      <c r="C162" s="4">
        <f t="shared" si="13"/>
        <v>5.6714878485674252</v>
      </c>
      <c r="D162" s="4">
        <f t="shared" si="11"/>
        <v>200.99971116892061</v>
      </c>
      <c r="E162" s="4">
        <f t="shared" si="12"/>
        <v>191.73115510738333</v>
      </c>
      <c r="F162" s="25"/>
    </row>
    <row r="163" spans="1:6" x14ac:dyDescent="0.55000000000000004">
      <c r="A163" s="25">
        <v>66.5</v>
      </c>
      <c r="B163" s="4">
        <f t="shared" si="10"/>
        <v>2.8549963989324159</v>
      </c>
      <c r="C163" s="4">
        <f t="shared" si="13"/>
        <v>5.655759581712597</v>
      </c>
      <c r="D163" s="4">
        <f t="shared" si="11"/>
        <v>200.99120246994079</v>
      </c>
      <c r="E163" s="4">
        <f t="shared" si="12"/>
        <v>191.74835012619101</v>
      </c>
      <c r="F163" s="25"/>
    </row>
    <row r="164" spans="1:6" x14ac:dyDescent="0.55000000000000004">
      <c r="A164" s="25">
        <v>66.75</v>
      </c>
      <c r="B164" s="4">
        <f t="shared" si="10"/>
        <v>2.8530366161642391</v>
      </c>
      <c r="C164" s="4">
        <f t="shared" si="13"/>
        <v>5.6401367067224424</v>
      </c>
      <c r="D164" s="4">
        <f t="shared" si="11"/>
        <v>200.982538919652</v>
      </c>
      <c r="E164" s="4">
        <f t="shared" si="12"/>
        <v>191.76521805839056</v>
      </c>
      <c r="F164" s="25"/>
    </row>
    <row r="165" spans="1:6" x14ac:dyDescent="0.55000000000000004">
      <c r="A165" s="25">
        <v>67</v>
      </c>
      <c r="B165" s="4">
        <f t="shared" si="10"/>
        <v>2.8510839885403003</v>
      </c>
      <c r="C165" s="4">
        <f t="shared" si="13"/>
        <v>5.6246181253456822</v>
      </c>
      <c r="D165" s="4">
        <f t="shared" si="11"/>
        <v>200.97372275263601</v>
      </c>
      <c r="E165" s="4">
        <f t="shared" si="12"/>
        <v>191.78176293336685</v>
      </c>
      <c r="F165" s="25"/>
    </row>
    <row r="166" spans="1:6" x14ac:dyDescent="0.55000000000000004">
      <c r="A166" s="25">
        <v>67.25</v>
      </c>
      <c r="B166" s="4">
        <f t="shared" si="10"/>
        <v>2.8491384623577689</v>
      </c>
      <c r="C166" s="4">
        <f t="shared" si="13"/>
        <v>5.6092027548318972</v>
      </c>
      <c r="D166" s="4">
        <f t="shared" si="11"/>
        <v>200.96475616780967</v>
      </c>
      <c r="E166" s="4">
        <f t="shared" si="12"/>
        <v>191.79798871950757</v>
      </c>
      <c r="F166" s="25"/>
    </row>
    <row r="167" spans="1:6" x14ac:dyDescent="0.55000000000000004">
      <c r="A167" s="25">
        <v>67.5</v>
      </c>
      <c r="B167" s="4">
        <f t="shared" si="10"/>
        <v>2.847199984516033</v>
      </c>
      <c r="C167" s="4">
        <f t="shared" si="13"/>
        <v>5.5938895276559393</v>
      </c>
      <c r="D167" s="4">
        <f t="shared" si="11"/>
        <v>200.95564132910187</v>
      </c>
      <c r="E167" s="4">
        <f t="shared" si="12"/>
        <v>191.81389932533088</v>
      </c>
      <c r="F167" s="25"/>
    </row>
    <row r="168" spans="1:6" x14ac:dyDescent="0.55000000000000004">
      <c r="A168" s="25">
        <v>67.75</v>
      </c>
      <c r="B168" s="4">
        <f t="shared" si="10"/>
        <v>2.8452685025077358</v>
      </c>
      <c r="C168" s="4">
        <f t="shared" si="13"/>
        <v>5.5786773912483438</v>
      </c>
      <c r="D168" s="4">
        <f t="shared" si="11"/>
        <v>200.94638036611505</v>
      </c>
      <c r="E168" s="4">
        <f t="shared" si="12"/>
        <v>191.82949860058741</v>
      </c>
      <c r="F168" s="25"/>
    </row>
    <row r="169" spans="1:6" x14ac:dyDescent="0.55000000000000004">
      <c r="A169" s="25">
        <v>68</v>
      </c>
      <c r="B169" s="4">
        <f t="shared" si="10"/>
        <v>2.8433439644099767</v>
      </c>
      <c r="C169" s="4">
        <f t="shared" si="13"/>
        <v>5.5635653077313814</v>
      </c>
      <c r="D169" s="4">
        <f t="shared" si="11"/>
        <v>200.93697537477243</v>
      </c>
      <c r="E169" s="4">
        <f t="shared" si="12"/>
        <v>191.84479033733865</v>
      </c>
      <c r="F169" s="25"/>
    </row>
    <row r="170" spans="1:6" x14ac:dyDescent="0.55000000000000004">
      <c r="A170" s="25">
        <v>68.25</v>
      </c>
      <c r="B170" s="4">
        <f t="shared" si="10"/>
        <v>2.8414263188756741</v>
      </c>
      <c r="C170" s="4">
        <f t="shared" si="13"/>
        <v>5.5485522536608478</v>
      </c>
      <c r="D170" s="4">
        <f t="shared" si="11"/>
        <v>200.92742841795055</v>
      </c>
      <c r="E170" s="4">
        <f t="shared" si="12"/>
        <v>191.85977827101166</v>
      </c>
      <c r="F170" s="25"/>
    </row>
    <row r="171" spans="1:6" x14ac:dyDescent="0.55000000000000004">
      <c r="A171" s="25">
        <v>68.5</v>
      </c>
      <c r="B171" s="4">
        <f t="shared" si="10"/>
        <v>2.8395155151250897</v>
      </c>
      <c r="C171" s="4">
        <f t="shared" si="13"/>
        <v>5.5336372197731709</v>
      </c>
      <c r="D171" s="4">
        <f t="shared" si="11"/>
        <v>200.9177415260983</v>
      </c>
      <c r="E171" s="4">
        <f t="shared" si="12"/>
        <v>191.87446608143131</v>
      </c>
      <c r="F171" s="25"/>
    </row>
    <row r="172" spans="1:6" x14ac:dyDescent="0.55000000000000004">
      <c r="A172" s="25">
        <v>68.75</v>
      </c>
      <c r="B172" s="4">
        <f t="shared" si="10"/>
        <v>2.8376115029375075</v>
      </c>
      <c r="C172" s="4">
        <f t="shared" si="13"/>
        <v>5.5188192107379974</v>
      </c>
      <c r="D172" s="4">
        <f t="shared" si="11"/>
        <v>200.90791669784173</v>
      </c>
      <c r="E172" s="4">
        <f t="shared" si="12"/>
        <v>191.88885739382957</v>
      </c>
      <c r="F172" s="25"/>
    </row>
    <row r="173" spans="1:6" x14ac:dyDescent="0.55000000000000004">
      <c r="A173" s="25">
        <v>69</v>
      </c>
      <c r="B173" s="4">
        <f t="shared" si="10"/>
        <v>2.8357142326430602</v>
      </c>
      <c r="C173" s="4">
        <f t="shared" si="13"/>
        <v>5.504097244915882</v>
      </c>
      <c r="D173" s="4">
        <f t="shared" si="11"/>
        <v>200.89795590057631</v>
      </c>
      <c r="E173" s="4">
        <f t="shared" si="12"/>
        <v>191.90295577983341</v>
      </c>
      <c r="F173" s="25"/>
    </row>
    <row r="174" spans="1:6" x14ac:dyDescent="0.55000000000000004">
      <c r="A174" s="25">
        <v>69.25</v>
      </c>
      <c r="B174" s="4">
        <f t="shared" si="10"/>
        <v>2.8338236551147094</v>
      </c>
      <c r="C174" s="4">
        <f t="shared" si="13"/>
        <v>5.4894703541210719</v>
      </c>
      <c r="D174" s="4">
        <f t="shared" si="11"/>
        <v>200.88786107104536</v>
      </c>
      <c r="E174" s="4">
        <f t="shared" si="12"/>
        <v>191.91676475843144</v>
      </c>
      <c r="F174" s="25"/>
    </row>
    <row r="175" spans="1:6" x14ac:dyDescent="0.55000000000000004">
      <c r="A175" s="25">
        <v>69.5</v>
      </c>
      <c r="B175" s="4">
        <f t="shared" si="10"/>
        <v>2.8319397217603712</v>
      </c>
      <c r="C175" s="4">
        <f t="shared" si="13"/>
        <v>5.4749375833892939</v>
      </c>
      <c r="D175" s="4">
        <f t="shared" si="11"/>
        <v>200.87763411590714</v>
      </c>
      <c r="E175" s="4">
        <f t="shared" si="12"/>
        <v>191.93028779691983</v>
      </c>
      <c r="F175" s="25"/>
    </row>
    <row r="176" spans="1:6" x14ac:dyDescent="0.55000000000000004">
      <c r="A176" s="11">
        <f>E5</f>
        <v>56.401942621880451</v>
      </c>
      <c r="B176" s="11">
        <f t="shared" si="10"/>
        <v>2.9408612518409822</v>
      </c>
      <c r="C176" s="11">
        <f t="shared" si="13"/>
        <v>6.3890953159108639</v>
      </c>
      <c r="D176" s="11">
        <f t="shared" si="11"/>
        <v>201.18219646024923</v>
      </c>
      <c r="E176" s="11">
        <f t="shared" si="12"/>
        <v>190.7408996261243</v>
      </c>
      <c r="F176" s="2" t="s">
        <v>61</v>
      </c>
    </row>
    <row r="177" spans="1:5" x14ac:dyDescent="0.55000000000000004">
      <c r="A177" s="25">
        <v>69.75</v>
      </c>
      <c r="B177" s="4">
        <f t="shared" si="10"/>
        <v>2.8300623845151796</v>
      </c>
      <c r="C177" s="4">
        <f t="shared" si="13"/>
        <v>5.4604979907502873</v>
      </c>
      <c r="D177" s="4">
        <f t="shared" si="11"/>
        <v>200.86727691228825</v>
      </c>
      <c r="E177" s="4">
        <f t="shared" si="12"/>
        <v>191.94352831182803</v>
      </c>
    </row>
    <row r="178" spans="1:5" x14ac:dyDescent="0.55000000000000004">
      <c r="A178" s="25">
        <v>70</v>
      </c>
      <c r="B178" s="4">
        <f t="shared" si="10"/>
        <v>2.8281915958338923</v>
      </c>
      <c r="C178" s="4">
        <f t="shared" si="13"/>
        <v>5.4461506470051182</v>
      </c>
      <c r="D178" s="4">
        <f t="shared" si="11"/>
        <v>200.85679130832602</v>
      </c>
      <c r="E178" s="4">
        <f t="shared" si="12"/>
        <v>191.9564896698248</v>
      </c>
    </row>
    <row r="179" spans="1:5" x14ac:dyDescent="0.55000000000000004">
      <c r="A179" s="25">
        <v>70.25</v>
      </c>
      <c r="B179" s="4">
        <f t="shared" si="10"/>
        <v>2.8263273086834362</v>
      </c>
      <c r="C179" s="4">
        <f t="shared" si="13"/>
        <v>5.431894635508054</v>
      </c>
      <c r="D179" s="4">
        <f t="shared" si="11"/>
        <v>200.84617912369907</v>
      </c>
      <c r="E179" s="4">
        <f t="shared" si="12"/>
        <v>191.96917518860522</v>
      </c>
    </row>
    <row r="180" spans="1:5" x14ac:dyDescent="0.55000000000000004">
      <c r="A180" s="25">
        <v>70.5</v>
      </c>
      <c r="B180" s="4">
        <f t="shared" si="10"/>
        <v>2.8244694765355742</v>
      </c>
      <c r="C180" s="4">
        <f t="shared" si="13"/>
        <v>5.4177290519529437</v>
      </c>
      <c r="D180" s="4">
        <f t="shared" si="11"/>
        <v>200.83544215014592</v>
      </c>
      <c r="E180" s="4">
        <f t="shared" si="12"/>
        <v>191.98158813775851</v>
      </c>
    </row>
    <row r="181" spans="1:5" x14ac:dyDescent="0.55000000000000004">
      <c r="A181" s="25">
        <v>70.75</v>
      </c>
      <c r="B181" s="4">
        <f t="shared" si="10"/>
        <v>2.82261805335972</v>
      </c>
      <c r="C181" s="4">
        <f t="shared" ref="C181:C198" si="14">1/B181*(2/($B$9+1)*(1 + ($B$9-1)/2*B181^2))^(($B$9+1)/(2*$B$9-2))</f>
        <v>5.4036530041639619</v>
      </c>
      <c r="D181" s="4">
        <f t="shared" si="11"/>
        <v>200.82458215197352</v>
      </c>
      <c r="E181" s="4">
        <f t="shared" si="12"/>
        <v>191.99373173961854</v>
      </c>
    </row>
    <row r="182" spans="1:5" x14ac:dyDescent="0.55000000000000004">
      <c r="A182" s="25">
        <v>71</v>
      </c>
      <c r="B182" s="4">
        <f t="shared" si="10"/>
        <v>2.8207729936158614</v>
      </c>
      <c r="C182" s="4">
        <f t="shared" si="14"/>
        <v>5.3896656118906341</v>
      </c>
      <c r="D182" s="4">
        <f t="shared" si="11"/>
        <v>200.81360086655366</v>
      </c>
      <c r="E182" s="4">
        <f t="shared" si="12"/>
        <v>192.005609170095</v>
      </c>
    </row>
    <row r="183" spans="1:5" x14ac:dyDescent="0.55000000000000004">
      <c r="A183" s="25">
        <v>71.25</v>
      </c>
      <c r="B183" s="4">
        <f t="shared" si="10"/>
        <v>2.8189342522476251</v>
      </c>
      <c r="C183" s="4">
        <f t="shared" si="14"/>
        <v>5.3757660066070372</v>
      </c>
      <c r="D183" s="4">
        <f t="shared" si="11"/>
        <v>200.80250000481007</v>
      </c>
      <c r="E183" s="4">
        <f t="shared" si="12"/>
        <v>192.01722355948908</v>
      </c>
    </row>
    <row r="184" spans="1:5" x14ac:dyDescent="0.55000000000000004">
      <c r="A184" s="25">
        <v>71.5</v>
      </c>
      <c r="B184" s="4">
        <f t="shared" si="10"/>
        <v>2.8171017846754522</v>
      </c>
      <c r="C184" s="4">
        <f t="shared" si="14"/>
        <v>5.3619533313150729</v>
      </c>
      <c r="D184" s="4">
        <f t="shared" si="11"/>
        <v>200.7912812516943</v>
      </c>
      <c r="E184" s="4">
        <f t="shared" si="12"/>
        <v>192.02857799329033</v>
      </c>
    </row>
    <row r="185" spans="1:5" x14ac:dyDescent="0.55000000000000004">
      <c r="A185" s="25">
        <v>71.75</v>
      </c>
      <c r="B185" s="4">
        <f t="shared" si="10"/>
        <v>2.8152755467899029</v>
      </c>
      <c r="C185" s="4">
        <f t="shared" si="14"/>
        <v>5.3482267403517225</v>
      </c>
      <c r="D185" s="4">
        <f t="shared" si="11"/>
        <v>200.77994626665196</v>
      </c>
      <c r="E185" s="4">
        <f t="shared" si="12"/>
        <v>192.0396755129583</v>
      </c>
    </row>
    <row r="186" spans="1:5" x14ac:dyDescent="0.55000000000000004">
      <c r="A186" s="25">
        <v>72</v>
      </c>
      <c r="B186" s="4">
        <f t="shared" si="10"/>
        <v>2.8134554949450656</v>
      </c>
      <c r="C186" s="4">
        <f t="shared" si="14"/>
        <v>5.3345853992001455</v>
      </c>
      <c r="D186" s="4">
        <f t="shared" si="11"/>
        <v>200.76849668407911</v>
      </c>
      <c r="E186" s="4">
        <f t="shared" si="12"/>
        <v>192.05051911668752</v>
      </c>
    </row>
    <row r="187" spans="1:5" x14ac:dyDescent="0.55000000000000004">
      <c r="A187" s="25">
        <v>72.25</v>
      </c>
      <c r="B187" s="4">
        <f t="shared" si="10"/>
        <v>2.8116415859520973</v>
      </c>
      <c r="C187" s="4">
        <f t="shared" si="14"/>
        <v>5.3210284843046471</v>
      </c>
      <c r="D187" s="4">
        <f t="shared" si="11"/>
        <v>200.75693411376909</v>
      </c>
      <c r="E187" s="4">
        <f t="shared" si="12"/>
        <v>192.06111176015659</v>
      </c>
    </row>
    <row r="188" spans="1:5" x14ac:dyDescent="0.55000000000000004">
      <c r="A188" s="25">
        <v>72.5</v>
      </c>
      <c r="B188" s="4">
        <f t="shared" si="10"/>
        <v>2.8098337770728614</v>
      </c>
      <c r="C188" s="4">
        <f t="shared" si="14"/>
        <v>5.30755518288926</v>
      </c>
      <c r="D188" s="4">
        <f t="shared" si="11"/>
        <v>200.74526014134977</v>
      </c>
      <c r="E188" s="4">
        <f t="shared" si="12"/>
        <v>192.07145635726204</v>
      </c>
    </row>
    <row r="189" spans="1:5" x14ac:dyDescent="0.55000000000000004">
      <c r="A189" s="25">
        <v>72.75</v>
      </c>
      <c r="B189" s="4">
        <f t="shared" si="10"/>
        <v>2.8080320260136844</v>
      </c>
      <c r="C189" s="4">
        <f t="shared" si="14"/>
        <v>5.2941646927800052</v>
      </c>
      <c r="D189" s="4">
        <f t="shared" si="11"/>
        <v>200.73347632871204</v>
      </c>
      <c r="E189" s="4">
        <f t="shared" si="12"/>
        <v>192.08155578083725</v>
      </c>
    </row>
    <row r="190" spans="1:5" x14ac:dyDescent="0.55000000000000004">
      <c r="A190" s="25">
        <v>73</v>
      </c>
      <c r="B190" s="4">
        <f t="shared" si="10"/>
        <v>2.8062362909192169</v>
      </c>
      <c r="C190" s="4">
        <f t="shared" si="14"/>
        <v>5.2808562222306454</v>
      </c>
      <c r="D190" s="4">
        <f t="shared" si="11"/>
        <v>200.72158421442919</v>
      </c>
      <c r="E190" s="4">
        <f t="shared" si="12"/>
        <v>192.09141286335665</v>
      </c>
    </row>
    <row r="191" spans="1:5" x14ac:dyDescent="0.55000000000000004">
      <c r="A191" s="25">
        <v>73.25</v>
      </c>
      <c r="B191" s="4">
        <f t="shared" si="10"/>
        <v>2.8044465303664019</v>
      </c>
      <c r="C191" s="4">
        <f t="shared" si="14"/>
        <v>5.2676289897519446</v>
      </c>
      <c r="D191" s="4">
        <f t="shared" si="11"/>
        <v>200.7095853141677</v>
      </c>
      <c r="E191" s="4">
        <f t="shared" si="12"/>
        <v>192.10103039762538</v>
      </c>
    </row>
    <row r="192" spans="1:5" x14ac:dyDescent="0.55000000000000004">
      <c r="A192" s="25">
        <v>73.5</v>
      </c>
      <c r="B192" s="4">
        <f t="shared" si="10"/>
        <v>2.8026627033585441</v>
      </c>
      <c r="C192" s="4">
        <f t="shared" si="14"/>
        <v>5.2544822239442013</v>
      </c>
      <c r="D192" s="4">
        <f t="shared" si="11"/>
        <v>200.69748112108911</v>
      </c>
      <c r="E192" s="4">
        <f t="shared" si="12"/>
        <v>192.11041113745517</v>
      </c>
    </row>
    <row r="193" spans="1:5" x14ac:dyDescent="0.55000000000000004">
      <c r="A193" s="25">
        <v>73.75</v>
      </c>
      <c r="B193" s="4">
        <f t="shared" si="10"/>
        <v>2.8008847693194823</v>
      </c>
      <c r="C193" s="4">
        <f t="shared" si="14"/>
        <v>5.2414151633331647</v>
      </c>
      <c r="D193" s="4">
        <f t="shared" si="11"/>
        <v>200.68527310624469</v>
      </c>
      <c r="E193" s="4">
        <f t="shared" si="12"/>
        <v>192.11955779832667</v>
      </c>
    </row>
    <row r="194" spans="1:5" x14ac:dyDescent="0.55000000000000004">
      <c r="A194" s="25">
        <v>74</v>
      </c>
      <c r="B194" s="4">
        <f t="shared" si="10"/>
        <v>2.7991126880878623</v>
      </c>
      <c r="C194" s="4">
        <f t="shared" si="14"/>
        <v>5.2284270562091306</v>
      </c>
      <c r="D194" s="4">
        <f t="shared" si="11"/>
        <v>200.67296271896072</v>
      </c>
      <c r="E194" s="4">
        <f t="shared" si="12"/>
        <v>192.12847305803811</v>
      </c>
    </row>
    <row r="195" spans="1:5" x14ac:dyDescent="0.55000000000000004">
      <c r="A195" s="25">
        <v>74.25</v>
      </c>
      <c r="B195" s="4">
        <f t="shared" si="10"/>
        <v>2.7973464199115021</v>
      </c>
      <c r="C195" s="4">
        <f t="shared" si="14"/>
        <v>5.2155171604691732</v>
      </c>
      <c r="D195" s="4">
        <f t="shared" si="11"/>
        <v>200.660551387217</v>
      </c>
      <c r="E195" s="4">
        <f t="shared" si="12"/>
        <v>192.13715955734142</v>
      </c>
    </row>
    <row r="196" spans="1:5" x14ac:dyDescent="0.55000000000000004">
      <c r="A196" s="25">
        <v>74.5</v>
      </c>
      <c r="B196" s="4">
        <f t="shared" si="10"/>
        <v>2.7955859254418574</v>
      </c>
      <c r="C196" s="4">
        <f t="shared" si="14"/>
        <v>5.2026847434624486</v>
      </c>
      <c r="D196" s="4">
        <f t="shared" si="11"/>
        <v>200.64804051801664</v>
      </c>
      <c r="E196" s="4">
        <f t="shared" si="12"/>
        <v>192.14561990056495</v>
      </c>
    </row>
    <row r="197" spans="1:5" x14ac:dyDescent="0.55000000000000004">
      <c r="A197" s="25">
        <v>74.75</v>
      </c>
      <c r="B197" s="4">
        <f t="shared" si="10"/>
        <v>2.7938311657285775</v>
      </c>
      <c r="C197" s="4">
        <f t="shared" si="14"/>
        <v>5.1899290818385202</v>
      </c>
      <c r="D197" s="4">
        <f t="shared" si="11"/>
        <v>200.63543149774924</v>
      </c>
      <c r="E197" s="4">
        <f t="shared" si="12"/>
        <v>192.15385665622443</v>
      </c>
    </row>
    <row r="198" spans="1:5" x14ac:dyDescent="0.55000000000000004">
      <c r="A198" s="25">
        <v>75</v>
      </c>
      <c r="B198" s="4">
        <f t="shared" si="10"/>
        <v>2.7920821022141546</v>
      </c>
      <c r="C198" s="4">
        <f t="shared" si="14"/>
        <v>5.1772494613986009</v>
      </c>
      <c r="D198" s="4">
        <f t="shared" si="11"/>
        <v>200.6227256925462</v>
      </c>
      <c r="E198" s="4">
        <f t="shared" si="12"/>
        <v>192.16187235762149</v>
      </c>
    </row>
    <row r="199" spans="1:5" x14ac:dyDescent="0.55000000000000004">
      <c r="A199" s="25">
        <v>75.25</v>
      </c>
      <c r="B199" s="4">
        <f t="shared" si="10"/>
        <v>2.7903386967286616</v>
      </c>
      <c r="C199" s="4">
        <f t="shared" ref="C199:C238" si="15">1/B199*(2/($B$9+1)*(1 + ($B$9-1)/2*B199^2))^(($B$9+1)/(2*$B$9-2))</f>
        <v>5.1646451769496657</v>
      </c>
      <c r="D199" s="4">
        <f t="shared" si="11"/>
        <v>200.60992444862904</v>
      </c>
      <c r="E199" s="4">
        <f t="shared" si="12"/>
        <v>192.16966950343024</v>
      </c>
    </row>
    <row r="200" spans="1:5" x14ac:dyDescent="0.55000000000000004">
      <c r="A200" s="25">
        <v>75.5</v>
      </c>
      <c r="B200" s="4">
        <f t="shared" si="10"/>
        <v>2.7886009114845733</v>
      </c>
      <c r="C200" s="4">
        <f t="shared" si="15"/>
        <v>5.1521155321613499</v>
      </c>
      <c r="D200" s="4">
        <f t="shared" si="11"/>
        <v>200.5970290926505</v>
      </c>
      <c r="E200" s="4">
        <f t="shared" si="12"/>
        <v>192.17725055827236</v>
      </c>
    </row>
    <row r="201" spans="1:5" x14ac:dyDescent="0.55000000000000004">
      <c r="A201" s="25">
        <v>75.75</v>
      </c>
      <c r="B201" s="4">
        <f t="shared" si="10"/>
        <v>2.786868709071685</v>
      </c>
      <c r="C201" s="4">
        <f t="shared" si="15"/>
        <v>5.1396598394256214</v>
      </c>
      <c r="D201" s="4">
        <f t="shared" si="11"/>
        <v>200.58404093202918</v>
      </c>
      <c r="E201" s="4">
        <f t="shared" si="12"/>
        <v>192.18461795328102</v>
      </c>
    </row>
    <row r="202" spans="1:5" x14ac:dyDescent="0.55000000000000004">
      <c r="A202" s="25">
        <v>76</v>
      </c>
      <c r="B202" s="4">
        <f t="shared" si="10"/>
        <v>2.7851420524521036</v>
      </c>
      <c r="C202" s="4">
        <f t="shared" si="15"/>
        <v>5.1272774197191104</v>
      </c>
      <c r="D202" s="4">
        <f t="shared" si="11"/>
        <v>200.5709612552771</v>
      </c>
      <c r="E202" s="4">
        <f t="shared" si="12"/>
        <v>192.19177408665348</v>
      </c>
    </row>
    <row r="203" spans="1:5" x14ac:dyDescent="0.55000000000000004">
      <c r="A203" s="25">
        <v>76.25</v>
      </c>
      <c r="B203" s="4">
        <f t="shared" si="10"/>
        <v>2.783420904955324</v>
      </c>
      <c r="C203" s="4">
        <f t="shared" si="15"/>
        <v>5.1149676024680204</v>
      </c>
      <c r="D203" s="4">
        <f t="shared" si="11"/>
        <v>200.5577913323209</v>
      </c>
      <c r="E203" s="4">
        <f t="shared" si="12"/>
        <v>192.198721324193</v>
      </c>
    </row>
    <row r="204" spans="1:5" x14ac:dyDescent="0.55000000000000004">
      <c r="A204" s="25">
        <v>76.5</v>
      </c>
      <c r="B204" s="4">
        <f t="shared" si="10"/>
        <v>2.7817052302733951</v>
      </c>
      <c r="C204" s="4">
        <f t="shared" si="15"/>
        <v>5.1027297254157054</v>
      </c>
      <c r="D204" s="4">
        <f t="shared" si="11"/>
        <v>200.54453241481664</v>
      </c>
      <c r="E204" s="4">
        <f t="shared" si="12"/>
        <v>192.20546199984</v>
      </c>
    </row>
    <row r="205" spans="1:5" x14ac:dyDescent="0.55000000000000004">
      <c r="A205" s="25">
        <v>76.75</v>
      </c>
      <c r="B205" s="4">
        <f t="shared" si="10"/>
        <v>2.7799949924561544</v>
      </c>
      <c r="C205" s="4">
        <f t="shared" si="15"/>
        <v>5.0905631344926112</v>
      </c>
      <c r="D205" s="4">
        <f t="shared" si="11"/>
        <v>200.53118573645864</v>
      </c>
      <c r="E205" s="4">
        <f t="shared" si="12"/>
        <v>192.21199841619352</v>
      </c>
    </row>
    <row r="206" spans="1:5" x14ac:dyDescent="0.55000000000000004">
      <c r="A206" s="25">
        <v>77</v>
      </c>
      <c r="B206" s="4">
        <f t="shared" si="10"/>
        <v>2.7782901559065438</v>
      </c>
      <c r="C206" s="4">
        <f t="shared" si="15"/>
        <v>5.0784671836887849</v>
      </c>
      <c r="D206" s="4">
        <f t="shared" si="11"/>
        <v>200.51775251328138</v>
      </c>
      <c r="E206" s="4">
        <f t="shared" si="12"/>
        <v>192.21833284502159</v>
      </c>
    </row>
    <row r="207" spans="1:5" x14ac:dyDescent="0.55000000000000004">
      <c r="A207" s="25">
        <v>77.25</v>
      </c>
      <c r="B207" s="4">
        <f t="shared" ref="B207:B270" si="16">SQRT(2/($B$9-1)*((A207/$B$3)^((1-$B$9)/$B$9) - 1))</f>
        <v>2.7765906853760045</v>
      </c>
      <c r="C207" s="4">
        <f t="shared" si="15"/>
        <v>5.066441234928698</v>
      </c>
      <c r="D207" s="4">
        <f t="shared" ref="D207:D270" si="17">$B$6*$B$12/9.81*($B$9*SQRT(2/($B$9-1)*(2/($B$9+1))^(($B$9+1)/($B$9-1))*(1 - (A207/$B$3)^(($B$9-1)/$B$9))) + C207/$B$3*(A207 - $E$5))</f>
        <v>200.50423394395656</v>
      </c>
      <c r="E207" s="4">
        <f t="shared" ref="E207:E270" si="18">$B$6*$B$12/9.81*($B$9*SQRT(2/($B$9-1)*(2/($B$9+1))^(($B$9+1)/($B$9-1))*(1 - (A207/$B$3)^(($B$9-1)/$B$9))) + C207/$B$3*(A207 - $E$4))</f>
        <v>192.22446752776258</v>
      </c>
    </row>
    <row r="208" spans="1:5" x14ac:dyDescent="0.55000000000000004">
      <c r="A208" s="25">
        <v>77.5</v>
      </c>
      <c r="B208" s="4">
        <f t="shared" si="16"/>
        <v>2.7748965459599471</v>
      </c>
      <c r="C208" s="4">
        <f t="shared" si="15"/>
        <v>5.0544846579484757</v>
      </c>
      <c r="D208" s="4">
        <f t="shared" si="17"/>
        <v>200.49063121008365</v>
      </c>
      <c r="E208" s="4">
        <f t="shared" si="18"/>
        <v>192.2304046760166</v>
      </c>
    </row>
    <row r="209" spans="1:5" x14ac:dyDescent="0.55000000000000004">
      <c r="A209" s="25">
        <v>77.75</v>
      </c>
      <c r="B209" s="4">
        <f t="shared" si="16"/>
        <v>2.7732077030932865</v>
      </c>
      <c r="C209" s="4">
        <f t="shared" si="15"/>
        <v>5.0425968301753308</v>
      </c>
      <c r="D209" s="4">
        <f t="shared" si="17"/>
        <v>200.47694547647464</v>
      </c>
      <c r="E209" s="4">
        <f t="shared" si="18"/>
        <v>192.23614647202717</v>
      </c>
    </row>
    <row r="210" spans="1:5" x14ac:dyDescent="0.55000000000000004">
      <c r="A210" s="25">
        <v>78</v>
      </c>
      <c r="B210" s="4">
        <f t="shared" si="16"/>
        <v>2.7715241225460612</v>
      </c>
      <c r="C210" s="4">
        <f t="shared" si="15"/>
        <v>5.030777136609343</v>
      </c>
      <c r="D210" s="4">
        <f t="shared" si="17"/>
        <v>200.46317789143376</v>
      </c>
      <c r="E210" s="4">
        <f t="shared" si="18"/>
        <v>192.24169506915433</v>
      </c>
    </row>
    <row r="211" spans="1:5" x14ac:dyDescent="0.55000000000000004">
      <c r="A211" s="25">
        <v>78.25</v>
      </c>
      <c r="B211" s="4">
        <f t="shared" si="16"/>
        <v>2.769845770419114</v>
      </c>
      <c r="C211" s="4">
        <f t="shared" si="15"/>
        <v>5.0190249697073392</v>
      </c>
      <c r="D211" s="4">
        <f t="shared" si="17"/>
        <v>200.44932958703146</v>
      </c>
      <c r="E211" s="4">
        <f t="shared" si="18"/>
        <v>192.24705259233804</v>
      </c>
    </row>
    <row r="212" spans="1:5" x14ac:dyDescent="0.55000000000000004">
      <c r="A212" s="25">
        <v>78.5</v>
      </c>
      <c r="B212" s="4">
        <f t="shared" si="16"/>
        <v>2.7681726131398467</v>
      </c>
      <c r="C212" s="4">
        <f t="shared" si="15"/>
        <v>5.0073397292689874</v>
      </c>
      <c r="D212" s="4">
        <f t="shared" si="17"/>
        <v>200.43540167937294</v>
      </c>
      <c r="E212" s="4">
        <f t="shared" si="18"/>
        <v>192.25222113855321</v>
      </c>
    </row>
    <row r="213" spans="1:5" x14ac:dyDescent="0.55000000000000004">
      <c r="A213" s="25">
        <v>78.75</v>
      </c>
      <c r="B213" s="4">
        <f t="shared" si="16"/>
        <v>2.7665046174580392</v>
      </c>
      <c r="C213" s="4">
        <f t="shared" si="15"/>
        <v>4.9957208223249161</v>
      </c>
      <c r="D213" s="4">
        <f t="shared" si="17"/>
        <v>200.4213952688618</v>
      </c>
      <c r="E213" s="4">
        <f t="shared" si="18"/>
        <v>192.257202777256</v>
      </c>
    </row>
    <row r="214" spans="1:5" x14ac:dyDescent="0.55000000000000004">
      <c r="A214" s="25">
        <v>79</v>
      </c>
      <c r="B214" s="4">
        <f t="shared" si="16"/>
        <v>2.7648417504417395</v>
      </c>
      <c r="C214" s="4">
        <f t="shared" si="15"/>
        <v>4.9841676630269811</v>
      </c>
      <c r="D214" s="4">
        <f t="shared" si="17"/>
        <v>200.40731144045836</v>
      </c>
      <c r="E214" s="4">
        <f t="shared" si="18"/>
        <v>192.26199955082157</v>
      </c>
    </row>
    <row r="215" spans="1:5" x14ac:dyDescent="0.55000000000000004">
      <c r="A215" s="25">
        <v>79.25</v>
      </c>
      <c r="B215" s="4">
        <f t="shared" si="16"/>
        <v>2.7631839794732125</v>
      </c>
      <c r="C215" s="4">
        <f t="shared" si="15"/>
        <v>4.9726796725404032</v>
      </c>
      <c r="D215" s="4">
        <f t="shared" si="17"/>
        <v>200.39315126393308</v>
      </c>
      <c r="E215" s="4">
        <f t="shared" si="18"/>
        <v>192.26661347497361</v>
      </c>
    </row>
    <row r="216" spans="1:5" x14ac:dyDescent="0.55000000000000004">
      <c r="A216" s="25">
        <v>79.5</v>
      </c>
      <c r="B216" s="4">
        <f t="shared" si="16"/>
        <v>2.7615312722449614</v>
      </c>
      <c r="C216" s="4">
        <f t="shared" si="15"/>
        <v>4.9612562789380528</v>
      </c>
      <c r="D216" s="4">
        <f t="shared" si="17"/>
        <v>200.37891579411527</v>
      </c>
      <c r="E216" s="4">
        <f t="shared" si="18"/>
        <v>192.271046539206</v>
      </c>
    </row>
    <row r="217" spans="1:5" x14ac:dyDescent="0.55000000000000004">
      <c r="A217" s="25">
        <v>79.75</v>
      </c>
      <c r="B217" s="4">
        <f t="shared" si="16"/>
        <v>2.7598835967558073</v>
      </c>
      <c r="C217" s="4">
        <f t="shared" si="15"/>
        <v>4.9498969170965195</v>
      </c>
      <c r="D217" s="4">
        <f t="shared" si="17"/>
        <v>200.36460607113685</v>
      </c>
      <c r="E217" s="4">
        <f t="shared" si="18"/>
        <v>192.27530070719641</v>
      </c>
    </row>
    <row r="218" spans="1:5" x14ac:dyDescent="0.55000000000000004">
      <c r="A218" s="25">
        <v>80</v>
      </c>
      <c r="B218" s="4">
        <f t="shared" si="16"/>
        <v>2.7582409213070251</v>
      </c>
      <c r="C218" s="4">
        <f t="shared" si="15"/>
        <v>4.9386010285940687</v>
      </c>
      <c r="D218" s="4">
        <f t="shared" si="17"/>
        <v>200.3502231206715</v>
      </c>
      <c r="E218" s="4">
        <f t="shared" si="18"/>
        <v>192.27937791721189</v>
      </c>
    </row>
    <row r="219" spans="1:5" x14ac:dyDescent="0.55000000000000004">
      <c r="A219" s="25">
        <v>80.25</v>
      </c>
      <c r="B219" s="4">
        <f t="shared" si="16"/>
        <v>2.7566032144985533</v>
      </c>
      <c r="C219" s="4">
        <f t="shared" si="15"/>
        <v>4.9273680616105286</v>
      </c>
      <c r="D219" s="4">
        <f t="shared" si="17"/>
        <v>200.33576795416934</v>
      </c>
      <c r="E219" s="4">
        <f t="shared" si="18"/>
        <v>192.2832800825077</v>
      </c>
    </row>
    <row r="220" spans="1:5" x14ac:dyDescent="0.55000000000000004">
      <c r="A220" s="25">
        <v>80.5</v>
      </c>
      <c r="B220" s="4">
        <f t="shared" si="16"/>
        <v>2.7549704452252497</v>
      </c>
      <c r="C220" s="4">
        <f t="shared" si="15"/>
        <v>4.9161974708289264</v>
      </c>
      <c r="D220" s="4">
        <f t="shared" si="17"/>
        <v>200.32124156908711</v>
      </c>
      <c r="E220" s="4">
        <f t="shared" si="18"/>
        <v>192.28700909171781</v>
      </c>
    </row>
    <row r="221" spans="1:5" x14ac:dyDescent="0.55000000000000004">
      <c r="A221" s="4">
        <v>80.75</v>
      </c>
      <c r="B221" s="4">
        <f t="shared" si="16"/>
        <v>2.7533425826732132</v>
      </c>
      <c r="C221" s="4">
        <f t="shared" si="15"/>
        <v>4.9050887173388604</v>
      </c>
      <c r="D221" s="4">
        <f t="shared" si="17"/>
        <v>200.306644949114</v>
      </c>
      <c r="E221" s="4">
        <f t="shared" si="18"/>
        <v>192.29056680923878</v>
      </c>
    </row>
    <row r="222" spans="1:5" x14ac:dyDescent="0.55000000000000004">
      <c r="A222" s="26">
        <v>81</v>
      </c>
      <c r="B222" s="4">
        <f t="shared" si="16"/>
        <v>2.7517195963161609</v>
      </c>
      <c r="C222" s="4">
        <f t="shared" si="15"/>
        <v>4.8940412685416703</v>
      </c>
      <c r="D222" s="4">
        <f t="shared" si="17"/>
        <v>200.29197906439336</v>
      </c>
      <c r="E222" s="4">
        <f t="shared" si="18"/>
        <v>192.29395507560648</v>
      </c>
    </row>
    <row r="223" spans="1:5" x14ac:dyDescent="0.55000000000000004">
      <c r="A223" s="25">
        <v>81.25</v>
      </c>
      <c r="B223" s="4">
        <f t="shared" si="16"/>
        <v>2.7501014559118615</v>
      </c>
      <c r="C223" s="4">
        <f t="shared" si="15"/>
        <v>4.8830545980572619</v>
      </c>
      <c r="D223" s="4">
        <f t="shared" si="17"/>
        <v>200.27724487173992</v>
      </c>
      <c r="E223" s="4">
        <f t="shared" si="18"/>
        <v>192.29717570786556</v>
      </c>
    </row>
    <row r="224" spans="1:5" x14ac:dyDescent="0.55000000000000004">
      <c r="A224" s="25">
        <v>81.5</v>
      </c>
      <c r="B224" s="4">
        <f t="shared" si="16"/>
        <v>2.7484881314986218</v>
      </c>
      <c r="C224" s="4">
        <f t="shared" si="15"/>
        <v>4.8721281856325795</v>
      </c>
      <c r="D224" s="4">
        <f t="shared" si="17"/>
        <v>200.26244331485341</v>
      </c>
      <c r="E224" s="4">
        <f t="shared" si="18"/>
        <v>192.30023049993255</v>
      </c>
    </row>
    <row r="225" spans="1:5" x14ac:dyDescent="0.55000000000000004">
      <c r="A225" s="25">
        <v>81.75</v>
      </c>
      <c r="B225" s="4">
        <f t="shared" si="16"/>
        <v>2.746879593391832</v>
      </c>
      <c r="C225" s="4">
        <f t="shared" si="15"/>
        <v>4.8612615170517284</v>
      </c>
      <c r="D225" s="4">
        <f t="shared" si="17"/>
        <v>200.24757532452759</v>
      </c>
      <c r="E225" s="4">
        <f t="shared" si="18"/>
        <v>192.303121222952</v>
      </c>
    </row>
    <row r="226" spans="1:5" x14ac:dyDescent="0.55000000000000004">
      <c r="A226" s="25">
        <v>82</v>
      </c>
      <c r="B226" s="4">
        <f t="shared" si="16"/>
        <v>2.7452758121805547</v>
      </c>
      <c r="C226" s="4">
        <f t="shared" si="15"/>
        <v>4.8504540840476595</v>
      </c>
      <c r="D226" s="4">
        <f t="shared" si="17"/>
        <v>200.23264181885614</v>
      </c>
      <c r="E226" s="4">
        <f t="shared" si="18"/>
        <v>192.3058496256464</v>
      </c>
    </row>
    <row r="227" spans="1:5" x14ac:dyDescent="0.55000000000000004">
      <c r="A227" s="25">
        <v>82.25</v>
      </c>
      <c r="B227" s="4">
        <f t="shared" si="16"/>
        <v>2.7436767587241824</v>
      </c>
      <c r="C227" s="4">
        <f t="shared" si="15"/>
        <v>4.8397053842154554</v>
      </c>
      <c r="D227" s="4">
        <f t="shared" si="17"/>
        <v>200.21764370343394</v>
      </c>
      <c r="E227" s="4">
        <f t="shared" si="18"/>
        <v>192.30841743465945</v>
      </c>
    </row>
    <row r="228" spans="1:5" x14ac:dyDescent="0.55000000000000004">
      <c r="A228" s="25">
        <v>82.5</v>
      </c>
      <c r="B228" s="4">
        <f t="shared" si="16"/>
        <v>2.7420824041491256</v>
      </c>
      <c r="C228" s="4">
        <f t="shared" si="15"/>
        <v>4.8290149209270679</v>
      </c>
      <c r="D228" s="4">
        <f t="shared" si="17"/>
        <v>200.20258187155525</v>
      </c>
      <c r="E228" s="4">
        <f t="shared" si="18"/>
        <v>192.31082635489344</v>
      </c>
    </row>
    <row r="229" spans="1:5" x14ac:dyDescent="0.55000000000000004">
      <c r="A229" s="25">
        <v>82.75</v>
      </c>
      <c r="B229" s="4">
        <f t="shared" si="16"/>
        <v>2.7404927198455686</v>
      </c>
      <c r="C229" s="4">
        <f t="shared" si="15"/>
        <v>4.8183822032476291</v>
      </c>
      <c r="D229" s="4">
        <f t="shared" si="17"/>
        <v>200.18745720440788</v>
      </c>
      <c r="E229" s="4">
        <f t="shared" si="18"/>
        <v>192.31307806984006</v>
      </c>
    </row>
    <row r="230" spans="1:5" x14ac:dyDescent="0.55000000000000004">
      <c r="A230" s="25">
        <v>83</v>
      </c>
      <c r="B230" s="4">
        <f t="shared" si="16"/>
        <v>2.7389076774642649</v>
      </c>
      <c r="C230" s="4">
        <f t="shared" si="15"/>
        <v>4.8078067458531679</v>
      </c>
      <c r="D230" s="4">
        <f t="shared" si="17"/>
        <v>200.17227057126388</v>
      </c>
      <c r="E230" s="4">
        <f t="shared" si="18"/>
        <v>192.31517424190594</v>
      </c>
    </row>
    <row r="231" spans="1:5" x14ac:dyDescent="0.55000000000000004">
      <c r="A231" s="25">
        <v>83.25</v>
      </c>
      <c r="B231" s="4">
        <f t="shared" si="16"/>
        <v>2.737327248913382</v>
      </c>
      <c r="C231" s="4">
        <f t="shared" si="15"/>
        <v>4.797288068949773</v>
      </c>
      <c r="D231" s="4">
        <f t="shared" si="17"/>
        <v>200.15702282966666</v>
      </c>
      <c r="E231" s="4">
        <f t="shared" si="18"/>
        <v>192.31711651273147</v>
      </c>
    </row>
    <row r="232" spans="1:5" x14ac:dyDescent="0.55000000000000004">
      <c r="A232" s="25">
        <v>83.5</v>
      </c>
      <c r="B232" s="4">
        <f t="shared" si="16"/>
        <v>2.7357514063554005</v>
      </c>
      <c r="C232" s="4">
        <f t="shared" si="15"/>
        <v>4.7868256981941837</v>
      </c>
      <c r="D232" s="4">
        <f t="shared" si="17"/>
        <v>200.141714825615</v>
      </c>
      <c r="E232" s="4">
        <f t="shared" si="18"/>
        <v>192.31890650350479</v>
      </c>
    </row>
    <row r="233" spans="1:5" x14ac:dyDescent="0.55000000000000004">
      <c r="A233" s="25">
        <v>83.75</v>
      </c>
      <c r="B233" s="4">
        <f t="shared" si="16"/>
        <v>2.7341801222040503</v>
      </c>
      <c r="C233" s="4">
        <f t="shared" si="15"/>
        <v>4.776419164615735</v>
      </c>
      <c r="D233" s="4">
        <f t="shared" si="17"/>
        <v>200.12634739374323</v>
      </c>
      <c r="E233" s="4">
        <f t="shared" si="18"/>
        <v>192.32054581526953</v>
      </c>
    </row>
    <row r="234" spans="1:5" x14ac:dyDescent="0.55000000000000004">
      <c r="A234" s="25">
        <v>84</v>
      </c>
      <c r="B234" s="4">
        <f t="shared" si="16"/>
        <v>2.7326133691212986</v>
      </c>
      <c r="C234" s="4">
        <f t="shared" si="15"/>
        <v>4.7660680045396386</v>
      </c>
      <c r="D234" s="4">
        <f t="shared" si="17"/>
        <v>200.11092135749837</v>
      </c>
      <c r="E234" s="4">
        <f t="shared" si="18"/>
        <v>192.32203602922723</v>
      </c>
    </row>
    <row r="235" spans="1:5" x14ac:dyDescent="0.55000000000000004">
      <c r="A235" s="25">
        <v>84.25</v>
      </c>
      <c r="B235" s="4">
        <f t="shared" si="16"/>
        <v>2.7310511200143823</v>
      </c>
      <c r="C235" s="4">
        <f t="shared" si="15"/>
        <v>4.7557717595115916</v>
      </c>
      <c r="D235" s="4">
        <f t="shared" si="17"/>
        <v>200.09543752931424</v>
      </c>
      <c r="E235" s="4">
        <f t="shared" si="18"/>
        <v>192.32337870703483</v>
      </c>
    </row>
    <row r="236" spans="1:5" x14ac:dyDescent="0.55000000000000004">
      <c r="A236" s="25">
        <v>84.5</v>
      </c>
      <c r="B236" s="4">
        <f t="shared" si="16"/>
        <v>2.7294933480328814</v>
      </c>
      <c r="C236" s="4">
        <f t="shared" si="15"/>
        <v>4.7455299762237173</v>
      </c>
      <c r="D236" s="4">
        <f t="shared" si="17"/>
        <v>200.0798967107819</v>
      </c>
      <c r="E236" s="4">
        <f t="shared" si="18"/>
        <v>192.32457539109586</v>
      </c>
    </row>
    <row r="237" spans="1:5" x14ac:dyDescent="0.55000000000000004">
      <c r="A237" s="25">
        <v>84.75</v>
      </c>
      <c r="B237" s="4">
        <f t="shared" si="16"/>
        <v>2.7279400265658413</v>
      </c>
      <c r="C237" s="4">
        <f t="shared" si="15"/>
        <v>4.7353422064417074</v>
      </c>
      <c r="D237" s="4">
        <f t="shared" si="17"/>
        <v>200.0642996928176</v>
      </c>
      <c r="E237" s="4">
        <f t="shared" si="18"/>
        <v>192.3256276048478</v>
      </c>
    </row>
    <row r="238" spans="1:5" x14ac:dyDescent="0.55000000000000004">
      <c r="A238" s="25">
        <v>85</v>
      </c>
      <c r="B238" s="4">
        <f t="shared" si="16"/>
        <v>2.7263911292389333</v>
      </c>
      <c r="C238" s="4">
        <f t="shared" si="15"/>
        <v>4.7252080069332507</v>
      </c>
      <c r="D238" s="4">
        <f t="shared" si="17"/>
        <v>200.04864725582729</v>
      </c>
      <c r="E238" s="4">
        <f t="shared" si="18"/>
        <v>192.32653685304328</v>
      </c>
    </row>
    <row r="239" spans="1:5" x14ac:dyDescent="0.55000000000000004">
      <c r="A239" s="25">
        <v>85.25</v>
      </c>
      <c r="B239" s="4">
        <f t="shared" si="16"/>
        <v>2.7248466299116569</v>
      </c>
      <c r="C239" s="4">
        <f t="shared" ref="C239:C302" si="19">1/B239*(2/($B$9+1)*(1 + ($B$9-1)/2*B239^2))^(($B$9+1)/(2*$B$9-2))</f>
        <v>4.7151269393976767</v>
      </c>
      <c r="D239" s="4">
        <f t="shared" si="17"/>
        <v>200.03294016986851</v>
      </c>
      <c r="E239" s="4">
        <f t="shared" si="18"/>
        <v>192.32730462202707</v>
      </c>
    </row>
    <row r="240" spans="1:5" x14ac:dyDescent="0.55000000000000004">
      <c r="A240" s="25">
        <v>85.5</v>
      </c>
      <c r="B240" s="4">
        <f t="shared" si="16"/>
        <v>2.7233065026745873</v>
      </c>
      <c r="C240" s="4">
        <f t="shared" si="19"/>
        <v>4.7050985703967738</v>
      </c>
      <c r="D240" s="4">
        <f t="shared" si="17"/>
        <v>200.01717919480885</v>
      </c>
      <c r="E240" s="4">
        <f t="shared" si="18"/>
        <v>192.32793238000752</v>
      </c>
    </row>
    <row r="241" spans="1:6" x14ac:dyDescent="0.55000000000000004">
      <c r="A241" s="25">
        <v>85.75</v>
      </c>
      <c r="B241" s="4">
        <f t="shared" si="16"/>
        <v>2.72177072184666</v>
      </c>
      <c r="C241" s="4">
        <f t="shared" si="19"/>
        <v>4.6951224712867914</v>
      </c>
      <c r="D241" s="4">
        <f t="shared" si="17"/>
        <v>200.00136508048232</v>
      </c>
      <c r="E241" s="4">
        <f t="shared" si="18"/>
        <v>192.32842157732429</v>
      </c>
      <c r="F241" s="25"/>
    </row>
    <row r="242" spans="1:6" x14ac:dyDescent="0.55000000000000004">
      <c r="A242" s="25">
        <v>86</v>
      </c>
      <c r="B242" s="4">
        <f t="shared" si="16"/>
        <v>2.7202392619724938</v>
      </c>
      <c r="C242" s="4">
        <f t="shared" si="19"/>
        <v>4.6851982181515677</v>
      </c>
      <c r="D242" s="4">
        <f t="shared" si="17"/>
        <v>199.98549856684215</v>
      </c>
      <c r="E242" s="4">
        <f t="shared" si="18"/>
        <v>192.32877364671012</v>
      </c>
      <c r="F242" s="25"/>
    </row>
    <row r="243" spans="1:6" x14ac:dyDescent="0.55000000000000004">
      <c r="A243" s="25">
        <v>86.25</v>
      </c>
      <c r="B243" s="4">
        <f t="shared" si="16"/>
        <v>2.7187120978197581</v>
      </c>
      <c r="C243" s="4">
        <f t="shared" si="19"/>
        <v>4.6753253917368305</v>
      </c>
      <c r="D243" s="4">
        <f t="shared" si="17"/>
        <v>199.96958038411162</v>
      </c>
      <c r="E243" s="4">
        <f t="shared" si="18"/>
        <v>192.32899000354908</v>
      </c>
      <c r="F243" s="25"/>
    </row>
    <row r="244" spans="1:6" x14ac:dyDescent="0.55000000000000004">
      <c r="A244" s="3">
        <v>86.5</v>
      </c>
      <c r="B244" s="5">
        <f t="shared" si="16"/>
        <v>2.7171892043765729</v>
      </c>
      <c r="C244" s="5">
        <f t="shared" si="19"/>
        <v>4.6655035773855253</v>
      </c>
      <c r="D244" s="5">
        <f t="shared" si="17"/>
        <v>199.95361125293149</v>
      </c>
      <c r="E244" s="5">
        <f t="shared" si="18"/>
        <v>192.32907204612999</v>
      </c>
      <c r="F244" s="2" t="s">
        <v>62</v>
      </c>
    </row>
    <row r="245" spans="1:6" x14ac:dyDescent="0.55000000000000004">
      <c r="A245" s="25">
        <v>86.75</v>
      </c>
      <c r="B245" s="4">
        <f t="shared" si="16"/>
        <v>2.7156705568489512</v>
      </c>
      <c r="C245" s="4">
        <f t="shared" si="19"/>
        <v>4.6557323649743099</v>
      </c>
      <c r="D245" s="4">
        <f t="shared" si="17"/>
        <v>199.93759188450562</v>
      </c>
      <c r="E245" s="4">
        <f t="shared" si="18"/>
        <v>192.32902115589553</v>
      </c>
      <c r="F245" s="25"/>
    </row>
    <row r="246" spans="1:6" x14ac:dyDescent="0.55000000000000004">
      <c r="A246" s="25">
        <v>87</v>
      </c>
      <c r="B246" s="4">
        <f t="shared" si="16"/>
        <v>2.714156130658274</v>
      </c>
      <c r="C246" s="4">
        <f t="shared" si="19"/>
        <v>4.6460113488510242</v>
      </c>
      <c r="D246" s="4">
        <f t="shared" si="17"/>
        <v>199.92152298074328</v>
      </c>
      <c r="E246" s="4">
        <f t="shared" si="18"/>
        <v>192.32883869768671</v>
      </c>
      <c r="F246" s="25"/>
    </row>
    <row r="247" spans="1:6" x14ac:dyDescent="0.55000000000000004">
      <c r="A247" s="25">
        <v>87.25</v>
      </c>
      <c r="B247" s="4">
        <f t="shared" si="16"/>
        <v>2.7126459014388047</v>
      </c>
      <c r="C247" s="4">
        <f t="shared" si="19"/>
        <v>4.6363401277732565</v>
      </c>
      <c r="D247" s="4">
        <f t="shared" si="17"/>
        <v>199.90540523439935</v>
      </c>
      <c r="E247" s="4">
        <f t="shared" si="18"/>
        <v>192.32852601998374</v>
      </c>
      <c r="F247" s="25"/>
    </row>
    <row r="248" spans="1:6" x14ac:dyDescent="0.55000000000000004">
      <c r="A248" s="25">
        <v>87.5</v>
      </c>
      <c r="B248" s="4">
        <f t="shared" si="16"/>
        <v>2.7111398450352406</v>
      </c>
      <c r="C248" s="4">
        <f t="shared" si="19"/>
        <v>4.6267183048479099</v>
      </c>
      <c r="D248" s="4">
        <f t="shared" si="17"/>
        <v>199.88923932921199</v>
      </c>
      <c r="E248" s="4">
        <f t="shared" si="18"/>
        <v>192.32808445514215</v>
      </c>
      <c r="F248" s="25"/>
    </row>
    <row r="249" spans="1:6" x14ac:dyDescent="0.55000000000000004">
      <c r="A249" s="25">
        <v>87.75</v>
      </c>
      <c r="B249" s="4">
        <f t="shared" si="16"/>
        <v>2.7096379375002924</v>
      </c>
      <c r="C249" s="4">
        <f t="shared" si="19"/>
        <v>4.6171454874717481</v>
      </c>
      <c r="D249" s="4">
        <f t="shared" si="17"/>
        <v>199.87302594003793</v>
      </c>
      <c r="E249" s="4">
        <f t="shared" si="18"/>
        <v>192.32751531962546</v>
      </c>
      <c r="F249" s="25"/>
    </row>
    <row r="250" spans="1:6" x14ac:dyDescent="0.55000000000000004">
      <c r="A250" s="25">
        <v>88</v>
      </c>
      <c r="B250" s="4">
        <f t="shared" si="16"/>
        <v>2.7081401550923085</v>
      </c>
      <c r="C250" s="4">
        <f t="shared" si="19"/>
        <v>4.6076212872729547</v>
      </c>
      <c r="D250" s="4">
        <f t="shared" si="17"/>
        <v>199.85676573298542</v>
      </c>
      <c r="E250" s="4">
        <f t="shared" si="18"/>
        <v>192.32681991423362</v>
      </c>
      <c r="F250" s="25"/>
    </row>
    <row r="251" spans="1:6" x14ac:dyDescent="0.55000000000000004">
      <c r="A251" s="25">
        <v>88.25</v>
      </c>
      <c r="B251" s="4">
        <f t="shared" si="16"/>
        <v>2.7066464742729246</v>
      </c>
      <c r="C251" s="4">
        <f t="shared" si="19"/>
        <v>4.5981453200536411</v>
      </c>
      <c r="D251" s="4">
        <f t="shared" si="17"/>
        <v>199.84045936554477</v>
      </c>
      <c r="E251" s="4">
        <f t="shared" si="18"/>
        <v>192.32599952432736</v>
      </c>
      <c r="F251" s="25"/>
    </row>
    <row r="252" spans="1:6" x14ac:dyDescent="0.55000000000000004">
      <c r="A252" s="25">
        <v>88.5</v>
      </c>
      <c r="B252" s="4">
        <f t="shared" si="16"/>
        <v>2.7051568717047521</v>
      </c>
      <c r="C252" s="4">
        <f t="shared" si="19"/>
        <v>4.5887172057332704</v>
      </c>
      <c r="D252" s="4">
        <f t="shared" si="17"/>
        <v>199.82410748671663</v>
      </c>
      <c r="E252" s="4">
        <f t="shared" si="18"/>
        <v>192.32505542004907</v>
      </c>
      <c r="F252" s="25"/>
    </row>
    <row r="253" spans="1:6" x14ac:dyDescent="0.55000000000000004">
      <c r="A253" s="25">
        <v>88.75</v>
      </c>
      <c r="B253" s="4">
        <f t="shared" si="16"/>
        <v>2.7036713242490951</v>
      </c>
      <c r="C253" s="4">
        <f t="shared" si="19"/>
        <v>4.5793365682930398</v>
      </c>
      <c r="D253" s="4">
        <f t="shared" si="17"/>
        <v>199.80771073713805</v>
      </c>
      <c r="E253" s="4">
        <f t="shared" si="18"/>
        <v>192.32398885653967</v>
      </c>
      <c r="F253" s="25"/>
    </row>
    <row r="254" spans="1:6" x14ac:dyDescent="0.55000000000000004">
      <c r="A254" s="25">
        <v>89</v>
      </c>
      <c r="B254" s="4">
        <f t="shared" si="16"/>
        <v>2.7021898089637038</v>
      </c>
      <c r="C254" s="4">
        <f t="shared" si="19"/>
        <v>4.5700030357211503</v>
      </c>
      <c r="D254" s="4">
        <f t="shared" si="17"/>
        <v>199.79126974920666</v>
      </c>
      <c r="E254" s="4">
        <f t="shared" si="18"/>
        <v>192.32280107415238</v>
      </c>
      <c r="F254" s="25"/>
    </row>
    <row r="255" spans="1:6" x14ac:dyDescent="0.55000000000000004">
      <c r="A255" s="25">
        <v>89.25</v>
      </c>
      <c r="B255" s="4">
        <f t="shared" si="16"/>
        <v>2.7007123031005573</v>
      </c>
      <c r="C255" s="4">
        <f t="shared" si="19"/>
        <v>4.5607162399589845</v>
      </c>
      <c r="D255" s="4">
        <f t="shared" si="17"/>
        <v>199.77478514720232</v>
      </c>
      <c r="E255" s="4">
        <f t="shared" si="18"/>
        <v>192.32149329866195</v>
      </c>
      <c r="F255" s="25"/>
    </row>
    <row r="256" spans="1:6" x14ac:dyDescent="0.55000000000000004">
      <c r="A256" s="25">
        <v>89.5</v>
      </c>
      <c r="B256" s="4">
        <f t="shared" si="16"/>
        <v>2.6992387841036765</v>
      </c>
      <c r="C256" s="4">
        <f t="shared" si="19"/>
        <v>4.55147581684811</v>
      </c>
      <c r="D256" s="4">
        <f t="shared" si="17"/>
        <v>199.75825754740669</v>
      </c>
      <c r="E256" s="4">
        <f t="shared" si="18"/>
        <v>192.32006674147138</v>
      </c>
      <c r="F256" s="25"/>
    </row>
    <row r="257" spans="1:5" x14ac:dyDescent="0.55000000000000004">
      <c r="A257" s="25">
        <v>89.75</v>
      </c>
      <c r="B257" s="4">
        <f t="shared" si="16"/>
        <v>2.6977692296069704</v>
      </c>
      <c r="C257" s="4">
        <f t="shared" si="19"/>
        <v>4.5422814060782093</v>
      </c>
      <c r="D257" s="4">
        <f t="shared" si="17"/>
        <v>199.741687558221</v>
      </c>
      <c r="E257" s="4">
        <f t="shared" si="18"/>
        <v>192.31852259981443</v>
      </c>
    </row>
    <row r="258" spans="1:5" x14ac:dyDescent="0.55000000000000004">
      <c r="A258" s="25">
        <v>90</v>
      </c>
      <c r="B258" s="4">
        <f t="shared" si="16"/>
        <v>2.6963036174321111</v>
      </c>
      <c r="C258" s="4">
        <f t="shared" si="19"/>
        <v>4.5331326511357783</v>
      </c>
      <c r="D258" s="4">
        <f t="shared" si="17"/>
        <v>199.72507578028183</v>
      </c>
      <c r="E258" s="4">
        <f t="shared" si="18"/>
        <v>192.31686205695524</v>
      </c>
    </row>
    <row r="259" spans="1:5" x14ac:dyDescent="0.55000000000000004">
      <c r="A259" s="25">
        <v>90.25</v>
      </c>
      <c r="B259" s="4">
        <f t="shared" si="16"/>
        <v>2.6948419255864375</v>
      </c>
      <c r="C259" s="4">
        <f t="shared" si="19"/>
        <v>4.5240291992537127</v>
      </c>
      <c r="D259" s="4">
        <f t="shared" si="17"/>
        <v>199.70842280657467</v>
      </c>
      <c r="E259" s="4">
        <f t="shared" si="18"/>
        <v>192.31508628238444</v>
      </c>
    </row>
    <row r="260" spans="1:5" x14ac:dyDescent="0.55000000000000004">
      <c r="A260" s="25">
        <v>90.5</v>
      </c>
      <c r="B260" s="4">
        <f t="shared" si="16"/>
        <v>2.6933841322608911</v>
      </c>
      <c r="C260" s="4">
        <f t="shared" si="19"/>
        <v>4.51497070136163</v>
      </c>
      <c r="D260" s="4">
        <f t="shared" si="17"/>
        <v>199.69172922254566</v>
      </c>
      <c r="E260" s="4">
        <f t="shared" si="18"/>
        <v>192.31319643201189</v>
      </c>
    </row>
    <row r="261" spans="1:5" x14ac:dyDescent="0.55000000000000004">
      <c r="A261" s="25">
        <v>90.75</v>
      </c>
      <c r="B261" s="4">
        <f t="shared" si="16"/>
        <v>2.6919302158279743</v>
      </c>
      <c r="C261" s="4">
        <f t="shared" si="19"/>
        <v>4.5059568120370512</v>
      </c>
      <c r="D261" s="4">
        <f t="shared" si="17"/>
        <v>199.67499560621135</v>
      </c>
      <c r="E261" s="4">
        <f t="shared" si="18"/>
        <v>192.31119364835641</v>
      </c>
    </row>
    <row r="262" spans="1:5" x14ac:dyDescent="0.55000000000000004">
      <c r="A262" s="25">
        <v>91</v>
      </c>
      <c r="B262" s="4">
        <f t="shared" si="16"/>
        <v>2.6904801548397472</v>
      </c>
      <c r="C262" s="4">
        <f t="shared" si="19"/>
        <v>4.4969871894573368</v>
      </c>
      <c r="D262" s="4">
        <f t="shared" si="17"/>
        <v>199.6582225282668</v>
      </c>
      <c r="E262" s="4">
        <f t="shared" si="18"/>
        <v>192.30907906073239</v>
      </c>
    </row>
    <row r="263" spans="1:5" x14ac:dyDescent="0.55000000000000004">
      <c r="A263" s="25">
        <v>91.25</v>
      </c>
      <c r="B263" s="4">
        <f t="shared" si="16"/>
        <v>2.6890339280258404</v>
      </c>
      <c r="C263" s="4">
        <f t="shared" si="19"/>
        <v>4.4880614953523681</v>
      </c>
      <c r="D263" s="4">
        <f t="shared" si="17"/>
        <v>199.64141055219201</v>
      </c>
      <c r="E263" s="4">
        <f t="shared" si="18"/>
        <v>192.30685378543325</v>
      </c>
    </row>
    <row r="264" spans="1:5" x14ac:dyDescent="0.55000000000000004">
      <c r="A264" s="25">
        <v>91.5</v>
      </c>
      <c r="B264" s="4">
        <f t="shared" si="16"/>
        <v>2.6875915142915048</v>
      </c>
      <c r="C264" s="4">
        <f t="shared" si="19"/>
        <v>4.4791793949580088</v>
      </c>
      <c r="D264" s="4">
        <f t="shared" si="17"/>
        <v>199.62456023435573</v>
      </c>
      <c r="E264" s="4">
        <f t="shared" si="18"/>
        <v>192.30451892591188</v>
      </c>
    </row>
    <row r="265" spans="1:5" x14ac:dyDescent="0.55000000000000004">
      <c r="A265" s="25">
        <v>91.75</v>
      </c>
      <c r="B265" s="4">
        <f t="shared" si="16"/>
        <v>2.6861528927156781</v>
      </c>
      <c r="C265" s="4">
        <f t="shared" si="19"/>
        <v>4.4703405569702559</v>
      </c>
      <c r="D265" s="4">
        <f t="shared" si="17"/>
        <v>199.60767212411861</v>
      </c>
      <c r="E265" s="4">
        <f t="shared" si="18"/>
        <v>192.30207557295816</v>
      </c>
    </row>
    <row r="266" spans="1:5" x14ac:dyDescent="0.55000000000000004">
      <c r="A266" s="25">
        <v>92</v>
      </c>
      <c r="B266" s="4">
        <f t="shared" si="16"/>
        <v>2.6847180425490929</v>
      </c>
      <c r="C266" s="4">
        <f t="shared" si="19"/>
        <v>4.4615446535001899</v>
      </c>
      <c r="D266" s="4">
        <f t="shared" si="17"/>
        <v>199.59074676393391</v>
      </c>
      <c r="E266" s="4">
        <f t="shared" si="18"/>
        <v>192.29952480487361</v>
      </c>
    </row>
    <row r="267" spans="1:5" x14ac:dyDescent="0.55000000000000004">
      <c r="A267" s="25">
        <v>92.25</v>
      </c>
      <c r="B267" s="4">
        <f t="shared" si="16"/>
        <v>2.6832869432123929</v>
      </c>
      <c r="C267" s="4">
        <f t="shared" si="19"/>
        <v>4.4527913600295594</v>
      </c>
      <c r="D267" s="4">
        <f t="shared" si="17"/>
        <v>199.57378468944677</v>
      </c>
      <c r="E267" s="4">
        <f t="shared" si="18"/>
        <v>192.29686768764316</v>
      </c>
    </row>
    <row r="268" spans="1:5" x14ac:dyDescent="0.55000000000000004">
      <c r="A268" s="25">
        <v>92.5</v>
      </c>
      <c r="B268" s="4">
        <f t="shared" si="16"/>
        <v>2.6818595742942843</v>
      </c>
      <c r="C268" s="4">
        <f t="shared" si="19"/>
        <v>4.4440803553670598</v>
      </c>
      <c r="D268" s="4">
        <f t="shared" si="17"/>
        <v>199.55678642959163</v>
      </c>
      <c r="E268" s="4">
        <f t="shared" si="18"/>
        <v>192.29410527510399</v>
      </c>
    </row>
    <row r="269" spans="1:5" x14ac:dyDescent="0.55000000000000004">
      <c r="A269" s="25">
        <v>92.75</v>
      </c>
      <c r="B269" s="4">
        <f t="shared" si="16"/>
        <v>2.6804359155497175</v>
      </c>
      <c r="C269" s="4">
        <f t="shared" si="19"/>
        <v>4.4354113216054074</v>
      </c>
      <c r="D269" s="4">
        <f t="shared" si="17"/>
        <v>199.53975250668853</v>
      </c>
      <c r="E269" s="4">
        <f t="shared" si="18"/>
        <v>192.2912386091121</v>
      </c>
    </row>
    <row r="270" spans="1:5" x14ac:dyDescent="0.55000000000000004">
      <c r="A270" s="25">
        <v>93</v>
      </c>
      <c r="B270" s="4">
        <f t="shared" si="16"/>
        <v>2.6790159468980805</v>
      </c>
      <c r="C270" s="4">
        <f t="shared" si="19"/>
        <v>4.4267839440789105</v>
      </c>
      <c r="D270" s="4">
        <f t="shared" si="17"/>
        <v>199.52268343653733</v>
      </c>
      <c r="E270" s="4">
        <f t="shared" si="18"/>
        <v>192.2882687197056</v>
      </c>
    </row>
    <row r="271" spans="1:5" x14ac:dyDescent="0.55000000000000004">
      <c r="A271" s="25">
        <v>93.25</v>
      </c>
      <c r="B271" s="4">
        <f t="shared" ref="B271:B318" si="20">SQRT(2/($B$9-1)*((A271/$B$3)^((1-$B$9)/$B$9) - 1))</f>
        <v>2.6775996484214235</v>
      </c>
      <c r="C271" s="4">
        <f t="shared" si="19"/>
        <v>4.4181979113218341</v>
      </c>
      <c r="D271" s="4">
        <f t="shared" ref="D271:D318" si="21">$B$6*$B$12/9.81*($B$9*SQRT(2/($B$9-1)*(2/($B$9+1))^(($B$9+1)/($B$9-1))*(1 - (A271/$B$3)^(($B$9-1)/$B$9))) + C271/$B$3*(A271 - $E$5))</f>
        <v>199.50557972851024</v>
      </c>
      <c r="E271" s="4">
        <f t="shared" ref="E271:E318" si="22">$B$6*$B$12/9.81*($B$9*SQRT(2/($B$9-1)*(2/($B$9+1))^(($B$9+1)/($B$9-1))*(1 - (A271/$B$3)^(($B$9-1)/$B$9))) + C271/$B$3*(A271 - $E$4))</f>
        <v>192.28519662526563</v>
      </c>
    </row>
    <row r="272" spans="1:5" x14ac:dyDescent="0.55000000000000004">
      <c r="A272" s="25">
        <v>93.5</v>
      </c>
      <c r="B272" s="4">
        <f t="shared" si="20"/>
        <v>2.6761870003627113</v>
      </c>
      <c r="C272" s="4">
        <f t="shared" si="19"/>
        <v>4.4096529150273724</v>
      </c>
      <c r="D272" s="4">
        <f t="shared" si="21"/>
        <v>199.48844188564368</v>
      </c>
      <c r="E272" s="4">
        <f t="shared" si="22"/>
        <v>192.28202333267504</v>
      </c>
    </row>
    <row r="273" spans="1:5" x14ac:dyDescent="0.55000000000000004">
      <c r="A273" s="25">
        <v>93.75</v>
      </c>
      <c r="B273" s="4">
        <f t="shared" si="20"/>
        <v>2.6747779831240912</v>
      </c>
      <c r="C273" s="4">
        <f t="shared" si="19"/>
        <v>4.401148650007217</v>
      </c>
      <c r="D273" s="4">
        <f t="shared" si="21"/>
        <v>199.47127040472742</v>
      </c>
      <c r="E273" s="4">
        <f t="shared" si="22"/>
        <v>192.27874983747367</v>
      </c>
    </row>
    <row r="274" spans="1:5" x14ac:dyDescent="0.55000000000000004">
      <c r="A274" s="25">
        <v>94</v>
      </c>
      <c r="B274" s="4">
        <f t="shared" si="20"/>
        <v>2.67337257726519</v>
      </c>
      <c r="C274" s="4">
        <f t="shared" si="19"/>
        <v>4.3926848141518136</v>
      </c>
      <c r="D274" s="4">
        <f t="shared" si="21"/>
        <v>199.45406577639349</v>
      </c>
      <c r="E274" s="4">
        <f t="shared" si="22"/>
        <v>192.27537712401218</v>
      </c>
    </row>
    <row r="275" spans="1:5" x14ac:dyDescent="0.55000000000000004">
      <c r="A275" s="25">
        <v>94.25</v>
      </c>
      <c r="B275" s="4">
        <f t="shared" si="20"/>
        <v>2.6719707635014305</v>
      </c>
      <c r="C275" s="4">
        <f t="shared" si="19"/>
        <v>4.3842611083911729</v>
      </c>
      <c r="D275" s="4">
        <f t="shared" si="21"/>
        <v>199.43682848520257</v>
      </c>
      <c r="E275" s="4">
        <f t="shared" si="22"/>
        <v>192.27190616560253</v>
      </c>
    </row>
    <row r="276" spans="1:5" x14ac:dyDescent="0.55000000000000004">
      <c r="A276" s="25">
        <v>94.5</v>
      </c>
      <c r="B276" s="4">
        <f t="shared" si="20"/>
        <v>2.6705725227023698</v>
      </c>
      <c r="C276" s="4">
        <f t="shared" si="19"/>
        <v>4.3758772366562946</v>
      </c>
      <c r="D276" s="4">
        <f t="shared" si="21"/>
        <v>199.41955900972968</v>
      </c>
      <c r="E276" s="4">
        <f t="shared" si="22"/>
        <v>192.26833792466672</v>
      </c>
    </row>
    <row r="277" spans="1:5" x14ac:dyDescent="0.55000000000000004">
      <c r="A277" s="25">
        <v>94.75</v>
      </c>
      <c r="B277" s="4">
        <f t="shared" si="20"/>
        <v>2.6691778358900651</v>
      </c>
      <c r="C277" s="4">
        <f t="shared" si="19"/>
        <v>4.3675329058412409</v>
      </c>
      <c r="D277" s="4">
        <f t="shared" si="21"/>
        <v>199.40225782264815</v>
      </c>
      <c r="E277" s="4">
        <f t="shared" si="22"/>
        <v>192.26467335288268</v>
      </c>
    </row>
    <row r="278" spans="1:5" x14ac:dyDescent="0.55000000000000004">
      <c r="A278" s="25">
        <v>95</v>
      </c>
      <c r="B278" s="4">
        <f t="shared" si="20"/>
        <v>2.667786684237456</v>
      </c>
      <c r="C278" s="4">
        <f t="shared" si="19"/>
        <v>4.3592278257657036</v>
      </c>
      <c r="D278" s="4">
        <f t="shared" si="21"/>
        <v>199.38492539081247</v>
      </c>
      <c r="E278" s="4">
        <f t="shared" si="22"/>
        <v>192.26091339132836</v>
      </c>
    </row>
    <row r="279" spans="1:5" x14ac:dyDescent="0.55000000000000004">
      <c r="A279" s="25">
        <v>95.25</v>
      </c>
      <c r="B279" s="4">
        <f t="shared" si="20"/>
        <v>2.6663990490667677</v>
      </c>
      <c r="C279" s="4">
        <f t="shared" si="19"/>
        <v>4.3509617091381818</v>
      </c>
      <c r="D279" s="4">
        <f t="shared" si="21"/>
        <v>199.36756217533932</v>
      </c>
      <c r="E279" s="4">
        <f t="shared" si="22"/>
        <v>192.25705897062281</v>
      </c>
    </row>
    <row r="280" spans="1:5" x14ac:dyDescent="0.55000000000000004">
      <c r="A280" s="25">
        <v>95.5</v>
      </c>
      <c r="B280" s="4">
        <f t="shared" si="20"/>
        <v>2.6650149118479374</v>
      </c>
      <c r="C280" s="4">
        <f t="shared" si="19"/>
        <v>4.3427342715197099</v>
      </c>
      <c r="D280" s="4">
        <f t="shared" si="21"/>
        <v>199.35016863168784</v>
      </c>
      <c r="E280" s="4">
        <f t="shared" si="22"/>
        <v>192.25311101106598</v>
      </c>
    </row>
    <row r="281" spans="1:5" x14ac:dyDescent="0.55000000000000004">
      <c r="A281" s="25">
        <v>95.75</v>
      </c>
      <c r="B281" s="4">
        <f t="shared" si="20"/>
        <v>2.6636342541970635</v>
      </c>
      <c r="C281" s="4">
        <f t="shared" si="19"/>
        <v>4.3345452312881569</v>
      </c>
      <c r="D281" s="4">
        <f t="shared" si="21"/>
        <v>199.33274520973839</v>
      </c>
      <c r="E281" s="4">
        <f t="shared" si="22"/>
        <v>192.24907042277553</v>
      </c>
    </row>
    <row r="282" spans="1:5" x14ac:dyDescent="0.55000000000000004">
      <c r="A282" s="25">
        <v>96</v>
      </c>
      <c r="B282" s="4">
        <f t="shared" si="20"/>
        <v>2.6622570578748723</v>
      </c>
      <c r="C282" s="4">
        <f t="shared" si="19"/>
        <v>4.3263943096030575</v>
      </c>
      <c r="D282" s="4">
        <f t="shared" si="21"/>
        <v>199.31529235386992</v>
      </c>
      <c r="E282" s="4">
        <f t="shared" si="22"/>
        <v>192.24493810582183</v>
      </c>
    </row>
    <row r="283" spans="1:5" x14ac:dyDescent="0.55000000000000004">
      <c r="A283" s="25">
        <v>96.25</v>
      </c>
      <c r="B283" s="4">
        <f t="shared" si="20"/>
        <v>2.6608833047852016</v>
      </c>
      <c r="C283" s="4">
        <f t="shared" si="19"/>
        <v>4.3182812303709177</v>
      </c>
      <c r="D283" s="4">
        <f t="shared" si="21"/>
        <v>199.2978105030362</v>
      </c>
      <c r="E283" s="4">
        <f t="shared" si="22"/>
        <v>192.24071495036091</v>
      </c>
    </row>
    <row r="284" spans="1:5" x14ac:dyDescent="0.55000000000000004">
      <c r="A284" s="25">
        <v>96.5</v>
      </c>
      <c r="B284" s="4">
        <f t="shared" si="20"/>
        <v>2.6595129769735095</v>
      </c>
      <c r="C284" s="4">
        <f t="shared" si="19"/>
        <v>4.3102057202111048</v>
      </c>
      <c r="D284" s="4">
        <f t="shared" si="21"/>
        <v>199.28030009084068</v>
      </c>
      <c r="E284" s="4">
        <f t="shared" si="22"/>
        <v>192.23640183676505</v>
      </c>
    </row>
    <row r="285" spans="1:5" x14ac:dyDescent="0.55000000000000004">
      <c r="A285" s="25">
        <v>96.75</v>
      </c>
      <c r="B285" s="4">
        <f t="shared" si="20"/>
        <v>2.6581460566254047</v>
      </c>
      <c r="C285" s="4">
        <f t="shared" si="19"/>
        <v>4.3021675084222775</v>
      </c>
      <c r="D285" s="4">
        <f t="shared" si="21"/>
        <v>199.26276154561094</v>
      </c>
      <c r="E285" s="4">
        <f t="shared" si="22"/>
        <v>192.23199963575192</v>
      </c>
    </row>
    <row r="286" spans="1:5" x14ac:dyDescent="0.55000000000000004">
      <c r="A286" s="25">
        <v>97</v>
      </c>
      <c r="B286" s="4">
        <f t="shared" si="20"/>
        <v>2.6567825260651854</v>
      </c>
      <c r="C286" s="4">
        <f t="shared" si="19"/>
        <v>4.2941663269492052</v>
      </c>
      <c r="D286" s="4">
        <f t="shared" si="21"/>
        <v>199.24519529047043</v>
      </c>
      <c r="E286" s="4">
        <f t="shared" si="22"/>
        <v>192.22750920851087</v>
      </c>
    </row>
    <row r="287" spans="1:5" x14ac:dyDescent="0.55000000000000004">
      <c r="A287" s="25">
        <v>97.25</v>
      </c>
      <c r="B287" s="4">
        <f t="shared" si="20"/>
        <v>2.6554223677544067</v>
      </c>
      <c r="C287" s="4">
        <f t="shared" si="19"/>
        <v>4.2862019103501696</v>
      </c>
      <c r="D287" s="4">
        <f t="shared" si="21"/>
        <v>199.22760174341059</v>
      </c>
      <c r="E287" s="4">
        <f t="shared" si="22"/>
        <v>192.222931406828</v>
      </c>
    </row>
    <row r="288" spans="1:5" x14ac:dyDescent="0.55000000000000004">
      <c r="A288" s="25">
        <v>97.5</v>
      </c>
      <c r="B288" s="4">
        <f t="shared" si="20"/>
        <v>2.6540655642904638</v>
      </c>
      <c r="C288" s="4">
        <f t="shared" si="19"/>
        <v>4.278273995764847</v>
      </c>
      <c r="D288" s="4">
        <f t="shared" si="21"/>
        <v>199.20998131736087</v>
      </c>
      <c r="E288" s="4">
        <f t="shared" si="22"/>
        <v>192.21826707320889</v>
      </c>
    </row>
    <row r="289" spans="1:5" x14ac:dyDescent="0.55000000000000004">
      <c r="A289" s="25">
        <v>97.75</v>
      </c>
      <c r="B289" s="4">
        <f t="shared" si="20"/>
        <v>2.6527120984051913</v>
      </c>
      <c r="C289" s="4">
        <f t="shared" si="19"/>
        <v>4.2703823228826208</v>
      </c>
      <c r="D289" s="4">
        <f t="shared" si="21"/>
        <v>199.19233442025819</v>
      </c>
      <c r="E289" s="4">
        <f t="shared" si="22"/>
        <v>192.21351704099976</v>
      </c>
    </row>
    <row r="290" spans="1:5" x14ac:dyDescent="0.55000000000000004">
      <c r="A290" s="25">
        <v>98</v>
      </c>
      <c r="B290" s="4">
        <f t="shared" si="20"/>
        <v>2.6513619529634842</v>
      </c>
      <c r="C290" s="4">
        <f t="shared" si="19"/>
        <v>4.2625266339114081</v>
      </c>
      <c r="D290" s="4">
        <f t="shared" si="21"/>
        <v>199.17466145511492</v>
      </c>
      <c r="E290" s="4">
        <f t="shared" si="22"/>
        <v>192.20868213450629</v>
      </c>
    </row>
    <row r="291" spans="1:5" x14ac:dyDescent="0.55000000000000004">
      <c r="A291" s="25">
        <v>98.25</v>
      </c>
      <c r="B291" s="4">
        <f t="shared" si="20"/>
        <v>2.6500151109619323</v>
      </c>
      <c r="C291" s="4">
        <f t="shared" si="19"/>
        <v>4.2547066735469192</v>
      </c>
      <c r="D291" s="4">
        <f t="shared" si="21"/>
        <v>199.15696282008588</v>
      </c>
      <c r="E291" s="4">
        <f t="shared" si="22"/>
        <v>192.20376316911117</v>
      </c>
    </row>
    <row r="292" spans="1:5" x14ac:dyDescent="0.55000000000000004">
      <c r="A292" s="25">
        <v>98.5</v>
      </c>
      <c r="B292" s="4">
        <f t="shared" si="20"/>
        <v>2.6486715555274754</v>
      </c>
      <c r="C292" s="4">
        <f t="shared" si="19"/>
        <v>4.2469221889423796</v>
      </c>
      <c r="D292" s="4">
        <f t="shared" si="21"/>
        <v>199.13923890853479</v>
      </c>
      <c r="E292" s="4">
        <f t="shared" si="22"/>
        <v>192.1987609513896</v>
      </c>
    </row>
    <row r="293" spans="1:5" x14ac:dyDescent="0.55000000000000004">
      <c r="A293" s="25">
        <v>98.75</v>
      </c>
      <c r="B293" s="4">
        <f t="shared" si="20"/>
        <v>2.6473312699160738</v>
      </c>
      <c r="C293" s="4">
        <f t="shared" si="19"/>
        <v>4.2391729296787029</v>
      </c>
      <c r="D293" s="4">
        <f t="shared" si="21"/>
        <v>199.12149010909846</v>
      </c>
      <c r="E293" s="4">
        <f t="shared" si="22"/>
        <v>192.19367627922259</v>
      </c>
    </row>
    <row r="294" spans="1:5" x14ac:dyDescent="0.55000000000000004">
      <c r="A294" s="25">
        <v>99</v>
      </c>
      <c r="B294" s="4">
        <f t="shared" si="20"/>
        <v>2.6459942375113989</v>
      </c>
      <c r="C294" s="4">
        <f t="shared" si="19"/>
        <v>4.2314586477350788</v>
      </c>
      <c r="D294" s="4">
        <f t="shared" si="21"/>
        <v>199.10371680575159</v>
      </c>
      <c r="E294" s="4">
        <f t="shared" si="22"/>
        <v>192.1885099419097</v>
      </c>
    </row>
    <row r="295" spans="1:5" x14ac:dyDescent="0.55000000000000004">
      <c r="A295" s="25">
        <v>99.25</v>
      </c>
      <c r="B295" s="4">
        <f t="shared" si="20"/>
        <v>2.6446604418235311</v>
      </c>
      <c r="C295" s="4">
        <f t="shared" si="19"/>
        <v>4.223779097460004</v>
      </c>
      <c r="D295" s="4">
        <f t="shared" si="21"/>
        <v>199.08591937786903</v>
      </c>
      <c r="E295" s="4">
        <f t="shared" si="22"/>
        <v>192.18326272027855</v>
      </c>
    </row>
    <row r="296" spans="1:5" x14ac:dyDescent="0.55000000000000004">
      <c r="A296" s="25">
        <v>99.5</v>
      </c>
      <c r="B296" s="4">
        <f t="shared" si="20"/>
        <v>2.6433298664876914</v>
      </c>
      <c r="C296" s="4">
        <f t="shared" si="19"/>
        <v>4.2161340355427699</v>
      </c>
      <c r="D296" s="4">
        <f t="shared" si="21"/>
        <v>199.06809820028835</v>
      </c>
      <c r="E296" s="4">
        <f t="shared" si="22"/>
        <v>192.17793538679413</v>
      </c>
    </row>
    <row r="297" spans="1:5" x14ac:dyDescent="0.55000000000000004">
      <c r="A297" s="25">
        <v>99.75</v>
      </c>
      <c r="B297" s="4">
        <f t="shared" si="20"/>
        <v>2.642002495262969</v>
      </c>
      <c r="C297" s="4">
        <f t="shared" si="19"/>
        <v>4.2085232209852768</v>
      </c>
      <c r="D297" s="4">
        <f t="shared" si="21"/>
        <v>199.05025364337044</v>
      </c>
      <c r="E297" s="4">
        <f t="shared" si="22"/>
        <v>192.17252870566534</v>
      </c>
    </row>
    <row r="298" spans="1:5" x14ac:dyDescent="0.55000000000000004">
      <c r="A298" s="25">
        <v>100</v>
      </c>
      <c r="B298" s="4">
        <f t="shared" si="20"/>
        <v>2.6406783120310777</v>
      </c>
      <c r="C298" s="4">
        <f t="shared" si="19"/>
        <v>4.2009464150743439</v>
      </c>
      <c r="D298" s="4">
        <f t="shared" si="21"/>
        <v>199.03238607305966</v>
      </c>
      <c r="E298" s="4">
        <f t="shared" si="22"/>
        <v>192.16704343295055</v>
      </c>
    </row>
    <row r="299" spans="1:5" x14ac:dyDescent="0.55000000000000004">
      <c r="A299" s="25">
        <v>100.25</v>
      </c>
      <c r="B299" s="4">
        <f t="shared" si="20"/>
        <v>2.639357300795127</v>
      </c>
      <c r="C299" s="4">
        <f t="shared" si="19"/>
        <v>4.1934033813543881</v>
      </c>
      <c r="D299" s="4">
        <f t="shared" si="21"/>
        <v>199.01449585094318</v>
      </c>
      <c r="E299" s="4">
        <f t="shared" si="22"/>
        <v>192.1614803166614</v>
      </c>
    </row>
    <row r="300" spans="1:5" x14ac:dyDescent="0.55000000000000004">
      <c r="A300" s="25">
        <v>100.5</v>
      </c>
      <c r="B300" s="4">
        <f t="shared" si="20"/>
        <v>2.6380394456784022</v>
      </c>
      <c r="C300" s="4">
        <f t="shared" si="19"/>
        <v>4.1858938856004668</v>
      </c>
      <c r="D300" s="4">
        <f t="shared" si="21"/>
        <v>198.99658333430895</v>
      </c>
      <c r="E300" s="4">
        <f t="shared" si="22"/>
        <v>192.15584009686484</v>
      </c>
    </row>
    <row r="301" spans="1:5" x14ac:dyDescent="0.55000000000000004">
      <c r="A301" s="25">
        <v>100.75</v>
      </c>
      <c r="B301" s="4">
        <f t="shared" si="20"/>
        <v>2.6367247309231665</v>
      </c>
      <c r="C301" s="4">
        <f t="shared" si="19"/>
        <v>4.178417695791766</v>
      </c>
      <c r="D301" s="4">
        <f t="shared" si="21"/>
        <v>198.97864887620321</v>
      </c>
      <c r="E301" s="4">
        <f t="shared" si="22"/>
        <v>192.15012350578425</v>
      </c>
    </row>
    <row r="302" spans="1:5" x14ac:dyDescent="0.55000000000000004">
      <c r="A302" s="25">
        <v>101</v>
      </c>
      <c r="B302" s="4">
        <f t="shared" si="20"/>
        <v>2.6354131408894745</v>
      </c>
      <c r="C302" s="4">
        <f t="shared" si="19"/>
        <v>4.1709745820854307</v>
      </c>
      <c r="D302" s="4">
        <f t="shared" si="21"/>
        <v>198.96069282548683</v>
      </c>
      <c r="E302" s="4">
        <f t="shared" si="22"/>
        <v>192.14433126789825</v>
      </c>
    </row>
    <row r="303" spans="1:5" x14ac:dyDescent="0.55000000000000004">
      <c r="A303" s="25">
        <v>101.25</v>
      </c>
      <c r="B303" s="4">
        <f t="shared" si="20"/>
        <v>2.6341046600540015</v>
      </c>
      <c r="C303" s="4">
        <f t="shared" ref="C303:C318" si="23">1/B303*(2/($B$9+1)*(1 + ($B$9-1)/2*B303^2))^(($B$9+1)/(2*$B$9-2))</f>
        <v>4.1635643167907643</v>
      </c>
      <c r="D303" s="4">
        <f t="shared" si="21"/>
        <v>198.94271552689102</v>
      </c>
      <c r="E303" s="4">
        <f t="shared" si="22"/>
        <v>192.13846410003856</v>
      </c>
    </row>
    <row r="304" spans="1:5" x14ac:dyDescent="0.55000000000000004">
      <c r="A304" s="25">
        <v>101.5</v>
      </c>
      <c r="B304" s="4">
        <f t="shared" si="20"/>
        <v>2.6327992730088838</v>
      </c>
      <c r="C304" s="4">
        <f t="shared" si="23"/>
        <v>4.1561866743438181</v>
      </c>
      <c r="D304" s="4">
        <f t="shared" si="21"/>
        <v>198.92471732107194</v>
      </c>
      <c r="E304" s="4">
        <f t="shared" si="22"/>
        <v>192.13252271148633</v>
      </c>
    </row>
    <row r="305" spans="1:5" x14ac:dyDescent="0.55000000000000004">
      <c r="A305" s="25">
        <v>101.75</v>
      </c>
      <c r="B305" s="4">
        <f t="shared" si="20"/>
        <v>2.6314969644605823</v>
      </c>
      <c r="C305" s="4">
        <f t="shared" si="23"/>
        <v>4.1488414312823503</v>
      </c>
      <c r="D305" s="4">
        <f t="shared" si="21"/>
        <v>198.90669854466466</v>
      </c>
      <c r="E305" s="4">
        <f t="shared" si="22"/>
        <v>192.12650780406702</v>
      </c>
    </row>
    <row r="306" spans="1:5" x14ac:dyDescent="0.55000000000000004">
      <c r="A306" s="25">
        <v>102</v>
      </c>
      <c r="B306" s="4">
        <f t="shared" si="20"/>
        <v>2.6301977192287511</v>
      </c>
      <c r="C306" s="4">
        <f t="shared" si="23"/>
        <v>4.1415283662211131</v>
      </c>
      <c r="D306" s="4">
        <f t="shared" si="21"/>
        <v>198.88865953033621</v>
      </c>
      <c r="E306" s="4">
        <f t="shared" si="22"/>
        <v>192.12042007224352</v>
      </c>
    </row>
    <row r="307" spans="1:5" x14ac:dyDescent="0.55000000000000004">
      <c r="A307" s="25">
        <v>102.25</v>
      </c>
      <c r="B307" s="4">
        <f t="shared" si="20"/>
        <v>2.62890152224512</v>
      </c>
      <c r="C307" s="4">
        <f t="shared" si="23"/>
        <v>4.1342472598274727</v>
      </c>
      <c r="D307" s="4">
        <f t="shared" si="21"/>
        <v>198.87060060683788</v>
      </c>
      <c r="E307" s="4">
        <f t="shared" si="22"/>
        <v>192.11426020320872</v>
      </c>
    </row>
    <row r="308" spans="1:5" x14ac:dyDescent="0.55000000000000004">
      <c r="A308" s="25">
        <v>102.5</v>
      </c>
      <c r="B308" s="4">
        <f t="shared" si="20"/>
        <v>2.6276083585524006</v>
      </c>
      <c r="C308" s="4">
        <f t="shared" si="23"/>
        <v>4.1269978947974675</v>
      </c>
      <c r="D308" s="4">
        <f t="shared" si="21"/>
        <v>198.85252209905661</v>
      </c>
      <c r="E308" s="4">
        <f t="shared" si="22"/>
        <v>192.10802887697579</v>
      </c>
    </row>
    <row r="309" spans="1:5" x14ac:dyDescent="0.55000000000000004">
      <c r="A309" s="25">
        <v>102.75</v>
      </c>
      <c r="B309" s="4">
        <f t="shared" si="20"/>
        <v>2.6263182133031946</v>
      </c>
      <c r="C309" s="4">
        <f t="shared" si="23"/>
        <v>4.1197800558320896</v>
      </c>
      <c r="D309" s="4">
        <f t="shared" si="21"/>
        <v>198.83442432806595</v>
      </c>
      <c r="E309" s="4">
        <f t="shared" si="22"/>
        <v>192.10172676646789</v>
      </c>
    </row>
    <row r="310" spans="1:5" x14ac:dyDescent="0.55000000000000004">
      <c r="A310" s="25">
        <v>103</v>
      </c>
      <c r="B310" s="4">
        <f t="shared" si="20"/>
        <v>2.6250310717589214</v>
      </c>
      <c r="C310" s="4">
        <f t="shared" si="23"/>
        <v>4.1125935296139691</v>
      </c>
      <c r="D310" s="4">
        <f t="shared" si="21"/>
        <v>198.81630761117572</v>
      </c>
      <c r="E310" s="4">
        <f t="shared" si="22"/>
        <v>192.09535453760597</v>
      </c>
    </row>
    <row r="311" spans="1:5" x14ac:dyDescent="0.55000000000000004">
      <c r="A311" s="25">
        <v>103.25</v>
      </c>
      <c r="B311" s="4">
        <f t="shared" si="20"/>
        <v>2.6237469192887573</v>
      </c>
      <c r="C311" s="4">
        <f t="shared" si="23"/>
        <v>4.1054381047843593</v>
      </c>
      <c r="D311" s="4">
        <f t="shared" si="21"/>
        <v>198.79817226198119</v>
      </c>
      <c r="E311" s="4">
        <f t="shared" si="22"/>
        <v>192.08891284939571</v>
      </c>
    </row>
    <row r="312" spans="1:5" x14ac:dyDescent="0.55000000000000004">
      <c r="A312" s="25">
        <v>103.5</v>
      </c>
      <c r="B312" s="4">
        <f t="shared" si="20"/>
        <v>2.6224657413685861</v>
      </c>
      <c r="C312" s="4">
        <f t="shared" si="23"/>
        <v>4.098313571920464</v>
      </c>
      <c r="D312" s="4">
        <f t="shared" si="21"/>
        <v>198.78001859041177</v>
      </c>
      <c r="E312" s="4">
        <f t="shared" si="22"/>
        <v>192.08240235401294</v>
      </c>
    </row>
    <row r="313" spans="1:5" x14ac:dyDescent="0.55000000000000004">
      <c r="A313" s="25">
        <v>103.75</v>
      </c>
      <c r="B313" s="4">
        <f t="shared" si="20"/>
        <v>2.6211875235799678</v>
      </c>
      <c r="C313" s="4">
        <f t="shared" si="23"/>
        <v>4.0912197235130598</v>
      </c>
      <c r="D313" s="4">
        <f t="shared" si="21"/>
        <v>198.76184690277853</v>
      </c>
      <c r="E313" s="4">
        <f t="shared" si="22"/>
        <v>192.07582369688802</v>
      </c>
    </row>
    <row r="314" spans="1:5" x14ac:dyDescent="0.55000000000000004">
      <c r="A314" s="25">
        <v>104</v>
      </c>
      <c r="B314" s="4">
        <f t="shared" si="20"/>
        <v>2.6199122516091102</v>
      </c>
      <c r="C314" s="4">
        <f t="shared" si="23"/>
        <v>4.0841563539444454</v>
      </c>
      <c r="D314" s="4">
        <f t="shared" si="21"/>
        <v>198.74365750182119</v>
      </c>
      <c r="E314" s="4">
        <f t="shared" si="22"/>
        <v>192.06917751678878</v>
      </c>
    </row>
    <row r="315" spans="1:5" x14ac:dyDescent="0.55000000000000004">
      <c r="A315" s="25">
        <v>104.25</v>
      </c>
      <c r="B315" s="4">
        <f t="shared" si="20"/>
        <v>2.6186399112458658</v>
      </c>
      <c r="C315" s="4">
        <f t="shared" si="23"/>
        <v>4.0771232594666884</v>
      </c>
      <c r="D315" s="4">
        <f t="shared" si="21"/>
        <v>198.72545068675467</v>
      </c>
      <c r="E315" s="4">
        <f t="shared" si="22"/>
        <v>192.06246444590255</v>
      </c>
    </row>
    <row r="316" spans="1:5" x14ac:dyDescent="0.55000000000000004">
      <c r="A316" s="25">
        <v>104.5</v>
      </c>
      <c r="B316" s="4">
        <f t="shared" si="20"/>
        <v>2.6173704883827256</v>
      </c>
      <c r="C316" s="4">
        <f t="shared" si="23"/>
        <v>4.070120238180186</v>
      </c>
      <c r="D316" s="4">
        <f t="shared" si="21"/>
        <v>198.70722675331433</v>
      </c>
      <c r="E316" s="4">
        <f t="shared" si="22"/>
        <v>192.05568510991657</v>
      </c>
    </row>
    <row r="317" spans="1:5" x14ac:dyDescent="0.55000000000000004">
      <c r="A317" s="25">
        <v>104.75</v>
      </c>
      <c r="B317" s="4">
        <f t="shared" si="20"/>
        <v>2.6161039690138397</v>
      </c>
      <c r="C317" s="4">
        <f t="shared" si="23"/>
        <v>4.063147090012496</v>
      </c>
      <c r="D317" s="4">
        <f t="shared" si="21"/>
        <v>198.68898599380117</v>
      </c>
      <c r="E317" s="4">
        <f t="shared" si="22"/>
        <v>192.04884012809765</v>
      </c>
    </row>
    <row r="318" spans="1:5" x14ac:dyDescent="0.55000000000000004">
      <c r="A318" s="25">
        <v>105</v>
      </c>
      <c r="B318" s="4">
        <f t="shared" si="20"/>
        <v>2.6148403392340387</v>
      </c>
      <c r="C318" s="4">
        <f t="shared" si="23"/>
        <v>4.0562036166974922</v>
      </c>
      <c r="D318" s="4">
        <f t="shared" si="21"/>
        <v>198.67072869712601</v>
      </c>
      <c r="E318" s="4">
        <f t="shared" si="22"/>
        <v>192.04193011337037</v>
      </c>
    </row>
  </sheetData>
  <pageMargins left="0.7" right="0.7" top="0.75" bottom="0.75" header="0.3" footer="0.3"/>
  <pageSetup orientation="portrait" horizontalDpi="4294967293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A3"/>
  <sheetViews>
    <sheetView workbookViewId="0">
      <selection sqref="A1:A3"/>
    </sheetView>
  </sheetViews>
  <sheetFormatPr defaultRowHeight="14.4" x14ac:dyDescent="0.55000000000000004"/>
  <sheetData>
    <row r="1" spans="1:1" x14ac:dyDescent="0.55000000000000004">
      <c r="A1" s="25">
        <v>185.27155233672951</v>
      </c>
    </row>
    <row r="2" spans="1:1" x14ac:dyDescent="0.55000000000000004">
      <c r="A2" s="25">
        <v>1223.8941092273383</v>
      </c>
    </row>
    <row r="3" spans="1:1" x14ac:dyDescent="0.55000000000000004">
      <c r="A3" s="25">
        <v>5980.674588010821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S318"/>
  <sheetViews>
    <sheetView zoomScaleNormal="100" workbookViewId="0">
      <selection activeCell="I23" sqref="I23"/>
    </sheetView>
  </sheetViews>
  <sheetFormatPr defaultRowHeight="14.4" x14ac:dyDescent="0.55000000000000004"/>
  <cols>
    <col min="1" max="1" width="11.68359375" bestFit="1" customWidth="1"/>
    <col min="2" max="3" width="9" bestFit="1" customWidth="1"/>
    <col min="4" max="5" width="9.578125" bestFit="1" customWidth="1"/>
    <col min="8" max="8" width="10.26171875" customWidth="1"/>
    <col min="9" max="9" width="9.578125" bestFit="1" customWidth="1"/>
    <col min="11" max="11" width="22.68359375" customWidth="1"/>
    <col min="12" max="12" width="11" bestFit="1" customWidth="1"/>
    <col min="14" max="14" width="9.15625" customWidth="1"/>
  </cols>
  <sheetData>
    <row r="1" spans="1:16" x14ac:dyDescent="0.55000000000000004">
      <c r="A1" s="25" t="s">
        <v>0</v>
      </c>
      <c r="B1" s="12">
        <f>CONVERT(23000, "ft", "m")</f>
        <v>7010.4</v>
      </c>
      <c r="C1" s="25" t="str">
        <f>"---&gt;"</f>
        <v>---&gt;</v>
      </c>
      <c r="D1" s="1" t="s">
        <v>1</v>
      </c>
      <c r="E1" s="4">
        <f>SQRT(2*9.81*(B1-500))*1.5</f>
        <v>536.09850587368737</v>
      </c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</row>
    <row r="2" spans="1:16" x14ac:dyDescent="0.55000000000000004">
      <c r="A2" s="25" t="s">
        <v>2</v>
      </c>
      <c r="B2" s="12">
        <v>6.5</v>
      </c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</row>
    <row r="3" spans="1:16" ht="16.8" x14ac:dyDescent="0.75">
      <c r="A3" s="25" t="s">
        <v>3</v>
      </c>
      <c r="B3" s="13">
        <f>CONVERT(350,"psi","Pa")/1000</f>
        <v>2413.165052608927</v>
      </c>
      <c r="C3" s="25"/>
      <c r="D3" s="25" t="s">
        <v>4</v>
      </c>
      <c r="E3" s="25">
        <v>1311</v>
      </c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</row>
    <row r="4" spans="1:16" ht="16.8" x14ac:dyDescent="0.75">
      <c r="A4" s="1" t="s">
        <v>5</v>
      </c>
      <c r="B4" s="12">
        <v>10</v>
      </c>
      <c r="C4" s="25"/>
      <c r="D4" s="25" t="s">
        <v>6</v>
      </c>
      <c r="E4" s="4">
        <f>101.325*(1 - 0.0065*E3/288.16)^(-9.81/-0.0065/287)</f>
        <v>86.528880457303998</v>
      </c>
      <c r="F4" s="2" t="s">
        <v>7</v>
      </c>
      <c r="G4" s="25"/>
      <c r="H4" s="25"/>
      <c r="I4" s="25"/>
      <c r="J4" s="25"/>
      <c r="K4" s="25"/>
      <c r="L4" s="25"/>
      <c r="M4" s="25"/>
      <c r="N4" s="25"/>
      <c r="O4" s="25"/>
      <c r="P4" s="25"/>
    </row>
    <row r="5" spans="1:16" ht="16.8" x14ac:dyDescent="0.75">
      <c r="A5" s="1" t="s">
        <v>8</v>
      </c>
      <c r="B5" s="25">
        <v>0.9</v>
      </c>
      <c r="C5" s="25"/>
      <c r="D5" s="1" t="s">
        <v>9</v>
      </c>
      <c r="E5" s="4">
        <f>101.325*(1 - 0.0065*2/3*B1/288.16)^(-9.81/-0.0065/287)</f>
        <v>56.401942621880451</v>
      </c>
      <c r="F5" s="2" t="s">
        <v>10</v>
      </c>
      <c r="G5" s="25"/>
      <c r="H5" s="25"/>
      <c r="I5" s="25"/>
      <c r="J5" s="25"/>
      <c r="K5" s="25"/>
      <c r="L5" s="25"/>
      <c r="M5" s="25"/>
      <c r="N5" s="25"/>
      <c r="O5" s="25"/>
      <c r="P5" s="25"/>
    </row>
    <row r="6" spans="1:16" x14ac:dyDescent="0.55000000000000004">
      <c r="A6" s="1" t="s">
        <v>11</v>
      </c>
      <c r="B6" s="25">
        <v>0.9</v>
      </c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</row>
    <row r="7" spans="1:16" ht="16.8" x14ac:dyDescent="0.75">
      <c r="A7" s="1" t="s">
        <v>12</v>
      </c>
      <c r="B7" s="25">
        <f>19/30</f>
        <v>0.6333333333333333</v>
      </c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</row>
    <row r="9" spans="1:16" x14ac:dyDescent="0.55000000000000004">
      <c r="A9" s="1" t="s">
        <v>13</v>
      </c>
      <c r="B9" s="25">
        <v>1.1597</v>
      </c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</row>
    <row r="10" spans="1:16" x14ac:dyDescent="0.55000000000000004">
      <c r="A10" s="1" t="s">
        <v>15</v>
      </c>
      <c r="B10" s="25">
        <v>25.776</v>
      </c>
      <c r="C10" s="25" t="str">
        <f>"---&gt;"</f>
        <v>---&gt;</v>
      </c>
      <c r="D10" s="25" t="s">
        <v>16</v>
      </c>
      <c r="E10" s="25">
        <f>8314/B10</f>
        <v>322.54810676598385</v>
      </c>
      <c r="F10" s="25"/>
      <c r="G10" s="25"/>
      <c r="H10" s="4">
        <f>E244</f>
        <v>196.06899771456403</v>
      </c>
      <c r="I10" s="25"/>
      <c r="J10" s="25"/>
      <c r="K10" s="25"/>
      <c r="L10" s="25"/>
      <c r="M10" s="25"/>
      <c r="N10" s="6"/>
      <c r="O10" s="25"/>
      <c r="P10" s="25"/>
    </row>
    <row r="11" spans="1:16" ht="16.8" x14ac:dyDescent="0.75">
      <c r="A11" s="1" t="s">
        <v>17</v>
      </c>
      <c r="B11" s="25">
        <v>3274</v>
      </c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</row>
    <row r="12" spans="1:16" x14ac:dyDescent="0.55000000000000004">
      <c r="A12" s="1" t="s">
        <v>18</v>
      </c>
      <c r="B12" s="4">
        <f>B5*SQRT(B9*E10*B11)/B9/(2/(B9 + 1))^((B9 + 1)/(2*B9 - 2))</f>
        <v>1443.7804250938966</v>
      </c>
      <c r="C12" s="25"/>
      <c r="D12" s="25"/>
      <c r="E12" s="25"/>
      <c r="F12" s="25"/>
      <c r="G12" s="25"/>
      <c r="H12" s="25" t="s">
        <v>19</v>
      </c>
      <c r="I12" s="25"/>
      <c r="J12" s="25" t="s">
        <v>20</v>
      </c>
      <c r="K12" s="25"/>
      <c r="L12" s="25"/>
      <c r="M12" s="25" t="s">
        <v>21</v>
      </c>
      <c r="N12" s="25"/>
      <c r="O12" s="25"/>
      <c r="P12" s="10" t="s">
        <v>63</v>
      </c>
    </row>
    <row r="13" spans="1:16" ht="16.8" x14ac:dyDescent="0.75">
      <c r="A13" s="25"/>
      <c r="B13" s="25"/>
      <c r="C13" s="25"/>
      <c r="D13" s="9" t="s">
        <v>22</v>
      </c>
      <c r="E13" s="3" t="s">
        <v>23</v>
      </c>
      <c r="F13" s="25"/>
      <c r="G13" s="25"/>
      <c r="H13" s="1" t="s">
        <v>24</v>
      </c>
      <c r="I13" s="25">
        <f>0.2*B3</f>
        <v>482.63301052178542</v>
      </c>
      <c r="J13" s="25">
        <f>CONVERT(I13*1000, "Pa", "psi")</f>
        <v>70.000000000000014</v>
      </c>
      <c r="K13" s="25"/>
      <c r="L13" s="25"/>
      <c r="M13" s="1" t="s">
        <v>28</v>
      </c>
      <c r="N13" s="4">
        <f>C244</f>
        <v>4.8899975814318379</v>
      </c>
      <c r="O13" s="25" t="s">
        <v>64</v>
      </c>
      <c r="P13" s="25"/>
    </row>
    <row r="14" spans="1:16" ht="17.7" x14ac:dyDescent="0.75">
      <c r="A14" s="25" t="s">
        <v>26</v>
      </c>
      <c r="B14" s="25" t="s">
        <v>27</v>
      </c>
      <c r="C14" s="1" t="s">
        <v>28</v>
      </c>
      <c r="D14" s="1" t="s">
        <v>29</v>
      </c>
      <c r="E14" s="1" t="s">
        <v>29</v>
      </c>
      <c r="F14" s="25"/>
      <c r="G14" s="25"/>
      <c r="H14" s="1" t="s">
        <v>30</v>
      </c>
      <c r="I14" s="25">
        <v>0</v>
      </c>
      <c r="J14" s="2" t="s">
        <v>31</v>
      </c>
      <c r="K14" s="25"/>
      <c r="L14" s="25"/>
      <c r="M14" s="25" t="s">
        <v>25</v>
      </c>
      <c r="N14" s="25">
        <f>I26*B12/(B3*1000)</f>
        <v>1.0974085304912831E-3</v>
      </c>
      <c r="O14" s="17">
        <f>SQRT(N14/PI())*2</f>
        <v>3.7379993816896294E-2</v>
      </c>
      <c r="P14" s="10" t="s">
        <v>65</v>
      </c>
    </row>
    <row r="15" spans="1:16" ht="17.7" x14ac:dyDescent="0.75">
      <c r="A15" s="25">
        <v>29.5</v>
      </c>
      <c r="B15" s="4">
        <f>SQRT(2/($B$9-1)*((A15/$B$3)^((1-$B$9)/$B$9) - 1))</f>
        <v>3.2318389158750964</v>
      </c>
      <c r="C15" s="4">
        <f>1/B15*(2/($B$9+1)*(1 + ($B$9-1)/2*B15^2))^(($B$9+1)/(2*$B$9-2))</f>
        <v>11.117800429086996</v>
      </c>
      <c r="D15" s="4">
        <f t="shared" ref="D15:D78" si="0">$B$6*$B$12/9.81*($B$9*SQRT(2/($B$9-1)*(2/($B$9+1))^(($B$9+1)/($B$9-1))*(1 - (A15/$B$3)^(($B$9-1)/$B$9))) + C15/$B$3*(A15 - $E$5))</f>
        <v>201.64192107242653</v>
      </c>
      <c r="E15" s="4">
        <f>$B$6*$B$12/9.81*($B$9*SQRT(2/($B$9-1)*(2/($B$9+1))^(($B$9+1)/($B$9-1))*(1 - (A15/$B$3)^(($B$9-1)/$B$9))) + C15/$B$3*(A15 - $E$4))</f>
        <v>183.25701186899684</v>
      </c>
      <c r="F15" s="25"/>
      <c r="G15" s="25"/>
      <c r="H15" s="1" t="s">
        <v>33</v>
      </c>
      <c r="I15" s="25">
        <f>0.5*B3/E10/B11*1^2</f>
        <v>1.1425727430347209E-3</v>
      </c>
      <c r="J15" s="2" t="s">
        <v>34</v>
      </c>
      <c r="K15" s="25"/>
      <c r="L15" s="25"/>
      <c r="M15" s="25" t="s">
        <v>32</v>
      </c>
      <c r="N15" s="25">
        <f>N14*N13</f>
        <v>5.3663250599450419E-3</v>
      </c>
      <c r="O15" s="17">
        <f>SQRT(N15/PI())*2</f>
        <v>8.2659647206029863E-2</v>
      </c>
      <c r="P15" s="10" t="s">
        <v>66</v>
      </c>
    </row>
    <row r="16" spans="1:16" ht="16.8" x14ac:dyDescent="0.75">
      <c r="A16" s="25">
        <v>29.75</v>
      </c>
      <c r="B16" s="4">
        <f t="shared" ref="B16:B79" si="1">SQRT(2/($B$9-1)*((A16/$B$3)^((1-$B$9)/$B$9) - 1))</f>
        <v>3.2277092282597453</v>
      </c>
      <c r="C16" s="4">
        <f t="shared" ref="C16:C79" si="2">1/B16*(2/($B$9+1)*(1 + ($B$9-1)/2*B16^2))^(($B$9+1)/(2*$B$9-2))</f>
        <v>11.044894424071542</v>
      </c>
      <c r="D16" s="4">
        <f t="shared" si="0"/>
        <v>201.74907721695604</v>
      </c>
      <c r="E16" s="4">
        <f t="shared" ref="E16:E78" si="3">$B$6*$B$12/9.81*($B$9*SQRT(2/($B$9-1)*(2/($B$9+1))^(($B$9+1)/($B$9-1))*(1 - (A16/$B$3)^(($B$9-1)/$B$9))) + C16/$B$3*(A16 - $E$4))</f>
        <v>183.48472875673659</v>
      </c>
      <c r="F16" s="25"/>
      <c r="G16" s="25"/>
      <c r="H16" s="1" t="s">
        <v>36</v>
      </c>
      <c r="I16" s="15">
        <f>B3+I13+I14+I15</f>
        <v>2895.7992057034553</v>
      </c>
      <c r="J16" s="4">
        <f>CONVERT(I16*1000, "Pa", "psi")</f>
        <v>420.0001657161659</v>
      </c>
      <c r="K16" s="25"/>
      <c r="L16" s="25"/>
      <c r="M16" s="25"/>
      <c r="N16" s="25"/>
      <c r="O16" s="25"/>
      <c r="P16" s="25"/>
    </row>
    <row r="17" spans="1:19" x14ac:dyDescent="0.55000000000000004">
      <c r="A17" s="25">
        <v>30</v>
      </c>
      <c r="B17" s="4">
        <f t="shared" si="1"/>
        <v>3.2236136202433685</v>
      </c>
      <c r="C17" s="4">
        <f t="shared" si="2"/>
        <v>10.973089998262836</v>
      </c>
      <c r="D17" s="4">
        <f t="shared" si="0"/>
        <v>201.85362894294283</v>
      </c>
      <c r="E17" s="4">
        <f t="shared" si="3"/>
        <v>183.70801960358793</v>
      </c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1:19" x14ac:dyDescent="0.55000000000000004">
      <c r="A18" s="25">
        <v>30.25</v>
      </c>
      <c r="B18" s="4">
        <f t="shared" si="1"/>
        <v>3.2195515229580884</v>
      </c>
      <c r="C18" s="4">
        <f t="shared" si="2"/>
        <v>10.902361489582898</v>
      </c>
      <c r="D18" s="4">
        <f t="shared" si="0"/>
        <v>201.95564349677511</v>
      </c>
      <c r="E18" s="4">
        <f t="shared" si="3"/>
        <v>183.92699409193858</v>
      </c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</row>
    <row r="19" spans="1:19" x14ac:dyDescent="0.55000000000000004">
      <c r="A19" s="25">
        <v>30.5</v>
      </c>
      <c r="B19" s="4">
        <f t="shared" si="1"/>
        <v>3.2155223816641669</v>
      </c>
      <c r="C19" s="4">
        <f t="shared" si="2"/>
        <v>10.832684040025288</v>
      </c>
      <c r="D19" s="4">
        <f t="shared" si="0"/>
        <v>202.05518591967723</v>
      </c>
      <c r="E19" s="4">
        <f t="shared" si="3"/>
        <v>184.14175836936258</v>
      </c>
      <c r="F19" s="25"/>
      <c r="G19" s="25"/>
      <c r="H19" s="25" t="s">
        <v>37</v>
      </c>
      <c r="I19" s="25"/>
      <c r="J19" s="25"/>
      <c r="K19" s="25" t="s">
        <v>38</v>
      </c>
      <c r="L19" s="25"/>
      <c r="M19" s="25"/>
      <c r="N19" s="25"/>
      <c r="O19" s="25"/>
      <c r="P19" s="25"/>
      <c r="Q19" s="25"/>
      <c r="R19" s="25"/>
      <c r="S19" s="25"/>
    </row>
    <row r="20" spans="1:19" ht="17.7" x14ac:dyDescent="0.75">
      <c r="A20" s="25">
        <v>30.75</v>
      </c>
      <c r="B20" s="4">
        <f t="shared" si="1"/>
        <v>3.2115256552862563</v>
      </c>
      <c r="C20" s="4">
        <f t="shared" si="2"/>
        <v>10.764033564110296</v>
      </c>
      <c r="D20" s="4">
        <f t="shared" si="0"/>
        <v>202.1523191364785</v>
      </c>
      <c r="E20" s="4">
        <f t="shared" si="3"/>
        <v>184.3524151895528</v>
      </c>
      <c r="F20" s="25"/>
      <c r="G20" s="25"/>
      <c r="H20" s="25" t="s">
        <v>39</v>
      </c>
      <c r="I20" s="13">
        <f>CONVERT(60, "lbm", "kg")</f>
        <v>27.215542200000002</v>
      </c>
      <c r="J20" s="25"/>
      <c r="K20" s="25" t="s">
        <v>40</v>
      </c>
      <c r="L20" s="12">
        <v>400</v>
      </c>
      <c r="M20" s="10" t="s">
        <v>41</v>
      </c>
      <c r="N20" s="25"/>
      <c r="O20" s="25"/>
      <c r="P20" s="25"/>
      <c r="Q20" s="25"/>
      <c r="R20" s="25"/>
      <c r="S20" s="25"/>
    </row>
    <row r="21" spans="1:19" ht="17.7" x14ac:dyDescent="0.75">
      <c r="A21" s="25">
        <v>31</v>
      </c>
      <c r="B21" s="4">
        <f t="shared" si="1"/>
        <v>3.2075608159684919</v>
      </c>
      <c r="C21" s="4">
        <f t="shared" si="2"/>
        <v>10.69638671882263</v>
      </c>
      <c r="D21" s="4">
        <f t="shared" si="0"/>
        <v>202.2471040401401</v>
      </c>
      <c r="E21" s="4">
        <f t="shared" si="3"/>
        <v>184.55906404656065</v>
      </c>
      <c r="F21" s="25"/>
      <c r="G21" s="25"/>
      <c r="H21" s="25" t="s">
        <v>42</v>
      </c>
      <c r="I21" s="4">
        <f>I20*EXP(E1/H10/9.81)</f>
        <v>35.96359833084643</v>
      </c>
      <c r="J21" s="25"/>
      <c r="K21" s="25" t="s">
        <v>43</v>
      </c>
      <c r="L21" s="20">
        <f>I28/1/L20</f>
        <v>3.9741688194005562E-3</v>
      </c>
      <c r="M21" s="4">
        <f>L21*100^2</f>
        <v>39.741688194005562</v>
      </c>
      <c r="N21" s="25" t="s">
        <v>44</v>
      </c>
      <c r="O21" s="25" t="s">
        <v>67</v>
      </c>
      <c r="P21" s="25"/>
      <c r="Q21" s="25"/>
      <c r="R21" s="25"/>
      <c r="S21" s="25"/>
    </row>
    <row r="22" spans="1:19" ht="16.8" x14ac:dyDescent="0.75">
      <c r="A22" s="25">
        <v>31.25</v>
      </c>
      <c r="B22" s="4">
        <f t="shared" si="1"/>
        <v>3.2036273486475526</v>
      </c>
      <c r="C22" s="4">
        <f t="shared" si="2"/>
        <v>10.629720874950658</v>
      </c>
      <c r="D22" s="4">
        <f t="shared" si="0"/>
        <v>202.33959957227492</v>
      </c>
      <c r="E22" s="4">
        <f t="shared" si="3"/>
        <v>184.76180130271038</v>
      </c>
      <c r="F22" s="25"/>
      <c r="G22" s="25"/>
      <c r="H22" s="25" t="s">
        <v>45</v>
      </c>
      <c r="I22" s="7">
        <f>I21-I20</f>
        <v>8.7480561308464289</v>
      </c>
      <c r="J22" s="25"/>
      <c r="K22" s="25" t="s">
        <v>46</v>
      </c>
      <c r="L22" s="16">
        <f>2*SQRT(L21/PI())</f>
        <v>7.1134161261058274E-2</v>
      </c>
      <c r="M22" s="4">
        <f>L22*100</f>
        <v>7.1134161261058271</v>
      </c>
      <c r="N22" s="25" t="s">
        <v>47</v>
      </c>
      <c r="O22" s="8">
        <f>CONVERT(L22, "m", "in")</f>
        <v>2.8005575299629242</v>
      </c>
      <c r="P22" s="4"/>
      <c r="Q22" s="25"/>
      <c r="R22" s="25"/>
      <c r="S22" s="25"/>
    </row>
    <row r="23" spans="1:19" ht="16.8" x14ac:dyDescent="0.75">
      <c r="A23" s="25">
        <v>31.5</v>
      </c>
      <c r="B23" s="4">
        <f t="shared" si="1"/>
        <v>3.199724750642805</v>
      </c>
      <c r="C23" s="4">
        <f t="shared" si="2"/>
        <v>10.564014089751263</v>
      </c>
      <c r="D23" s="4">
        <f t="shared" si="0"/>
        <v>202.42986279987988</v>
      </c>
      <c r="E23" s="4">
        <f t="shared" si="3"/>
        <v>184.96072031053424</v>
      </c>
      <c r="F23" s="25"/>
      <c r="G23" s="25"/>
      <c r="H23" s="25" t="s">
        <v>48</v>
      </c>
      <c r="I23" s="14">
        <f>I22/(1+B2)</f>
        <v>1.1664074841128571</v>
      </c>
      <c r="J23" s="25"/>
      <c r="K23" s="25" t="s">
        <v>49</v>
      </c>
      <c r="L23" s="17">
        <f>(I27*PI()^(0.5-1)/(0.155/1000*(4*I26)^0.5*900)*L22^(2*0.5-1))^(1/(0+1))</f>
        <v>0.36516294574454078</v>
      </c>
      <c r="M23" s="4">
        <f>L23*100</f>
        <v>36.516294574454079</v>
      </c>
      <c r="N23" s="25" t="s">
        <v>47</v>
      </c>
      <c r="O23" s="8">
        <f>CONVERT(L23, "m", "in")</f>
        <v>14.376493926950424</v>
      </c>
      <c r="P23" s="10" t="s">
        <v>68</v>
      </c>
      <c r="Q23" s="25"/>
      <c r="R23" s="25"/>
      <c r="S23" s="25"/>
    </row>
    <row r="24" spans="1:19" ht="16.8" x14ac:dyDescent="0.75">
      <c r="A24" s="25">
        <v>31.75</v>
      </c>
      <c r="B24" s="4">
        <f t="shared" si="1"/>
        <v>3.1958525312627222</v>
      </c>
      <c r="C24" s="4">
        <f t="shared" si="2"/>
        <v>10.499245080868878</v>
      </c>
      <c r="D24" s="4">
        <f t="shared" si="0"/>
        <v>202.51794898848686</v>
      </c>
      <c r="E24" s="4">
        <f t="shared" si="3"/>
        <v>185.15591152905191</v>
      </c>
      <c r="F24" s="25"/>
      <c r="G24" s="25"/>
      <c r="H24" s="25" t="s">
        <v>51</v>
      </c>
      <c r="I24" s="14">
        <f>I22-I23</f>
        <v>7.581648646733572</v>
      </c>
      <c r="J24" s="25"/>
      <c r="K24" s="25" t="s">
        <v>52</v>
      </c>
      <c r="L24" s="17">
        <f>SQRT(4*I23/PI()/L23/900/1 + L22^2)</f>
        <v>9.7872125864864629E-2</v>
      </c>
      <c r="M24" s="4">
        <f t="shared" ref="M24:M25" si="4">L24*100</f>
        <v>9.7872125864864632</v>
      </c>
      <c r="N24" s="25" t="s">
        <v>47</v>
      </c>
      <c r="O24" s="8">
        <f t="shared" ref="O24:O25" si="5">CONVERT(L24, "m", "in")</f>
        <v>3.8532333017663238</v>
      </c>
      <c r="P24" s="25"/>
      <c r="Q24" s="25"/>
      <c r="R24" s="25"/>
      <c r="S24" s="25"/>
    </row>
    <row r="25" spans="1:19" ht="16.8" x14ac:dyDescent="0.75">
      <c r="A25" s="25">
        <v>32</v>
      </c>
      <c r="B25" s="4">
        <f t="shared" si="1"/>
        <v>3.1920102114268092</v>
      </c>
      <c r="C25" s="4">
        <f t="shared" si="2"/>
        <v>10.435393201442052</v>
      </c>
      <c r="D25" s="4">
        <f t="shared" si="0"/>
        <v>202.60391167192535</v>
      </c>
      <c r="E25" s="4">
        <f t="shared" si="3"/>
        <v>185.34746263469836</v>
      </c>
      <c r="F25" s="25"/>
      <c r="G25" s="25"/>
      <c r="H25" s="25" t="s">
        <v>53</v>
      </c>
      <c r="I25" s="7">
        <f>I20/I21</f>
        <v>0.75675247926058864</v>
      </c>
      <c r="J25" s="25"/>
      <c r="K25" s="25" t="s">
        <v>54</v>
      </c>
      <c r="L25" s="17">
        <f>(L24-L22)/2</f>
        <v>1.3368982301903178E-2</v>
      </c>
      <c r="M25" s="4">
        <f t="shared" si="4"/>
        <v>1.3368982301903178</v>
      </c>
      <c r="N25" s="25" t="s">
        <v>47</v>
      </c>
      <c r="O25" s="4">
        <f t="shared" si="5"/>
        <v>0.52633788590169994</v>
      </c>
      <c r="P25" s="25"/>
      <c r="Q25" s="25"/>
      <c r="R25" s="25"/>
      <c r="S25" s="25"/>
    </row>
    <row r="26" spans="1:19" ht="16.8" x14ac:dyDescent="0.75">
      <c r="A26" s="25">
        <v>32.25</v>
      </c>
      <c r="B26" s="4">
        <f t="shared" si="1"/>
        <v>3.1881973233023104</v>
      </c>
      <c r="C26" s="4">
        <f t="shared" si="2"/>
        <v>10.372438416334338</v>
      </c>
      <c r="D26" s="4">
        <f t="shared" si="0"/>
        <v>202.68780271887917</v>
      </c>
      <c r="E26" s="4">
        <f t="shared" si="3"/>
        <v>185.5354586271861</v>
      </c>
      <c r="F26" s="25"/>
      <c r="G26" s="25"/>
      <c r="H26" s="25" t="s">
        <v>55</v>
      </c>
      <c r="I26" s="14">
        <f>B4*I21/H10</f>
        <v>1.8342317628002567</v>
      </c>
      <c r="J26" s="25"/>
      <c r="K26" s="25" t="s">
        <v>69</v>
      </c>
      <c r="L26" s="25"/>
      <c r="M26" s="25"/>
      <c r="N26" s="25"/>
      <c r="O26" s="25"/>
      <c r="P26" s="25"/>
      <c r="Q26" s="25"/>
      <c r="R26" s="25"/>
      <c r="S26" s="25"/>
    </row>
    <row r="27" spans="1:19" ht="16.8" x14ac:dyDescent="0.75">
      <c r="A27" s="25">
        <v>32.5</v>
      </c>
      <c r="B27" s="4">
        <f t="shared" si="1"/>
        <v>3.1844134099549994</v>
      </c>
      <c r="C27" s="4">
        <f t="shared" si="2"/>
        <v>10.310361279430694</v>
      </c>
      <c r="D27" s="4">
        <f t="shared" si="0"/>
        <v>202.76967239640638</v>
      </c>
      <c r="E27" s="4">
        <f t="shared" si="3"/>
        <v>185.71998193056868</v>
      </c>
      <c r="F27" s="25"/>
      <c r="G27" s="25"/>
      <c r="H27" s="25" t="s">
        <v>57</v>
      </c>
      <c r="I27" s="8">
        <f>I26/(1 + B2)</f>
        <v>0.24456423504003422</v>
      </c>
      <c r="J27" s="25"/>
      <c r="K27" s="25"/>
      <c r="L27" s="10" t="s">
        <v>70</v>
      </c>
      <c r="M27" s="19"/>
      <c r="N27" s="25"/>
      <c r="O27" s="25"/>
      <c r="P27" s="25"/>
      <c r="Q27" s="25"/>
      <c r="R27" s="25"/>
      <c r="S27" s="25"/>
    </row>
    <row r="28" spans="1:19" ht="16.8" x14ac:dyDescent="0.75">
      <c r="A28" s="25">
        <v>32.75</v>
      </c>
      <c r="B28" s="4">
        <f t="shared" si="1"/>
        <v>3.1806580250134262</v>
      </c>
      <c r="C28" s="4">
        <f t="shared" si="2"/>
        <v>10.249142911943849</v>
      </c>
      <c r="D28" s="4">
        <f t="shared" si="0"/>
        <v>202.84956943058421</v>
      </c>
      <c r="E28" s="4">
        <f t="shared" si="3"/>
        <v>185.90111248975956</v>
      </c>
      <c r="F28" s="25"/>
      <c r="G28" s="25"/>
      <c r="H28" s="25" t="s">
        <v>58</v>
      </c>
      <c r="I28" s="7">
        <f>I26-I27</f>
        <v>1.5896675277602226</v>
      </c>
      <c r="J28" s="25"/>
      <c r="K28" s="25"/>
      <c r="L28" s="25"/>
      <c r="M28" s="25"/>
      <c r="N28" s="25"/>
      <c r="O28" s="25"/>
      <c r="P28" s="25"/>
      <c r="Q28" s="25"/>
      <c r="R28" s="25"/>
      <c r="S28" s="25"/>
    </row>
    <row r="29" spans="1:19" x14ac:dyDescent="0.55000000000000004">
      <c r="A29" s="25">
        <v>33</v>
      </c>
      <c r="B29" s="4">
        <f t="shared" si="1"/>
        <v>3.1769307323459683</v>
      </c>
      <c r="C29" s="4">
        <f t="shared" si="2"/>
        <v>10.18876498167814</v>
      </c>
      <c r="D29" s="4">
        <f t="shared" si="0"/>
        <v>202.9275410644282</v>
      </c>
      <c r="E29" s="4">
        <f t="shared" si="3"/>
        <v>186.07892786274115</v>
      </c>
      <c r="F29" s="25"/>
      <c r="G29" s="25"/>
      <c r="H29" s="1"/>
      <c r="I29" s="7"/>
      <c r="J29" s="25"/>
      <c r="K29" s="25"/>
      <c r="L29" s="25"/>
      <c r="M29" s="25"/>
      <c r="N29" s="25"/>
      <c r="O29" s="25"/>
      <c r="P29" s="25"/>
      <c r="Q29" s="25"/>
      <c r="R29" s="25"/>
      <c r="S29" s="7"/>
    </row>
    <row r="30" spans="1:19" x14ac:dyDescent="0.55000000000000004">
      <c r="A30" s="25">
        <v>33.25</v>
      </c>
      <c r="B30" s="4">
        <f t="shared" si="1"/>
        <v>3.1732311057501463</v>
      </c>
      <c r="C30" s="4">
        <f t="shared" si="2"/>
        <v>10.129209683202019</v>
      </c>
      <c r="D30" s="4">
        <f t="shared" si="0"/>
        <v>203.00363311322806</v>
      </c>
      <c r="E30" s="4">
        <f t="shared" si="3"/>
        <v>186.25350330868872</v>
      </c>
      <c r="F30" s="25"/>
      <c r="G30" s="25"/>
      <c r="H30" s="25"/>
      <c r="I30" s="25"/>
      <c r="J30" s="25"/>
      <c r="K30" s="4"/>
      <c r="L30" s="25"/>
      <c r="M30" s="4"/>
      <c r="N30" s="4"/>
      <c r="O30" s="25"/>
      <c r="P30" s="25"/>
      <c r="Q30" s="25"/>
      <c r="R30" s="25"/>
      <c r="S30" s="25"/>
    </row>
    <row r="31" spans="1:19" x14ac:dyDescent="0.55000000000000004">
      <c r="A31" s="25">
        <v>33.5</v>
      </c>
      <c r="B31" s="4">
        <f t="shared" si="1"/>
        <v>3.1695587286536098</v>
      </c>
      <c r="C31" s="4">
        <f t="shared" si="2"/>
        <v>10.070459718882576</v>
      </c>
      <c r="D31" s="4">
        <f t="shared" si="0"/>
        <v>203.07789001743348</v>
      </c>
      <c r="E31" s="4">
        <f t="shared" si="3"/>
        <v>186.42491187221805</v>
      </c>
      <c r="F31" s="25"/>
      <c r="G31" s="25"/>
      <c r="H31" s="21" t="s">
        <v>71</v>
      </c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</row>
    <row r="32" spans="1:19" x14ac:dyDescent="0.55000000000000004">
      <c r="A32" s="25">
        <v>33.75</v>
      </c>
      <c r="B32" s="4">
        <f t="shared" si="1"/>
        <v>3.1659131938262997</v>
      </c>
      <c r="C32" s="4">
        <f t="shared" si="2"/>
        <v>10.012498280738667</v>
      </c>
      <c r="D32" s="4">
        <f t="shared" si="0"/>
        <v>203.15035489321497</v>
      </c>
      <c r="E32" s="4">
        <f t="shared" si="3"/>
        <v>186.59322446395495</v>
      </c>
      <c r="F32" s="25"/>
      <c r="G32" s="25"/>
      <c r="H32" s="25" t="s">
        <v>37</v>
      </c>
      <c r="I32" s="25"/>
      <c r="J32" s="25"/>
      <c r="K32" s="25" t="s">
        <v>38</v>
      </c>
      <c r="L32" s="25"/>
      <c r="M32" s="25"/>
      <c r="N32" s="25"/>
      <c r="O32" s="25"/>
      <c r="P32" s="25"/>
      <c r="Q32" s="25"/>
      <c r="R32" s="25"/>
      <c r="S32" s="25"/>
    </row>
    <row r="33" spans="1:15" ht="17.7" x14ac:dyDescent="0.75">
      <c r="A33" s="25">
        <v>34</v>
      </c>
      <c r="B33" s="4">
        <f t="shared" si="1"/>
        <v>3.1622941031032799</v>
      </c>
      <c r="C33" s="4">
        <f t="shared" si="2"/>
        <v>9.9553090330716341</v>
      </c>
      <c r="D33" s="4">
        <f t="shared" si="0"/>
        <v>203.22106958081855</v>
      </c>
      <c r="E33" s="4">
        <f t="shared" si="3"/>
        <v>186.75850993761259</v>
      </c>
      <c r="F33" s="25"/>
      <c r="G33" s="25"/>
      <c r="H33" s="25" t="s">
        <v>39</v>
      </c>
      <c r="I33" s="13">
        <f>I20</f>
        <v>27.215542200000002</v>
      </c>
      <c r="J33" s="25"/>
      <c r="K33" s="25" t="s">
        <v>40</v>
      </c>
      <c r="L33" s="12">
        <v>400</v>
      </c>
      <c r="M33" s="10" t="s">
        <v>41</v>
      </c>
      <c r="N33" s="25"/>
      <c r="O33" s="25"/>
    </row>
    <row r="34" spans="1:15" ht="17.7" x14ac:dyDescent="0.75">
      <c r="A34" s="25">
        <v>34.25</v>
      </c>
      <c r="B34" s="4">
        <f t="shared" si="1"/>
        <v>3.1587010671177609</v>
      </c>
      <c r="C34" s="4">
        <f t="shared" si="2"/>
        <v>9.8988760958345186</v>
      </c>
      <c r="D34" s="4">
        <f t="shared" si="0"/>
        <v>203.29007469082509</v>
      </c>
      <c r="E34" s="4">
        <f t="shared" si="3"/>
        <v>186.92083516375226</v>
      </c>
      <c r="F34" s="25"/>
      <c r="G34" s="25"/>
      <c r="H34" s="25" t="s">
        <v>42</v>
      </c>
      <c r="I34" s="4">
        <f>I33+I35</f>
        <v>36.446311430769228</v>
      </c>
      <c r="J34" s="25"/>
      <c r="K34" s="25" t="s">
        <v>43</v>
      </c>
      <c r="L34" s="20">
        <f>I41/1/L33</f>
        <v>4.0275111833314751E-3</v>
      </c>
      <c r="M34" s="4">
        <f>L34*100^2</f>
        <v>40.275111833314753</v>
      </c>
      <c r="N34" s="25" t="s">
        <v>44</v>
      </c>
      <c r="O34" s="25" t="s">
        <v>67</v>
      </c>
    </row>
    <row r="35" spans="1:15" ht="16.8" x14ac:dyDescent="0.75">
      <c r="A35" s="25">
        <v>34.5</v>
      </c>
      <c r="B35" s="4">
        <f t="shared" si="1"/>
        <v>3.1551337050438826</v>
      </c>
      <c r="C35" s="4">
        <f t="shared" si="2"/>
        <v>9.8431840287036305</v>
      </c>
      <c r="D35" s="4">
        <f t="shared" si="0"/>
        <v>203.3574096484198</v>
      </c>
      <c r="E35" s="4">
        <f t="shared" si="3"/>
        <v>187.08026510039278</v>
      </c>
      <c r="F35" s="25"/>
      <c r="G35" s="25"/>
      <c r="H35" s="25" t="s">
        <v>45</v>
      </c>
      <c r="I35" s="7">
        <f>I36+I37</f>
        <v>9.2307692307692299</v>
      </c>
      <c r="J35" s="25"/>
      <c r="K35" s="25" t="s">
        <v>46</v>
      </c>
      <c r="L35" s="16">
        <f>2*SQRT(L34/PI())</f>
        <v>7.1609960937573089E-2</v>
      </c>
      <c r="M35" s="4">
        <f>L35*100</f>
        <v>7.1609960937573085</v>
      </c>
      <c r="N35" s="25" t="s">
        <v>47</v>
      </c>
      <c r="O35" s="8">
        <f>CONVERT(L35, "m", "in")</f>
        <v>2.8192898006918536</v>
      </c>
    </row>
    <row r="36" spans="1:15" ht="16.8" x14ac:dyDescent="0.75">
      <c r="A36" s="25">
        <v>34.75</v>
      </c>
      <c r="B36" s="4">
        <f t="shared" si="1"/>
        <v>3.1515916443488221</v>
      </c>
      <c r="C36" s="4">
        <f t="shared" si="2"/>
        <v>9.7882178158177009</v>
      </c>
      <c r="D36" s="4">
        <f t="shared" si="0"/>
        <v>203.42311273577064</v>
      </c>
      <c r="E36" s="4">
        <f t="shared" si="3"/>
        <v>187.23686286062519</v>
      </c>
      <c r="F36" s="25"/>
      <c r="G36" s="25"/>
      <c r="H36" s="25" t="s">
        <v>48</v>
      </c>
      <c r="I36" s="14">
        <f>I37/B2</f>
        <v>1.2307692307692308</v>
      </c>
      <c r="J36" s="25"/>
      <c r="K36" s="25" t="s">
        <v>49</v>
      </c>
      <c r="L36" s="17">
        <f>(I40*PI()^(0.5-1)/(0.155/1000*(4*I39)^0.5*900)*L35^(2*0.5-1))^(1/(0+1))</f>
        <v>0.36760543481561897</v>
      </c>
      <c r="M36" s="4">
        <f>L36*100</f>
        <v>36.760543481561896</v>
      </c>
      <c r="N36" s="25" t="s">
        <v>47</v>
      </c>
      <c r="O36" s="8">
        <f t="shared" ref="O36:O38" si="6">CONVERT(L36, "m", "in")</f>
        <v>14.472654914000747</v>
      </c>
    </row>
    <row r="37" spans="1:15" ht="16.8" x14ac:dyDescent="0.75">
      <c r="A37" s="25">
        <v>35</v>
      </c>
      <c r="B37" s="4">
        <f t="shared" si="1"/>
        <v>3.148074520553823</v>
      </c>
      <c r="C37" s="4">
        <f t="shared" si="2"/>
        <v>9.7339628511520768</v>
      </c>
      <c r="D37" s="4">
        <f t="shared" si="0"/>
        <v>203.48722113260945</v>
      </c>
      <c r="E37" s="4">
        <f t="shared" si="3"/>
        <v>187.39068977737941</v>
      </c>
      <c r="F37" s="25"/>
      <c r="G37" s="25"/>
      <c r="H37" s="25" t="s">
        <v>51</v>
      </c>
      <c r="I37" s="22">
        <v>8</v>
      </c>
      <c r="J37" s="25"/>
      <c r="K37" s="25" t="s">
        <v>52</v>
      </c>
      <c r="L37" s="17">
        <f>SQRT(4*I36/PI()/L36/900/1 + L35^2)</f>
        <v>9.9320383486818112E-2</v>
      </c>
      <c r="M37" s="4">
        <f t="shared" ref="M37:M38" si="7">L37*100</f>
        <v>9.9320383486818109</v>
      </c>
      <c r="N37" s="25" t="s">
        <v>47</v>
      </c>
      <c r="O37" s="8">
        <f t="shared" si="6"/>
        <v>3.9102513183786658</v>
      </c>
    </row>
    <row r="38" spans="1:15" ht="16.8" x14ac:dyDescent="0.75">
      <c r="A38" s="25">
        <v>35.25</v>
      </c>
      <c r="B38" s="4">
        <f t="shared" si="1"/>
        <v>3.14458197700377</v>
      </c>
      <c r="C38" s="4">
        <f t="shared" si="2"/>
        <v>9.680404924497406</v>
      </c>
      <c r="D38" s="4">
        <f t="shared" si="0"/>
        <v>203.54977095510327</v>
      </c>
      <c r="E38" s="4">
        <f t="shared" si="3"/>
        <v>187.54180546548221</v>
      </c>
      <c r="F38" s="25"/>
      <c r="G38" s="25"/>
      <c r="H38" s="25" t="s">
        <v>53</v>
      </c>
      <c r="I38" s="7">
        <f>I33/I34</f>
        <v>0.74672967254029732</v>
      </c>
      <c r="J38" s="25"/>
      <c r="K38" s="25" t="s">
        <v>54</v>
      </c>
      <c r="L38" s="17">
        <f>(L37-L35)/2</f>
        <v>1.3855211274622511E-2</v>
      </c>
      <c r="M38" s="4">
        <f t="shared" si="7"/>
        <v>1.3855211274622512</v>
      </c>
      <c r="N38" s="25" t="s">
        <v>47</v>
      </c>
      <c r="O38" s="4">
        <f t="shared" si="6"/>
        <v>0.54548075884340597</v>
      </c>
    </row>
    <row r="39" spans="1:15" ht="16.8" x14ac:dyDescent="0.75">
      <c r="A39" s="25">
        <v>35.5</v>
      </c>
      <c r="B39" s="4">
        <f t="shared" si="1"/>
        <v>3.1411136646449429</v>
      </c>
      <c r="C39" s="4">
        <f t="shared" si="2"/>
        <v>9.6275302080135035</v>
      </c>
      <c r="D39" s="4">
        <f t="shared" si="0"/>
        <v>203.61079729309969</v>
      </c>
      <c r="E39" s="4">
        <f t="shared" si="3"/>
        <v>187.69026788113754</v>
      </c>
      <c r="F39" s="25"/>
      <c r="G39" s="25"/>
      <c r="H39" s="25" t="s">
        <v>55</v>
      </c>
      <c r="I39" s="14">
        <f>B4*I34/H10</f>
        <v>1.8588513153837576</v>
      </c>
      <c r="J39" s="25"/>
      <c r="K39" s="25"/>
      <c r="L39" s="10" t="s">
        <v>70</v>
      </c>
      <c r="M39" s="25"/>
      <c r="N39" s="25"/>
      <c r="O39" s="25"/>
    </row>
    <row r="40" spans="1:15" ht="16.8" x14ac:dyDescent="0.75">
      <c r="A40" s="25">
        <v>35.75</v>
      </c>
      <c r="B40" s="4">
        <f t="shared" si="1"/>
        <v>3.137669241810602</v>
      </c>
      <c r="C40" s="4">
        <f t="shared" si="2"/>
        <v>9.5753252433310863</v>
      </c>
      <c r="D40" s="4">
        <f t="shared" si="0"/>
        <v>203.6703342458257</v>
      </c>
      <c r="E40" s="4">
        <f t="shared" si="3"/>
        <v>187.83613337895449</v>
      </c>
      <c r="F40" s="25"/>
      <c r="G40" s="25"/>
      <c r="H40" s="25" t="s">
        <v>57</v>
      </c>
      <c r="I40" s="8">
        <f>I39/(1 + B2)</f>
        <v>0.24784684205116767</v>
      </c>
      <c r="J40" s="25"/>
      <c r="K40" s="25"/>
      <c r="L40" s="25"/>
      <c r="M40" s="19"/>
      <c r="N40" s="25"/>
      <c r="O40" s="25"/>
    </row>
    <row r="41" spans="1:15" ht="16.8" x14ac:dyDescent="0.75">
      <c r="A41" s="25">
        <v>36</v>
      </c>
      <c r="B41" s="4">
        <f t="shared" si="1"/>
        <v>3.1342483740140752</v>
      </c>
      <c r="C41" s="4">
        <f t="shared" si="2"/>
        <v>9.5237769291752787</v>
      </c>
      <c r="D41" s="4">
        <f t="shared" si="0"/>
        <v>203.72841495611229</v>
      </c>
      <c r="E41" s="4">
        <f t="shared" si="3"/>
        <v>187.97945676663838</v>
      </c>
      <c r="F41" s="25"/>
      <c r="G41" s="25"/>
      <c r="H41" s="25" t="s">
        <v>58</v>
      </c>
      <c r="I41" s="7">
        <f>I39-I40</f>
        <v>1.6110044733325899</v>
      </c>
      <c r="J41" s="25"/>
      <c r="K41" s="25"/>
      <c r="L41" s="25"/>
      <c r="M41" s="25"/>
      <c r="N41" s="25"/>
      <c r="O41" s="25"/>
    </row>
    <row r="42" spans="1:15" x14ac:dyDescent="0.55000000000000004">
      <c r="A42" s="25">
        <v>36.25</v>
      </c>
      <c r="B42" s="4">
        <f t="shared" si="1"/>
        <v>3.1308507337490386</v>
      </c>
      <c r="C42" s="4">
        <f t="shared" si="2"/>
        <v>9.4728725094864732</v>
      </c>
      <c r="D42" s="4">
        <f t="shared" si="0"/>
        <v>203.78507164321729</v>
      </c>
      <c r="E42" s="4">
        <f t="shared" si="3"/>
        <v>188.12029135745743</v>
      </c>
      <c r="F42" s="25"/>
      <c r="G42" s="25"/>
      <c r="H42" s="25"/>
      <c r="I42" s="25"/>
      <c r="J42" s="25"/>
      <c r="K42" s="25"/>
      <c r="L42" s="25"/>
      <c r="M42" s="25"/>
      <c r="N42" s="25"/>
      <c r="O42" s="25"/>
    </row>
    <row r="43" spans="1:15" x14ac:dyDescent="0.55000000000000004">
      <c r="A43" s="25">
        <v>36.5</v>
      </c>
      <c r="B43" s="4">
        <f t="shared" si="1"/>
        <v>3.127476000296689</v>
      </c>
      <c r="C43" s="4">
        <f t="shared" si="2"/>
        <v>9.4225995620151188</v>
      </c>
      <c r="D43" s="4">
        <f t="shared" si="0"/>
        <v>203.84033563431188</v>
      </c>
      <c r="E43" s="4">
        <f t="shared" si="3"/>
        <v>188.25868902058949</v>
      </c>
      <c r="F43" s="25"/>
      <c r="G43" s="25"/>
      <c r="H43" s="25"/>
      <c r="I43" s="25"/>
      <c r="J43" s="25"/>
      <c r="K43" s="25"/>
      <c r="L43" s="25"/>
      <c r="M43" s="25"/>
      <c r="N43" s="25"/>
      <c r="O43" s="25"/>
    </row>
    <row r="44" spans="1:15" x14ac:dyDescent="0.55000000000000004">
      <c r="A44" s="25">
        <v>36.75</v>
      </c>
      <c r="B44" s="4">
        <f t="shared" si="1"/>
        <v>3.1241238595395324</v>
      </c>
      <c r="C44" s="4">
        <f t="shared" si="2"/>
        <v>9.3729459873687002</v>
      </c>
      <c r="D44" s="4">
        <f t="shared" si="0"/>
        <v>203.89423739469356</v>
      </c>
      <c r="E44" s="4">
        <f t="shared" si="3"/>
        <v>188.39470022944735</v>
      </c>
      <c r="F44" s="25"/>
      <c r="G44" s="25"/>
      <c r="H44" s="25"/>
      <c r="I44" s="25"/>
      <c r="J44" s="25"/>
      <c r="K44" s="25"/>
      <c r="L44" s="25"/>
      <c r="M44" s="25"/>
      <c r="N44" s="25"/>
      <c r="O44" s="25"/>
    </row>
    <row r="45" spans="1:15" x14ac:dyDescent="0.55000000000000004">
      <c r="A45" s="25">
        <v>37</v>
      </c>
      <c r="B45" s="4">
        <f t="shared" si="1"/>
        <v>3.1207940037814992</v>
      </c>
      <c r="C45" s="4">
        <f t="shared" si="2"/>
        <v>9.3238999984895106</v>
      </c>
      <c r="D45" s="4">
        <f t="shared" si="0"/>
        <v>203.94680655678616</v>
      </c>
      <c r="E45" s="4">
        <f t="shared" si="3"/>
        <v>188.52837410807874</v>
      </c>
      <c r="F45" s="25"/>
      <c r="G45" s="25"/>
      <c r="H45" s="25"/>
      <c r="I45" s="25"/>
      <c r="J45" s="25"/>
      <c r="K45" s="25"/>
      <c r="L45" s="25"/>
      <c r="M45" s="25"/>
      <c r="N45" s="25"/>
      <c r="O45" s="25"/>
    </row>
    <row r="46" spans="1:15" x14ac:dyDescent="0.55000000000000004">
      <c r="A46" s="25">
        <v>37.25</v>
      </c>
      <c r="B46" s="4">
        <f t="shared" si="1"/>
        <v>3.1174861315741578</v>
      </c>
      <c r="C46" s="4">
        <f t="shared" si="2"/>
        <v>9.2754501105442202</v>
      </c>
      <c r="D46" s="4">
        <f t="shared" si="0"/>
        <v>203.99807194798166</v>
      </c>
      <c r="E46" s="4">
        <f t="shared" si="3"/>
        <v>188.65975847572753</v>
      </c>
      <c r="F46" s="25"/>
      <c r="G46" s="25"/>
      <c r="H46" s="25"/>
      <c r="I46" s="25"/>
      <c r="J46" s="25"/>
      <c r="K46" s="25"/>
      <c r="L46" s="25"/>
      <c r="M46" s="25"/>
      <c r="N46" s="25"/>
      <c r="O46" s="25"/>
    </row>
    <row r="47" spans="1:15" x14ac:dyDescent="0.55000000000000004">
      <c r="A47" s="25">
        <v>37.5</v>
      </c>
      <c r="B47" s="4">
        <f t="shared" si="1"/>
        <v>3.114199947548753</v>
      </c>
      <c r="C47" s="4">
        <f t="shared" si="2"/>
        <v>9.2275851312057746</v>
      </c>
      <c r="D47" s="4">
        <f t="shared" si="0"/>
        <v>204.04806161737903</v>
      </c>
      <c r="E47" s="4">
        <f t="shared" si="3"/>
        <v>188.78889988964261</v>
      </c>
      <c r="F47" s="25"/>
      <c r="G47" s="25"/>
      <c r="H47" s="25"/>
      <c r="I47" s="25"/>
      <c r="J47" s="25"/>
      <c r="K47" s="25"/>
      <c r="L47" s="25"/>
      <c r="M47" s="25"/>
      <c r="N47" s="25"/>
      <c r="O47" s="25"/>
    </row>
    <row r="48" spans="1:15" x14ac:dyDescent="0.55000000000000004">
      <c r="A48" s="25">
        <v>37.75</v>
      </c>
      <c r="B48" s="4">
        <f t="shared" si="1"/>
        <v>3.1109351622538566</v>
      </c>
      <c r="C48" s="4">
        <f t="shared" si="2"/>
        <v>9.1802941513103917</v>
      </c>
      <c r="D48" s="4">
        <f t="shared" si="0"/>
        <v>204.09680286146965</v>
      </c>
      <c r="E48" s="4">
        <f t="shared" si="3"/>
        <v>188.91584368621321</v>
      </c>
      <c r="F48" s="25"/>
      <c r="G48" s="25"/>
      <c r="H48" s="25"/>
      <c r="I48" s="25"/>
      <c r="J48" s="25"/>
      <c r="K48" s="25"/>
      <c r="L48" s="25"/>
      <c r="M48" s="25"/>
      <c r="N48" s="25"/>
      <c r="O48" s="25"/>
    </row>
    <row r="49" spans="1:5" x14ac:dyDescent="0.55000000000000004">
      <c r="A49" s="25">
        <v>38</v>
      </c>
      <c r="B49" s="4">
        <f t="shared" si="1"/>
        <v>3.1076914919983958</v>
      </c>
      <c r="C49" s="4">
        <f t="shared" si="2"/>
        <v>9.1335665358725997</v>
      </c>
      <c r="D49" s="4">
        <f t="shared" si="0"/>
        <v>204.1443222488171</v>
      </c>
      <c r="E49" s="4">
        <f t="shared" si="3"/>
        <v>189.04063402050701</v>
      </c>
    </row>
    <row r="50" spans="1:5" x14ac:dyDescent="0.55000000000000004">
      <c r="A50" s="25">
        <v>38.25</v>
      </c>
      <c r="B50" s="4">
        <f t="shared" si="1"/>
        <v>3.1044686586998496</v>
      </c>
      <c r="C50" s="4">
        <f t="shared" si="2"/>
        <v>9.0873919154423266</v>
      </c>
      <c r="D50" s="4">
        <f t="shared" si="0"/>
        <v>204.19064564377783</v>
      </c>
      <c r="E50" s="4">
        <f t="shared" si="3"/>
        <v>189.16331390428297</v>
      </c>
    </row>
    <row r="51" spans="1:5" x14ac:dyDescent="0.55000000000000004">
      <c r="A51" s="25">
        <v>38.5</v>
      </c>
      <c r="B51" s="4">
        <f t="shared" si="1"/>
        <v>3.1012663897374155</v>
      </c>
      <c r="C51" s="4">
        <f t="shared" si="2"/>
        <v>9.0417601777889409</v>
      </c>
      <c r="D51" s="4">
        <f t="shared" si="0"/>
        <v>204.23579822930515</v>
      </c>
      <c r="E51" s="4">
        <f t="shared" si="3"/>
        <v>189.28392524254681</v>
      </c>
    </row>
    <row r="52" spans="1:5" x14ac:dyDescent="0.55000000000000004">
      <c r="A52" s="25">
        <v>38.75</v>
      </c>
      <c r="B52" s="4">
        <f t="shared" si="1"/>
        <v>3.0980844178099414</v>
      </c>
      <c r="C52" s="4">
        <f t="shared" si="2"/>
        <v>8.9966614598977852</v>
      </c>
      <c r="D52" s="4">
        <f t="shared" si="0"/>
        <v>204.27980452887752</v>
      </c>
      <c r="E52" s="4">
        <f t="shared" si="3"/>
        <v>189.40250886871436</v>
      </c>
    </row>
    <row r="53" spans="1:5" x14ac:dyDescent="0.55000000000000004">
      <c r="A53" s="25">
        <v>39</v>
      </c>
      <c r="B53" s="4">
        <f t="shared" si="1"/>
        <v>3.0949224807984534</v>
      </c>
      <c r="C53" s="4">
        <f t="shared" si="2"/>
        <v>8.9520861402656884</v>
      </c>
      <c r="D53" s="4">
        <f t="shared" si="0"/>
        <v>204.32268842759032</v>
      </c>
      <c r="E53" s="4">
        <f t="shared" si="3"/>
        <v>189.51910457844383</v>
      </c>
    </row>
    <row r="54" spans="1:5" x14ac:dyDescent="0.55000000000000004">
      <c r="A54" s="25">
        <v>39.25</v>
      </c>
      <c r="B54" s="4">
        <f t="shared" si="1"/>
        <v>3.0917803216330855</v>
      </c>
      <c r="C54" s="4">
        <f t="shared" si="2"/>
        <v>8.9080248314821162</v>
      </c>
      <c r="D54" s="4">
        <f t="shared" si="0"/>
        <v>204.36447319244786</v>
      </c>
      <c r="E54" s="4">
        <f t="shared" si="3"/>
        <v>189.63375116219595</v>
      </c>
    </row>
    <row r="55" spans="1:5" x14ac:dyDescent="0.55000000000000004">
      <c r="A55" s="25">
        <v>39.5</v>
      </c>
      <c r="B55" s="4">
        <f t="shared" si="1"/>
        <v>3.0886576881642576</v>
      </c>
      <c r="C55" s="4">
        <f t="shared" si="2"/>
        <v>8.8644683730839997</v>
      </c>
      <c r="D55" s="4">
        <f t="shared" si="0"/>
        <v>204.40518149189103</v>
      </c>
      <c r="E55" s="4">
        <f t="shared" si="3"/>
        <v>189.74648643657719</v>
      </c>
    </row>
    <row r="56" spans="1:5" x14ac:dyDescent="0.55000000000000004">
      <c r="A56" s="25">
        <v>39.75</v>
      </c>
      <c r="B56" s="4">
        <f t="shared" si="1"/>
        <v>3.0855543330379356</v>
      </c>
      <c r="C56" s="4">
        <f t="shared" si="2"/>
        <v>8.8214078246723417</v>
      </c>
      <c r="D56" s="4">
        <f t="shared" si="0"/>
        <v>204.44483541459283</v>
      </c>
      <c r="E56" s="4">
        <f t="shared" si="3"/>
        <v>189.85734727451799</v>
      </c>
    </row>
    <row r="57" spans="1:5" x14ac:dyDescent="0.55000000000000004">
      <c r="A57" s="25">
        <v>40</v>
      </c>
      <c r="B57" s="4">
        <f t="shared" si="1"/>
        <v>3.0824700135748109</v>
      </c>
      <c r="C57" s="4">
        <f t="shared" si="2"/>
        <v>8.778834459279194</v>
      </c>
      <c r="D57" s="4">
        <f t="shared" si="0"/>
        <v>204.48345648755554</v>
      </c>
      <c r="E57" s="4">
        <f t="shared" si="3"/>
        <v>189.96636963433863</v>
      </c>
    </row>
    <row r="58" spans="1:5" x14ac:dyDescent="0.55000000000000004">
      <c r="A58" s="25">
        <v>40.25</v>
      </c>
      <c r="B58" s="4">
        <f t="shared" si="1"/>
        <v>3.0794044916532686</v>
      </c>
      <c r="C58" s="4">
        <f t="shared" si="2"/>
        <v>8.7367397569749077</v>
      </c>
      <c r="D58" s="4">
        <f t="shared" si="0"/>
        <v>204.52106569353708</v>
      </c>
      <c r="E58" s="4">
        <f t="shared" si="3"/>
        <v>190.07358858774694</v>
      </c>
    </row>
    <row r="59" spans="1:5" x14ac:dyDescent="0.55000000000000004">
      <c r="A59" s="25">
        <v>40.5</v>
      </c>
      <c r="B59" s="4">
        <f t="shared" si="1"/>
        <v>3.0763575335959841</v>
      </c>
      <c r="C59" s="4">
        <f t="shared" si="2"/>
        <v>8.695115398704937</v>
      </c>
      <c r="D59" s="4">
        <f t="shared" si="0"/>
        <v>204.55768348783738</v>
      </c>
      <c r="E59" s="4">
        <f t="shared" si="3"/>
        <v>190.17903834681627</v>
      </c>
    </row>
    <row r="60" spans="1:5" x14ac:dyDescent="0.55000000000000004">
      <c r="A60" s="25">
        <v>40.75</v>
      </c>
      <c r="B60" s="4">
        <f t="shared" si="1"/>
        <v>3.0733289100600345</v>
      </c>
      <c r="C60" s="4">
        <f t="shared" si="2"/>
        <v>8.6539532603471372</v>
      </c>
      <c r="D60" s="4">
        <f t="shared" si="0"/>
        <v>204.59332981447099</v>
      </c>
      <c r="E60" s="4">
        <f t="shared" si="3"/>
        <v>190.28275228998561</v>
      </c>
    </row>
    <row r="61" spans="1:5" x14ac:dyDescent="0.55000000000000004">
      <c r="A61" s="25">
        <v>41</v>
      </c>
      <c r="B61" s="4">
        <f t="shared" si="1"/>
        <v>3.0703183959303781</v>
      </c>
      <c r="C61" s="4">
        <f t="shared" si="2"/>
        <v>8.6132454069799635</v>
      </c>
      <c r="D61" s="4">
        <f t="shared" si="0"/>
        <v>204.62802412175193</v>
      </c>
      <c r="E61" s="4">
        <f t="shared" si="3"/>
        <v>190.3847629871222</v>
      </c>
    </row>
    <row r="62" spans="1:5" x14ac:dyDescent="0.55000000000000004">
      <c r="A62" s="25">
        <v>41.25</v>
      </c>
      <c r="B62" s="4">
        <f t="shared" si="1"/>
        <v>3.0673257702165828</v>
      </c>
      <c r="C62" s="4">
        <f t="shared" si="2"/>
        <v>8.5729840873529994</v>
      </c>
      <c r="D62" s="4">
        <f t="shared" si="0"/>
        <v>204.66178537731545</v>
      </c>
      <c r="E62" s="4">
        <f t="shared" si="3"/>
        <v>190.48510222368773</v>
      </c>
    </row>
    <row r="63" spans="1:5" x14ac:dyDescent="0.55000000000000004">
      <c r="A63" s="25">
        <v>41.5</v>
      </c>
      <c r="B63" s="4">
        <f t="shared" si="1"/>
        <v>3.0643508159526958</v>
      </c>
      <c r="C63" s="4">
        <f t="shared" si="2"/>
        <v>8.5331617285516188</v>
      </c>
      <c r="D63" s="4">
        <f t="shared" si="0"/>
        <v>204.694632082601</v>
      </c>
      <c r="E63" s="4">
        <f t="shared" si="3"/>
        <v>190.58380102404365</v>
      </c>
    </row>
    <row r="64" spans="1:5" x14ac:dyDescent="0.55000000000000004">
      <c r="A64" s="25">
        <v>41.75</v>
      </c>
      <c r="B64" s="4">
        <f t="shared" si="1"/>
        <v>3.0613933201001204</v>
      </c>
      <c r="C64" s="4">
        <f t="shared" si="2"/>
        <v>8.4937709308475302</v>
      </c>
      <c r="D64" s="4">
        <f t="shared" si="0"/>
        <v>204.72658228681729</v>
      </c>
      <c r="E64" s="4">
        <f t="shared" si="3"/>
        <v>190.6808896739318</v>
      </c>
    </row>
    <row r="65" spans="1:5" x14ac:dyDescent="0.55000000000000004">
      <c r="A65" s="25">
        <v>42</v>
      </c>
      <c r="B65" s="4">
        <f t="shared" si="1"/>
        <v>3.0584530734534181</v>
      </c>
      <c r="C65" s="4">
        <f t="shared" si="2"/>
        <v>8.4548044627280827</v>
      </c>
      <c r="D65" s="4">
        <f t="shared" si="0"/>
        <v>204.75765360041254</v>
      </c>
      <c r="E65" s="4">
        <f t="shared" si="3"/>
        <v>190.77639774216422</v>
      </c>
    </row>
    <row r="66" spans="1:5" x14ac:dyDescent="0.55000000000000004">
      <c r="A66" s="25">
        <v>42.25</v>
      </c>
      <c r="B66" s="4">
        <f t="shared" si="1"/>
        <v>3.055529870548908</v>
      </c>
      <c r="C66" s="4">
        <f t="shared" si="2"/>
        <v>8.4162552560966475</v>
      </c>
      <c r="D66" s="4">
        <f t="shared" si="0"/>
        <v>204.78786320806887</v>
      </c>
      <c r="E66" s="4">
        <f t="shared" si="3"/>
        <v>190.87035410155474</v>
      </c>
    </row>
    <row r="67" spans="1:5" x14ac:dyDescent="0.55000000000000004">
      <c r="A67" s="25">
        <v>42.5</v>
      </c>
      <c r="B67" s="4">
        <f t="shared" si="1"/>
        <v>3.0526235095759713</v>
      </c>
      <c r="C67" s="4">
        <f t="shared" si="2"/>
        <v>8.3781164016375502</v>
      </c>
      <c r="D67" s="4">
        <f t="shared" si="0"/>
        <v>204.81722788124119</v>
      </c>
      <c r="E67" s="4">
        <f t="shared" si="3"/>
        <v>190.96278694912232</v>
      </c>
    </row>
    <row r="68" spans="1:5" x14ac:dyDescent="0.55000000000000004">
      <c r="A68" s="25">
        <v>42.75</v>
      </c>
      <c r="B68" s="4">
        <f t="shared" si="1"/>
        <v>3.0497337922909766</v>
      </c>
      <c r="C68" s="4">
        <f t="shared" si="2"/>
        <v>8.3403811443388864</v>
      </c>
      <c r="D68" s="4">
        <f t="shared" si="0"/>
        <v>204.84576399025789</v>
      </c>
      <c r="E68" s="4">
        <f t="shared" si="3"/>
        <v>191.0537238255956</v>
      </c>
    </row>
    <row r="69" spans="1:5" x14ac:dyDescent="0.55000000000000004">
      <c r="A69" s="25">
        <v>43</v>
      </c>
      <c r="B69" s="4">
        <f t="shared" si="1"/>
        <v>3.0468605239337188</v>
      </c>
      <c r="C69" s="4">
        <f t="shared" si="2"/>
        <v>8.3030428791668527</v>
      </c>
      <c r="D69" s="4">
        <f t="shared" si="0"/>
        <v>204.87348751600319</v>
      </c>
      <c r="E69" s="4">
        <f t="shared" si="3"/>
        <v>191.1431916342483</v>
      </c>
    </row>
    <row r="70" spans="1:5" x14ac:dyDescent="0.55000000000000004">
      <c r="A70" s="25">
        <v>43.25</v>
      </c>
      <c r="B70" s="4">
        <f t="shared" si="1"/>
        <v>3.0440035131462895</v>
      </c>
      <c r="C70" s="4">
        <f t="shared" si="2"/>
        <v>8.2660951468857906</v>
      </c>
      <c r="D70" s="4">
        <f t="shared" si="0"/>
        <v>204.90041406119505</v>
      </c>
      <c r="E70" s="4">
        <f t="shared" si="3"/>
        <v>191.23121665908928</v>
      </c>
    </row>
    <row r="71" spans="1:5" x14ac:dyDescent="0.55000000000000004">
      <c r="A71" s="25">
        <v>43.5</v>
      </c>
      <c r="B71" s="4">
        <f t="shared" si="1"/>
        <v>3.0411625718942972</v>
      </c>
      <c r="C71" s="4">
        <f t="shared" si="2"/>
        <v>8.2295316300180339</v>
      </c>
      <c r="D71" s="4">
        <f t="shared" si="0"/>
        <v>204.92655886127699</v>
      </c>
      <c r="E71" s="4">
        <f t="shared" si="3"/>
        <v>191.31782458243552</v>
      </c>
    </row>
    <row r="72" spans="1:5" x14ac:dyDescent="0.55000000000000004">
      <c r="A72" s="25">
        <v>43.75</v>
      </c>
      <c r="B72" s="4">
        <f t="shared" si="1"/>
        <v>3.0383375153903551</v>
      </c>
      <c r="C72" s="4">
        <f t="shared" si="2"/>
        <v>8.1933461489383461</v>
      </c>
      <c r="D72" s="4">
        <f t="shared" si="0"/>
        <v>204.95193679493875</v>
      </c>
      <c r="E72" s="4">
        <f t="shared" si="3"/>
        <v>191.40304050189096</v>
      </c>
    </row>
    <row r="73" spans="1:5" x14ac:dyDescent="0.55000000000000004">
      <c r="A73" s="25">
        <v>44</v>
      </c>
      <c r="B73" s="4">
        <f t="shared" si="1"/>
        <v>3.0355281620197516</v>
      </c>
      <c r="C73" s="4">
        <f t="shared" si="2"/>
        <v>8.1575326580973897</v>
      </c>
      <c r="D73" s="4">
        <f t="shared" si="0"/>
        <v>204.97656239427928</v>
      </c>
      <c r="E73" s="4">
        <f t="shared" si="3"/>
        <v>191.48688894675462</v>
      </c>
    </row>
    <row r="74" spans="1:5" x14ac:dyDescent="0.55000000000000004">
      <c r="A74" s="25">
        <v>44.25</v>
      </c>
      <c r="B74" s="4">
        <f t="shared" si="1"/>
        <v>3.0327343332682397</v>
      </c>
      <c r="C74" s="4">
        <f t="shared" si="2"/>
        <v>8.1220852423696499</v>
      </c>
      <c r="D74" s="4">
        <f t="shared" si="0"/>
        <v>205.00044985462739</v>
      </c>
      <c r="E74" s="4">
        <f t="shared" si="3"/>
        <v>191.5693938938806</v>
      </c>
    </row>
    <row r="75" spans="1:5" x14ac:dyDescent="0.55000000000000004">
      <c r="A75" s="25">
        <v>44.5</v>
      </c>
      <c r="B75" s="4">
        <f t="shared" si="1"/>
        <v>3.0299558536518689</v>
      </c>
      <c r="C75" s="4">
        <f t="shared" si="2"/>
        <v>8.086998113520762</v>
      </c>
      <c r="D75" s="4">
        <f t="shared" si="0"/>
        <v>205.02361304403314</v>
      </c>
      <c r="E75" s="4">
        <f t="shared" si="3"/>
        <v>191.65057878301104</v>
      </c>
    </row>
    <row r="76" spans="1:5" x14ac:dyDescent="0.55000000000000004">
      <c r="A76" s="25">
        <v>44.75</v>
      </c>
      <c r="B76" s="4">
        <f t="shared" si="1"/>
        <v>3.0271925506487909</v>
      </c>
      <c r="C76" s="4">
        <f t="shared" si="2"/>
        <v>8.05226560678976</v>
      </c>
      <c r="D76" s="4">
        <f t="shared" si="0"/>
        <v>205.04606551244169</v>
      </c>
      <c r="E76" s="4">
        <f t="shared" si="3"/>
        <v>191.73046653160205</v>
      </c>
    </row>
    <row r="77" spans="1:5" x14ac:dyDescent="0.55000000000000004">
      <c r="A77" s="25">
        <v>45</v>
      </c>
      <c r="B77" s="4">
        <f t="shared" si="1"/>
        <v>3.0244442546329653</v>
      </c>
      <c r="C77" s="4">
        <f t="shared" si="2"/>
        <v>8.017882177581857</v>
      </c>
      <c r="D77" s="4">
        <f t="shared" si="0"/>
        <v>205.0678205005639</v>
      </c>
      <c r="E77" s="4">
        <f t="shared" si="3"/>
        <v>191.80907954916287</v>
      </c>
    </row>
    <row r="78" spans="1:5" x14ac:dyDescent="0.55000000000000004">
      <c r="A78" s="25">
        <v>45.25</v>
      </c>
      <c r="B78" s="4">
        <f t="shared" si="1"/>
        <v>3.0217107988097172</v>
      </c>
      <c r="C78" s="4">
        <f t="shared" si="2"/>
        <v>7.983842398267746</v>
      </c>
      <c r="D78" s="4">
        <f t="shared" si="0"/>
        <v>205.08889094845293</v>
      </c>
      <c r="E78" s="4">
        <f t="shared" si="3"/>
        <v>191.88643975112566</v>
      </c>
    </row>
    <row r="79" spans="1:5" x14ac:dyDescent="0.55000000000000004">
      <c r="A79" s="25">
        <v>45.5</v>
      </c>
      <c r="B79" s="4">
        <f t="shared" si="1"/>
        <v>3.018992019153075</v>
      </c>
      <c r="C79" s="4">
        <f t="shared" si="2"/>
        <v>7.9501409550852236</v>
      </c>
      <c r="D79" s="4">
        <f t="shared" ref="D79:D142" si="8">$B$6*$B$12/9.81*($B$9*SQRT(2/($B$9-1)*(2/($B$9+1))^(($B$9+1)/($B$9-1))*(1 - (A79/$B$3)^(($B$9-1)/$B$9))) + C79/$B$3*(A79 - $E$5))</f>
        <v>205.10928950380031</v>
      </c>
      <c r="E79" s="4">
        <f t="shared" ref="E79:E142" si="9">$B$6*$B$12/9.81*($B$9*SQRT(2/($B$9-1)*(2/($B$9+1))^(($B$9+1)/($B$9-1))*(1 - (A79/$B$3)^(($B$9-1)/$B$9))) + C79/$B$3*(A79 - $E$4))</f>
        <v>191.96256857226504</v>
      </c>
    </row>
    <row r="80" spans="1:5" x14ac:dyDescent="0.55000000000000004">
      <c r="A80" s="25">
        <v>45.75</v>
      </c>
      <c r="B80" s="4">
        <f t="shared" ref="B80:B143" si="10">SQRT(2/($B$9-1)*((A80/$B$3)^((1-$B$9)/$B$9) - 1))</f>
        <v>3.0162877543448303</v>
      </c>
      <c r="C80" s="4">
        <f t="shared" ref="C80:C143" si="11">1/B80*(2/($B$9+1)*(1 + ($B$9-1)/2*B80^2))^(($B$9+1)/(2*$B$9-2))</f>
        <v>7.9167726451394271</v>
      </c>
      <c r="D80" s="4">
        <f t="shared" si="8"/>
        <v>205.12902852996027</v>
      </c>
      <c r="E80" s="4">
        <f t="shared" si="9"/>
        <v>192.03748697968285</v>
      </c>
    </row>
    <row r="81" spans="1:5" x14ac:dyDescent="0.55000000000000004">
      <c r="A81" s="25">
        <v>46</v>
      </c>
      <c r="B81" s="4">
        <f t="shared" si="10"/>
        <v>3.0135978457152635</v>
      </c>
      <c r="C81" s="4">
        <f t="shared" si="11"/>
        <v>7.8837323734980354</v>
      </c>
      <c r="D81" s="4">
        <f t="shared" si="8"/>
        <v>205.14812011371379</v>
      </c>
      <c r="E81" s="4">
        <f t="shared" si="9"/>
        <v>192.11121548537596</v>
      </c>
    </row>
    <row r="82" spans="1:5" x14ac:dyDescent="0.55000000000000004">
      <c r="A82" s="25">
        <v>46.25</v>
      </c>
      <c r="B82" s="4">
        <f t="shared" si="10"/>
        <v>3.0109221371854846</v>
      </c>
      <c r="C82" s="4">
        <f t="shared" si="11"/>
        <v>7.8510151503778101</v>
      </c>
      <c r="D82" s="4">
        <f t="shared" si="8"/>
        <v>205.16657607278191</v>
      </c>
      <c r="E82" s="4">
        <f t="shared" si="9"/>
        <v>192.18377415840175</v>
      </c>
    </row>
    <row r="83" spans="1:5" x14ac:dyDescent="0.55000000000000004">
      <c r="A83" s="25">
        <v>46.5</v>
      </c>
      <c r="B83" s="4">
        <f t="shared" si="10"/>
        <v>3.0082604752113364</v>
      </c>
      <c r="C83" s="4">
        <f t="shared" si="11"/>
        <v>7.8186160884194029</v>
      </c>
      <c r="D83" s="4">
        <f t="shared" si="8"/>
        <v>205.18440796309707</v>
      </c>
      <c r="E83" s="4">
        <f t="shared" si="9"/>
        <v>192.25518263665631</v>
      </c>
    </row>
    <row r="84" spans="1:5" x14ac:dyDescent="0.55000000000000004">
      <c r="A84" s="25">
        <v>46.75</v>
      </c>
      <c r="B84" s="4">
        <f t="shared" si="10"/>
        <v>3.0056127087288007</v>
      </c>
      <c r="C84" s="4">
        <f t="shared" si="11"/>
        <v>7.786530400046825</v>
      </c>
      <c r="D84" s="4">
        <f t="shared" si="8"/>
        <v>205.20162708584226</v>
      </c>
      <c r="E84" s="4">
        <f t="shared" si="9"/>
        <v>192.32546013827977</v>
      </c>
    </row>
    <row r="85" spans="1:5" x14ac:dyDescent="0.55000000000000004">
      <c r="A85" s="25">
        <v>47</v>
      </c>
      <c r="B85" s="4">
        <f t="shared" si="10"/>
        <v>3.0029786891008698</v>
      </c>
      <c r="C85" s="4">
        <f t="shared" si="11"/>
        <v>7.7547533949087741</v>
      </c>
      <c r="D85" s="4">
        <f t="shared" si="8"/>
        <v>205.21824449426626</v>
      </c>
      <c r="E85" s="4">
        <f t="shared" si="9"/>
        <v>192.39462547270284</v>
      </c>
    </row>
    <row r="86" spans="1:5" x14ac:dyDescent="0.55000000000000004">
      <c r="A86" s="25">
        <v>47.25</v>
      </c>
      <c r="B86" s="4">
        <f t="shared" si="10"/>
        <v>3.0003582700658362</v>
      </c>
      <c r="C86" s="4">
        <f t="shared" si="11"/>
        <v>7.723280477398883</v>
      </c>
      <c r="D86" s="4">
        <f t="shared" si="8"/>
        <v>205.2342710002828</v>
      </c>
      <c r="E86" s="4">
        <f t="shared" si="9"/>
        <v>192.46269705134654</v>
      </c>
    </row>
    <row r="87" spans="1:5" x14ac:dyDescent="0.55000000000000004">
      <c r="A87" s="25">
        <v>47.5</v>
      </c>
      <c r="B87" s="4">
        <f t="shared" si="10"/>
        <v>2.9977513076869458</v>
      </c>
      <c r="C87" s="4">
        <f t="shared" si="11"/>
        <v>7.6921071442518274</v>
      </c>
      <c r="D87" s="4">
        <f t="shared" si="8"/>
        <v>205.24971718086243</v>
      </c>
      <c r="E87" s="4">
        <f t="shared" si="9"/>
        <v>192.52969289798941</v>
      </c>
    </row>
    <row r="88" spans="1:5" x14ac:dyDescent="0.55000000000000004">
      <c r="A88" s="25">
        <v>47.75</v>
      </c>
      <c r="B88" s="4">
        <f t="shared" si="10"/>
        <v>2.9951576603033803</v>
      </c>
      <c r="C88" s="4">
        <f t="shared" si="11"/>
        <v>7.6612289822127639</v>
      </c>
      <c r="D88" s="4">
        <f t="shared" si="8"/>
        <v>205.26459338422393</v>
      </c>
      <c r="E88" s="4">
        <f t="shared" si="9"/>
        <v>192.59563065881252</v>
      </c>
    </row>
    <row r="89" spans="1:5" x14ac:dyDescent="0.55000000000000004">
      <c r="A89" s="25">
        <v>48</v>
      </c>
      <c r="B89" s="4">
        <f t="shared" si="10"/>
        <v>2.9925771884825241</v>
      </c>
      <c r="C89" s="4">
        <f t="shared" si="11"/>
        <v>7.6306416657775253</v>
      </c>
      <c r="D89" s="4">
        <f t="shared" si="8"/>
        <v>205.27890973583237</v>
      </c>
      <c r="E89" s="4">
        <f t="shared" si="9"/>
        <v>192.6605276121349</v>
      </c>
    </row>
    <row r="90" spans="1:5" x14ac:dyDescent="0.55000000000000004">
      <c r="A90" s="25">
        <v>48.25</v>
      </c>
      <c r="B90" s="4">
        <f t="shared" si="10"/>
        <v>2.9900097549734785</v>
      </c>
      <c r="C90" s="4">
        <f t="shared" si="11"/>
        <v>7.6003409550008758</v>
      </c>
      <c r="D90" s="4">
        <f t="shared" si="8"/>
        <v>205.29267614421178</v>
      </c>
      <c r="E90" s="4">
        <f t="shared" si="9"/>
        <v>192.7244006778501</v>
      </c>
    </row>
    <row r="91" spans="1:5" x14ac:dyDescent="0.55000000000000004">
      <c r="A91" s="25">
        <v>48.5</v>
      </c>
      <c r="B91" s="4">
        <f t="shared" si="10"/>
        <v>2.9874552246617756</v>
      </c>
      <c r="C91" s="4">
        <f t="shared" si="11"/>
        <v>7.5703226933706151</v>
      </c>
      <c r="D91" s="4">
        <f t="shared" si="8"/>
        <v>205.30590230657828</v>
      </c>
      <c r="E91" s="4">
        <f t="shared" si="9"/>
        <v>192.78726642657517</v>
      </c>
    </row>
    <row r="92" spans="1:5" x14ac:dyDescent="0.55000000000000004">
      <c r="A92" s="25">
        <v>48.75</v>
      </c>
      <c r="B92" s="4">
        <f t="shared" si="10"/>
        <v>2.9849134645252646</v>
      </c>
      <c r="C92" s="4">
        <f t="shared" si="11"/>
        <v>7.5405828057451272</v>
      </c>
      <c r="D92" s="4">
        <f t="shared" si="8"/>
        <v>205.31859771429964</v>
      </c>
      <c r="E92" s="4">
        <f t="shared" si="9"/>
        <v>192.84914108852064</v>
      </c>
    </row>
    <row r="93" spans="1:5" x14ac:dyDescent="0.55000000000000004">
      <c r="A93" s="25">
        <v>49</v>
      </c>
      <c r="B93" s="4">
        <f t="shared" si="10"/>
        <v>2.9823843435911344</v>
      </c>
      <c r="C93" s="4">
        <f t="shared" si="11"/>
        <v>7.5111172963522614</v>
      </c>
      <c r="D93" s="4">
        <f t="shared" si="8"/>
        <v>205.33077165818887</v>
      </c>
      <c r="E93" s="4">
        <f t="shared" si="9"/>
        <v>192.91004056209317</v>
      </c>
    </row>
    <row r="94" spans="1:5" x14ac:dyDescent="0.55000000000000004">
      <c r="A94" s="25">
        <v>49.25</v>
      </c>
      <c r="B94" s="4">
        <f t="shared" si="10"/>
        <v>2.9798677328940233</v>
      </c>
      <c r="C94" s="4">
        <f t="shared" si="11"/>
        <v>7.4819222468472724</v>
      </c>
      <c r="D94" s="4">
        <f t="shared" si="8"/>
        <v>205.34243323363651</v>
      </c>
      <c r="E94" s="4">
        <f t="shared" si="9"/>
        <v>192.96998042223953</v>
      </c>
    </row>
    <row r="95" spans="1:5" x14ac:dyDescent="0.55000000000000004">
      <c r="A95" s="25">
        <v>49.5</v>
      </c>
      <c r="B95" s="4">
        <f t="shared" si="10"/>
        <v>2.9773635054352061</v>
      </c>
      <c r="C95" s="4">
        <f t="shared" si="11"/>
        <v>7.4529938144279306</v>
      </c>
      <c r="D95" s="4">
        <f t="shared" si="8"/>
        <v>205.35359134558746</v>
      </c>
      <c r="E95" s="4">
        <f t="shared" si="9"/>
        <v>193.02897592854012</v>
      </c>
    </row>
    <row r="96" spans="1:5" x14ac:dyDescent="0.55000000000000004">
      <c r="A96" s="25">
        <v>49.75</v>
      </c>
      <c r="B96" s="4">
        <f t="shared" si="10"/>
        <v>2.974871536142802</v>
      </c>
      <c r="C96" s="4">
        <f t="shared" si="11"/>
        <v>7.4243282300047548</v>
      </c>
      <c r="D96" s="4">
        <f t="shared" si="8"/>
        <v>205.3642547133683</v>
      </c>
      <c r="E96" s="4">
        <f t="shared" si="9"/>
        <v>193.08704203306237</v>
      </c>
    </row>
    <row r="97" spans="1:5" x14ac:dyDescent="0.55000000000000004">
      <c r="A97" s="25">
        <v>50</v>
      </c>
      <c r="B97" s="4">
        <f t="shared" si="10"/>
        <v>2.97239170183299</v>
      </c>
      <c r="C97" s="4">
        <f t="shared" si="11"/>
        <v>7.3959217964245152</v>
      </c>
      <c r="D97" s="4">
        <f t="shared" si="8"/>
        <v>205.37443187536979</v>
      </c>
      <c r="E97" s="4">
        <f t="shared" si="9"/>
        <v>193.14419338798064</v>
      </c>
    </row>
    <row r="98" spans="1:5" x14ac:dyDescent="0.55000000000000004">
      <c r="A98" s="25">
        <v>50.25</v>
      </c>
      <c r="B98" s="4">
        <f t="shared" si="10"/>
        <v>2.9699238811721922</v>
      </c>
      <c r="C98" s="4">
        <f t="shared" si="11"/>
        <v>7.3677708867451965</v>
      </c>
      <c r="D98" s="4">
        <f t="shared" si="8"/>
        <v>205.3841311935897</v>
      </c>
      <c r="E98" s="4">
        <f t="shared" si="9"/>
        <v>193.2004443529718</v>
      </c>
    </row>
    <row r="99" spans="1:5" x14ac:dyDescent="0.55000000000000004">
      <c r="A99" s="25">
        <v>50.5</v>
      </c>
      <c r="B99" s="4">
        <f t="shared" si="10"/>
        <v>2.9674679546402034</v>
      </c>
      <c r="C99" s="4">
        <f t="shared" si="11"/>
        <v>7.3398719425606869</v>
      </c>
      <c r="D99" s="4">
        <f t="shared" si="8"/>
        <v>205.39336085804126</v>
      </c>
      <c r="E99" s="4">
        <f t="shared" si="9"/>
        <v>193.2558090023941</v>
      </c>
    </row>
    <row r="100" spans="1:5" x14ac:dyDescent="0.55000000000000004">
      <c r="A100" s="25">
        <v>50.75</v>
      </c>
      <c r="B100" s="4">
        <f t="shared" si="10"/>
        <v>2.9650238044942263</v>
      </c>
      <c r="C100" s="4">
        <f t="shared" si="11"/>
        <v>7.3122214723735146</v>
      </c>
      <c r="D100" s="4">
        <f t="shared" si="8"/>
        <v>205.40212889103066</v>
      </c>
      <c r="E100" s="4">
        <f t="shared" si="9"/>
        <v>193.31030113225552</v>
      </c>
    </row>
    <row r="101" spans="1:5" x14ac:dyDescent="0.55000000000000004">
      <c r="A101" s="25">
        <v>51</v>
      </c>
      <c r="B101" s="4">
        <f t="shared" si="10"/>
        <v>2.962591314733801</v>
      </c>
      <c r="C101" s="4">
        <f t="shared" si="11"/>
        <v>7.2848160500140153</v>
      </c>
      <c r="D101" s="4">
        <f t="shared" si="8"/>
        <v>205.41044315130949</v>
      </c>
      <c r="E101" s="4">
        <f t="shared" si="9"/>
        <v>193.36393426698032</v>
      </c>
    </row>
    <row r="102" spans="1:5" x14ac:dyDescent="0.55000000000000004">
      <c r="A102" s="25">
        <v>51.25</v>
      </c>
      <c r="B102" s="4">
        <f t="shared" si="10"/>
        <v>2.9601703710665936</v>
      </c>
      <c r="C102" s="4">
        <f t="shared" si="11"/>
        <v>7.2576523131044119</v>
      </c>
      <c r="D102" s="4">
        <f t="shared" si="8"/>
        <v>205.41831133810547</v>
      </c>
      <c r="E102" s="4">
        <f t="shared" si="9"/>
        <v>193.41672166597968</v>
      </c>
    </row>
    <row r="103" spans="1:5" x14ac:dyDescent="0.55000000000000004">
      <c r="A103" s="25">
        <v>51.5</v>
      </c>
      <c r="B103" s="4">
        <f t="shared" si="10"/>
        <v>2.9577608608750161</v>
      </c>
      <c r="C103" s="4">
        <f t="shared" si="11"/>
        <v>7.230726961566293</v>
      </c>
      <c r="D103" s="4">
        <f t="shared" si="8"/>
        <v>205.42574099503574</v>
      </c>
      <c r="E103" s="4">
        <f t="shared" si="9"/>
        <v>193.46867633003308</v>
      </c>
    </row>
    <row r="104" spans="1:5" x14ac:dyDescent="0.55000000000000004">
      <c r="A104" s="25">
        <v>51.75</v>
      </c>
      <c r="B104" s="4">
        <f t="shared" si="10"/>
        <v>2.955362673183664</v>
      </c>
      <c r="C104" s="4">
        <f t="shared" si="11"/>
        <v>7.2040367561700416</v>
      </c>
      <c r="D104" s="4">
        <f t="shared" si="8"/>
        <v>205.43273951390674</v>
      </c>
      <c r="E104" s="4">
        <f t="shared" si="9"/>
        <v>193.51981100748694</v>
      </c>
    </row>
    <row r="105" spans="1:5" x14ac:dyDescent="0.55000000000000004">
      <c r="A105" s="25">
        <v>52</v>
      </c>
      <c r="B105" s="4">
        <f t="shared" si="10"/>
        <v>2.9529756986275344</v>
      </c>
      <c r="C105" s="4">
        <f t="shared" si="11"/>
        <v>7.177578517124938</v>
      </c>
      <c r="D105" s="4">
        <f t="shared" si="8"/>
        <v>205.4393141384048</v>
      </c>
      <c r="E105" s="4">
        <f t="shared" si="9"/>
        <v>193.57013820027672</v>
      </c>
    </row>
    <row r="106" spans="1:5" x14ac:dyDescent="0.55000000000000004">
      <c r="A106" s="25">
        <v>52.25</v>
      </c>
      <c r="B106" s="4">
        <f t="shared" si="10"/>
        <v>2.9505998294210176</v>
      </c>
      <c r="C106" s="4">
        <f t="shared" si="11"/>
        <v>7.1513491227084858</v>
      </c>
      <c r="D106" s="4">
        <f t="shared" si="8"/>
        <v>205.44547196768039</v>
      </c>
      <c r="E106" s="4">
        <f t="shared" si="9"/>
        <v>193.61967016977752</v>
      </c>
    </row>
    <row r="107" spans="1:5" x14ac:dyDescent="0.55000000000000004">
      <c r="A107" s="25">
        <v>52.5</v>
      </c>
      <c r="B107" s="4">
        <f t="shared" si="10"/>
        <v>2.9482349593276194</v>
      </c>
      <c r="C107" s="4">
        <f t="shared" si="11"/>
        <v>7.1253455079336678</v>
      </c>
      <c r="D107" s="4">
        <f t="shared" si="8"/>
        <v>205.45121995982973</v>
      </c>
      <c r="E107" s="4">
        <f t="shared" si="9"/>
        <v>193.66841894248998</v>
      </c>
    </row>
    <row r="108" spans="1:5" x14ac:dyDescent="0.55000000000000004">
      <c r="A108" s="25">
        <v>52.75</v>
      </c>
      <c r="B108" s="4">
        <f t="shared" si="10"/>
        <v>2.9458809836304209</v>
      </c>
      <c r="C108" s="4">
        <f t="shared" si="11"/>
        <v>7.0995646632531875</v>
      </c>
      <c r="D108" s="4">
        <f t="shared" si="8"/>
        <v>205.45656493527832</v>
      </c>
      <c r="E108" s="4">
        <f t="shared" si="9"/>
        <v>193.71639631556633</v>
      </c>
    </row>
    <row r="109" spans="1:5" x14ac:dyDescent="0.55000000000000004">
      <c r="A109" s="25">
        <v>53</v>
      </c>
      <c r="B109" s="4">
        <f t="shared" si="10"/>
        <v>2.9435377991032219</v>
      </c>
      <c r="C109" s="4">
        <f t="shared" si="11"/>
        <v>7.0740036332990117</v>
      </c>
      <c r="D109" s="4">
        <f t="shared" si="8"/>
        <v>205.46151358006745</v>
      </c>
      <c r="E109" s="4">
        <f t="shared" si="9"/>
        <v>193.76361386218105</v>
      </c>
    </row>
    <row r="110" spans="1:5" x14ac:dyDescent="0.55000000000000004">
      <c r="A110" s="25">
        <v>53.25</v>
      </c>
      <c r="B110" s="4">
        <f t="shared" si="10"/>
        <v>2.9412053039823816</v>
      </c>
      <c r="C110" s="4">
        <f t="shared" si="11"/>
        <v>7.0486595156566345</v>
      </c>
      <c r="D110" s="4">
        <f t="shared" si="8"/>
        <v>205.46607244904885</v>
      </c>
      <c r="E110" s="4">
        <f t="shared" si="9"/>
        <v>193.81008293675282</v>
      </c>
    </row>
    <row r="111" spans="1:5" x14ac:dyDescent="0.55000000000000004">
      <c r="A111" s="25">
        <v>53.5</v>
      </c>
      <c r="B111" s="4">
        <f t="shared" si="10"/>
        <v>2.9388833979393105</v>
      </c>
      <c r="C111" s="4">
        <f t="shared" si="11"/>
        <v>7.0235294596724307</v>
      </c>
      <c r="D111" s="4">
        <f t="shared" si="8"/>
        <v>205.47024796898933</v>
      </c>
      <c r="E111" s="4">
        <f t="shared" si="9"/>
        <v>193.8558146800213</v>
      </c>
    </row>
    <row r="112" spans="1:5" x14ac:dyDescent="0.55000000000000004">
      <c r="A112" s="25">
        <v>53.75</v>
      </c>
      <c r="B112" s="4">
        <f t="shared" si="10"/>
        <v>2.9365719820536071</v>
      </c>
      <c r="C112" s="4">
        <f t="shared" si="11"/>
        <v>6.9986106652935058</v>
      </c>
      <c r="D112" s="4">
        <f t="shared" si="8"/>
        <v>205.47404644158894</v>
      </c>
      <c r="E112" s="4">
        <f t="shared" si="9"/>
        <v>193.90082002398339</v>
      </c>
    </row>
    <row r="113" spans="1:5" x14ac:dyDescent="0.55000000000000004">
      <c r="A113" s="25">
        <v>54</v>
      </c>
      <c r="B113" s="4">
        <f t="shared" si="10"/>
        <v>2.9342709587868279</v>
      </c>
      <c r="C113" s="4">
        <f t="shared" si="11"/>
        <v>6.9739003819387442</v>
      </c>
      <c r="D113" s="4">
        <f t="shared" si="8"/>
        <v>205.47747404641487</v>
      </c>
      <c r="E113" s="4">
        <f t="shared" si="9"/>
        <v>193.94510969669457</v>
      </c>
    </row>
    <row r="114" spans="1:5" x14ac:dyDescent="0.55000000000000004">
      <c r="A114" s="25">
        <v>54.25</v>
      </c>
      <c r="B114" s="4">
        <f t="shared" si="10"/>
        <v>2.931980231956854</v>
      </c>
      <c r="C114" s="4">
        <f t="shared" si="11"/>
        <v>6.9493959074000937</v>
      </c>
      <c r="D114" s="4">
        <f t="shared" si="8"/>
        <v>205.48053684375429</v>
      </c>
      <c r="E114" s="4">
        <f t="shared" si="9"/>
        <v>193.98869422693829</v>
      </c>
    </row>
    <row r="115" spans="1:5" x14ac:dyDescent="0.55000000000000004">
      <c r="A115" s="25">
        <v>54.5</v>
      </c>
      <c r="B115" s="4">
        <f t="shared" si="10"/>
        <v>2.9296997067128583</v>
      </c>
      <c r="C115" s="4">
        <f t="shared" si="11"/>
        <v>6.9250945867732634</v>
      </c>
      <c r="D115" s="4">
        <f t="shared" si="8"/>
        <v>205.4832407773886</v>
      </c>
      <c r="E115" s="4">
        <f t="shared" si="9"/>
        <v>194.03158394876857</v>
      </c>
    </row>
    <row r="116" spans="1:5" x14ac:dyDescent="0.55000000000000004">
      <c r="A116" s="25">
        <v>54.75</v>
      </c>
      <c r="B116" s="4">
        <f t="shared" si="10"/>
        <v>2.9274292895108442</v>
      </c>
      <c r="C116" s="4">
        <f t="shared" si="11"/>
        <v>6.9009938114167939</v>
      </c>
      <c r="D116" s="4">
        <f t="shared" si="8"/>
        <v>205.48559167729144</v>
      </c>
      <c r="E116" s="4">
        <f t="shared" si="9"/>
        <v>194.07378900592911</v>
      </c>
    </row>
    <row r="117" spans="1:5" x14ac:dyDescent="0.55000000000000004">
      <c r="A117" s="25">
        <v>55</v>
      </c>
      <c r="B117" s="4">
        <f t="shared" si="10"/>
        <v>2.925168888089738</v>
      </c>
      <c r="C117" s="4">
        <f t="shared" si="11"/>
        <v>6.8770910179386675</v>
      </c>
      <c r="D117" s="4">
        <f t="shared" si="8"/>
        <v>205.48759526225288</v>
      </c>
      <c r="E117" s="4">
        <f t="shared" si="9"/>
        <v>194.11531935615375</v>
      </c>
    </row>
    <row r="118" spans="1:5" x14ac:dyDescent="0.55000000000000004">
      <c r="A118" s="25">
        <v>55.25</v>
      </c>
      <c r="B118" s="4">
        <f t="shared" si="10"/>
        <v>2.9229184114480398</v>
      </c>
      <c r="C118" s="4">
        <f t="shared" si="11"/>
        <v>6.8533836872097238</v>
      </c>
      <c r="D118" s="4">
        <f t="shared" si="8"/>
        <v>205.48925714243254</v>
      </c>
      <c r="E118" s="4">
        <f t="shared" si="9"/>
        <v>194.15618477535062</v>
      </c>
    </row>
    <row r="119" spans="1:5" x14ac:dyDescent="0.55000000000000004">
      <c r="A119" s="25">
        <v>55.5</v>
      </c>
      <c r="B119" s="4">
        <f t="shared" si="10"/>
        <v>2.9206777698209851</v>
      </c>
      <c r="C119" s="4">
        <f t="shared" si="11"/>
        <v>6.8298693434027546</v>
      </c>
      <c r="D119" s="4">
        <f t="shared" si="8"/>
        <v>205.49058282184302</v>
      </c>
      <c r="E119" s="4">
        <f t="shared" si="9"/>
        <v>194.19639486167475</v>
      </c>
    </row>
    <row r="120" spans="1:5" x14ac:dyDescent="0.55000000000000004">
      <c r="A120" s="25">
        <v>55.75</v>
      </c>
      <c r="B120" s="4">
        <f t="shared" si="10"/>
        <v>2.9184468746582364</v>
      </c>
      <c r="C120" s="4">
        <f t="shared" si="11"/>
        <v>6.806545553056834</v>
      </c>
      <c r="D120" s="4">
        <f t="shared" si="8"/>
        <v>205.49157770076692</v>
      </c>
      <c r="E120" s="4">
        <f t="shared" si="9"/>
        <v>194.23595903949234</v>
      </c>
    </row>
    <row r="121" spans="1:5" x14ac:dyDescent="0.55000000000000004">
      <c r="A121" s="25">
        <v>56</v>
      </c>
      <c r="B121" s="4">
        <f t="shared" si="10"/>
        <v>2.9162256386020662</v>
      </c>
      <c r="C121" s="4">
        <f t="shared" si="11"/>
        <v>6.7834099241659223</v>
      </c>
      <c r="D121" s="4">
        <f t="shared" si="8"/>
        <v>205.49224707810859</v>
      </c>
      <c r="E121" s="4">
        <f t="shared" si="9"/>
        <v>194.27488656323959</v>
      </c>
    </row>
    <row r="122" spans="1:5" x14ac:dyDescent="0.55000000000000004">
      <c r="A122" s="25">
        <v>56.25</v>
      </c>
      <c r="B122" s="4">
        <f t="shared" si="10"/>
        <v>2.9140139754660321</v>
      </c>
      <c r="C122" s="4">
        <f t="shared" si="11"/>
        <v>6.7604601052909592</v>
      </c>
      <c r="D122" s="4">
        <f t="shared" si="8"/>
        <v>205.492596153683</v>
      </c>
      <c r="E122" s="4">
        <f t="shared" si="9"/>
        <v>194.31318652117983</v>
      </c>
    </row>
    <row r="123" spans="1:5" x14ac:dyDescent="0.55000000000000004">
      <c r="A123" s="25">
        <v>56.5</v>
      </c>
      <c r="B123" s="4">
        <f t="shared" si="10"/>
        <v>2.9118118002141276</v>
      </c>
      <c r="C123" s="4">
        <f t="shared" si="11"/>
        <v>6.7376937846950424</v>
      </c>
      <c r="D123" s="4">
        <f t="shared" si="8"/>
        <v>205.49263003044388</v>
      </c>
      <c r="E123" s="4">
        <f t="shared" si="9"/>
        <v>194.35086783906198</v>
      </c>
    </row>
    <row r="124" spans="1:5" x14ac:dyDescent="0.55000000000000004">
      <c r="A124" s="25">
        <v>56.75</v>
      </c>
      <c r="B124" s="4">
        <f t="shared" si="10"/>
        <v>2.9096190289403885</v>
      </c>
      <c r="C124" s="4">
        <f t="shared" si="11"/>
        <v>6.7151086895005099</v>
      </c>
      <c r="D124" s="4">
        <f t="shared" si="8"/>
        <v>205.49235371665259</v>
      </c>
      <c r="E124" s="4">
        <f t="shared" si="9"/>
        <v>194.38793928368304</v>
      </c>
    </row>
    <row r="125" spans="1:5" x14ac:dyDescent="0.55000000000000004">
      <c r="A125" s="25">
        <v>57</v>
      </c>
      <c r="B125" s="4">
        <f t="shared" si="10"/>
        <v>2.9074355788489559</v>
      </c>
      <c r="C125" s="4">
        <f t="shared" si="11"/>
        <v>6.6927025848677744</v>
      </c>
      <c r="D125" s="4">
        <f t="shared" si="8"/>
        <v>205.49177212798963</v>
      </c>
      <c r="E125" s="4">
        <f t="shared" si="9"/>
        <v>194.4244094663577</v>
      </c>
    </row>
    <row r="126" spans="1:5" x14ac:dyDescent="0.55000000000000004">
      <c r="A126" s="25">
        <v>57.25</v>
      </c>
      <c r="B126" s="4">
        <f t="shared" si="10"/>
        <v>2.9052613682345729</v>
      </c>
      <c r="C126" s="4">
        <f t="shared" si="11"/>
        <v>6.6704732731948999</v>
      </c>
      <c r="D126" s="4">
        <f t="shared" si="8"/>
        <v>205.49089008961118</v>
      </c>
      <c r="E126" s="4">
        <f t="shared" si="9"/>
        <v>194.46028684629826</v>
      </c>
    </row>
    <row r="127" spans="1:5" x14ac:dyDescent="0.55000000000000004">
      <c r="A127" s="25">
        <v>57.5</v>
      </c>
      <c r="B127" s="4">
        <f t="shared" si="10"/>
        <v>2.9030963164635097</v>
      </c>
      <c r="C127" s="4">
        <f t="shared" si="11"/>
        <v>6.648418593337432</v>
      </c>
      <c r="D127" s="4">
        <f t="shared" si="8"/>
        <v>205.48971233815081</v>
      </c>
      <c r="E127" s="4">
        <f t="shared" si="9"/>
        <v>194.49557973390688</v>
      </c>
    </row>
    <row r="128" spans="1:5" x14ac:dyDescent="0.55000000000000004">
      <c r="A128" s="25">
        <v>57.75</v>
      </c>
      <c r="B128" s="4">
        <f t="shared" si="10"/>
        <v>2.9009403439549022</v>
      </c>
      <c r="C128" s="4">
        <f t="shared" si="11"/>
        <v>6.6265364198480308</v>
      </c>
      <c r="D128" s="4">
        <f t="shared" si="8"/>
        <v>205.48824352367018</v>
      </c>
      <c r="E128" s="4">
        <f t="shared" si="9"/>
        <v>194.53029629398324</v>
      </c>
    </row>
    <row r="129" spans="1:5" x14ac:dyDescent="0.55000000000000004">
      <c r="A129" s="25">
        <v>58</v>
      </c>
      <c r="B129" s="4">
        <f t="shared" si="10"/>
        <v>2.8987933721624954</v>
      </c>
      <c r="C129" s="4">
        <f t="shared" si="11"/>
        <v>6.604824662234928</v>
      </c>
      <c r="D129" s="4">
        <f t="shared" si="8"/>
        <v>205.48648821155808</v>
      </c>
      <c r="E129" s="4">
        <f t="shared" si="9"/>
        <v>194.56444454885005</v>
      </c>
    </row>
    <row r="130" spans="1:5" x14ac:dyDescent="0.55000000000000004">
      <c r="A130" s="25">
        <v>58.25</v>
      </c>
      <c r="B130" s="4">
        <f t="shared" si="10"/>
        <v>2.896655323556784</v>
      </c>
      <c r="C130" s="4">
        <f t="shared" si="11"/>
        <v>6.5832812642391962</v>
      </c>
      <c r="D130" s="4">
        <f t="shared" si="8"/>
        <v>205.48445088438109</v>
      </c>
      <c r="E130" s="4">
        <f t="shared" si="9"/>
        <v>194.59803238139875</v>
      </c>
    </row>
    <row r="131" spans="1:5" x14ac:dyDescent="0.55000000000000004">
      <c r="A131" s="25">
        <v>58.5</v>
      </c>
      <c r="B131" s="4">
        <f t="shared" si="10"/>
        <v>2.8945261216075284</v>
      </c>
      <c r="C131" s="4">
        <f t="shared" si="11"/>
        <v>6.5619042031297541</v>
      </c>
      <c r="D131" s="4">
        <f t="shared" si="8"/>
        <v>205.48213594368585</v>
      </c>
      <c r="E131" s="4">
        <f t="shared" si="9"/>
        <v>194.63106753805772</v>
      </c>
    </row>
    <row r="132" spans="1:5" x14ac:dyDescent="0.55000000000000004">
      <c r="A132" s="25">
        <v>58.75</v>
      </c>
      <c r="B132" s="4">
        <f t="shared" si="10"/>
        <v>2.8924056907666582</v>
      </c>
      <c r="C132" s="4">
        <f t="shared" si="11"/>
        <v>6.5406914890160204</v>
      </c>
      <c r="D132" s="4">
        <f t="shared" si="8"/>
        <v>205.47954771175597</v>
      </c>
      <c r="E132" s="4">
        <f t="shared" si="9"/>
        <v>194.66355763168576</v>
      </c>
    </row>
    <row r="133" spans="1:5" x14ac:dyDescent="0.55000000000000004">
      <c r="A133" s="25">
        <v>59</v>
      </c>
      <c r="B133" s="4">
        <f t="shared" si="10"/>
        <v>2.8902939564515253</v>
      </c>
      <c r="C133" s="4">
        <f t="shared" si="11"/>
        <v>6.5196411641773393</v>
      </c>
      <c r="D133" s="4">
        <f t="shared" si="8"/>
        <v>205.4766904333234</v>
      </c>
      <c r="E133" s="4">
        <f t="shared" si="9"/>
        <v>194.69551014439222</v>
      </c>
    </row>
    <row r="134" spans="1:5" x14ac:dyDescent="0.55000000000000004">
      <c r="A134" s="25">
        <v>59.25</v>
      </c>
      <c r="B134" s="4">
        <f t="shared" si="10"/>
        <v>2.8881908450285216</v>
      </c>
      <c r="C134" s="4">
        <f t="shared" si="11"/>
        <v>6.4987513024090457</v>
      </c>
      <c r="D134" s="4">
        <f t="shared" si="8"/>
        <v>205.47356827723647</v>
      </c>
      <c r="E134" s="4">
        <f t="shared" si="9"/>
        <v>194.72693243028655</v>
      </c>
    </row>
    <row r="135" spans="1:5" x14ac:dyDescent="0.55000000000000004">
      <c r="A135" s="25">
        <v>59.5</v>
      </c>
      <c r="B135" s="4">
        <f t="shared" si="10"/>
        <v>2.886096283797039</v>
      </c>
      <c r="C135" s="4">
        <f t="shared" si="11"/>
        <v>6.4780200083843926</v>
      </c>
      <c r="D135" s="4">
        <f t="shared" si="8"/>
        <v>205.47018533808571</v>
      </c>
      <c r="E135" s="4">
        <f t="shared" si="9"/>
        <v>194.75783171815942</v>
      </c>
    </row>
    <row r="136" spans="1:5" x14ac:dyDescent="0.55000000000000004">
      <c r="A136" s="25">
        <v>59.75</v>
      </c>
      <c r="B136" s="4">
        <f t="shared" si="10"/>
        <v>2.8840102009737714</v>
      </c>
      <c r="C136" s="4">
        <f t="shared" si="11"/>
        <v>6.457445417032134</v>
      </c>
      <c r="D136" s="4">
        <f t="shared" si="8"/>
        <v>205.46654563778873</v>
      </c>
      <c r="E136" s="4">
        <f t="shared" si="9"/>
        <v>194.78821511409643</v>
      </c>
    </row>
    <row r="137" spans="1:5" x14ac:dyDescent="0.55000000000000004">
      <c r="A137" s="25">
        <v>60</v>
      </c>
      <c r="B137" s="4">
        <f t="shared" si="10"/>
        <v>2.8819325256773376</v>
      </c>
      <c r="C137" s="4">
        <f t="shared" si="11"/>
        <v>6.4370256929290708</v>
      </c>
      <c r="D137" s="4">
        <f t="shared" si="8"/>
        <v>205.46265312713493</v>
      </c>
      <c r="E137" s="4">
        <f t="shared" si="9"/>
        <v>194.8180896040277</v>
      </c>
    </row>
    <row r="138" spans="1:5" x14ac:dyDescent="0.55000000000000004">
      <c r="A138" s="25">
        <v>60.25</v>
      </c>
      <c r="B138" s="4">
        <f t="shared" si="10"/>
        <v>2.8798631879132301</v>
      </c>
      <c r="C138" s="4">
        <f t="shared" si="11"/>
        <v>6.4167590297073618</v>
      </c>
      <c r="D138" s="4">
        <f t="shared" si="8"/>
        <v>205.45851168729192</v>
      </c>
      <c r="E138" s="4">
        <f t="shared" si="9"/>
        <v>194.84746205621437</v>
      </c>
    </row>
    <row r="139" spans="1:5" x14ac:dyDescent="0.55000000000000004">
      <c r="A139" s="25">
        <v>60.5</v>
      </c>
      <c r="B139" s="4">
        <f t="shared" si="10"/>
        <v>2.8778021185590803</v>
      </c>
      <c r="C139" s="4">
        <f t="shared" si="11"/>
        <v>6.3966436494761147</v>
      </c>
      <c r="D139" s="4">
        <f t="shared" si="8"/>
        <v>205.45412513127425</v>
      </c>
      <c r="E139" s="4">
        <f t="shared" si="9"/>
        <v>194.87633922367354</v>
      </c>
    </row>
    <row r="140" spans="1:5" x14ac:dyDescent="0.55000000000000004">
      <c r="A140" s="25">
        <v>60.75</v>
      </c>
      <c r="B140" s="4">
        <f t="shared" si="10"/>
        <v>2.8757492493502164</v>
      </c>
      <c r="C140" s="4">
        <f t="shared" si="11"/>
        <v>6.3766778022566362</v>
      </c>
      <c r="D140" s="4">
        <f t="shared" si="8"/>
        <v>205.44949720537531</v>
      </c>
      <c r="E140" s="4">
        <f t="shared" si="9"/>
        <v>194.90472774654438</v>
      </c>
    </row>
    <row r="141" spans="1:5" x14ac:dyDescent="0.55000000000000004">
      <c r="A141" s="25">
        <v>61</v>
      </c>
      <c r="B141" s="4">
        <f t="shared" si="10"/>
        <v>2.8737045128655363</v>
      </c>
      <c r="C141" s="4">
        <f t="shared" si="11"/>
        <v>6.3568597654315102</v>
      </c>
      <c r="D141" s="4">
        <f t="shared" si="8"/>
        <v>205.44463159056457</v>
      </c>
      <c r="E141" s="4">
        <f t="shared" si="9"/>
        <v>194.93263415439625</v>
      </c>
    </row>
    <row r="142" spans="1:5" x14ac:dyDescent="0.55000000000000004">
      <c r="A142" s="25">
        <v>61.25</v>
      </c>
      <c r="B142" s="4">
        <f t="shared" si="10"/>
        <v>2.8716678425136486</v>
      </c>
      <c r="C142" s="4">
        <f t="shared" si="11"/>
        <v>6.3371878432063253</v>
      </c>
      <c r="D142" s="4">
        <f t="shared" si="8"/>
        <v>205.43953190384957</v>
      </c>
      <c r="E142" s="4">
        <f t="shared" si="9"/>
        <v>194.96006486848074</v>
      </c>
    </row>
    <row r="143" spans="1:5" x14ac:dyDescent="0.55000000000000004">
      <c r="A143" s="25">
        <v>61.5</v>
      </c>
      <c r="B143" s="4">
        <f t="shared" si="10"/>
        <v>2.86963917251932</v>
      </c>
      <c r="C143" s="4">
        <f t="shared" si="11"/>
        <v>6.317660366084513</v>
      </c>
      <c r="D143" s="4">
        <f t="shared" ref="D143:D206" si="12">$B$6*$B$12/9.81*($B$9*SQRT(2/($B$9-1)*(2/($B$9+1))^(($B$9+1)/($B$9-1))*(1 - (A143/$B$3)^(($B$9-1)/$B$9))) + C143/$B$3*(A143 - $E$5))</f>
        <v>205.43420169960504</v>
      </c>
      <c r="E143" s="4">
        <f t="shared" ref="E143:E206" si="13">$B$6*$B$12/9.81*($B$9*SQRT(2/($B$9-1)*(2/($B$9+1))^(($B$9+1)/($B$9-1))*(1 - (A143/$B$3)^(($B$9-1)/$B$9))) + C143/$B$3*(A143 - $E$4))</f>
        <v>194.98702620392936</v>
      </c>
    </row>
    <row r="144" spans="1:5" x14ac:dyDescent="0.55000000000000004">
      <c r="A144" s="25">
        <v>61.75</v>
      </c>
      <c r="B144" s="4">
        <f t="shared" ref="B144:B207" si="14">SQRT(2/($B$9-1)*((A144/$B$3)^((1-$B$9)/$B$9) - 1))</f>
        <v>2.8676184379101812</v>
      </c>
      <c r="C144" s="4">
        <f t="shared" ref="C144:C207" si="15">1/B144*(2/($B$9+1)*(1 + ($B$9-1)/2*B144^2))^(($B$9+1)/(2*$B$9-2))</f>
        <v>6.298275690354374</v>
      </c>
      <c r="D144" s="4">
        <f t="shared" si="12"/>
        <v>205.42864447086936</v>
      </c>
      <c r="E144" s="4">
        <f t="shared" si="13"/>
        <v>195.01352437189823</v>
      </c>
    </row>
    <row r="145" spans="1:5" x14ac:dyDescent="0.55000000000000004">
      <c r="A145" s="25">
        <v>62</v>
      </c>
      <c r="B145" s="4">
        <f t="shared" si="14"/>
        <v>2.8656055745037095</v>
      </c>
      <c r="C145" s="4">
        <f t="shared" si="15"/>
        <v>6.2790321975881156</v>
      </c>
      <c r="D145" s="4">
        <f t="shared" si="12"/>
        <v>205.42286365060923</v>
      </c>
      <c r="E145" s="4">
        <f t="shared" si="13"/>
        <v>195.03956548166116</v>
      </c>
    </row>
    <row r="146" spans="1:5" x14ac:dyDescent="0.55000000000000004">
      <c r="A146" s="25">
        <v>62.25</v>
      </c>
      <c r="B146" s="4">
        <f t="shared" si="14"/>
        <v>2.86360051889447</v>
      </c>
      <c r="C146" s="4">
        <f t="shared" si="15"/>
        <v>6.2599282941527283</v>
      </c>
      <c r="D146" s="4">
        <f t="shared" si="12"/>
        <v>205.41686261295385</v>
      </c>
      <c r="E146" s="4">
        <f t="shared" si="13"/>
        <v>195.06515554265255</v>
      </c>
    </row>
    <row r="147" spans="1:5" x14ac:dyDescent="0.55000000000000004">
      <c r="A147" s="25">
        <v>62.5</v>
      </c>
      <c r="B147" s="4">
        <f t="shared" si="14"/>
        <v>2.861603208441625</v>
      </c>
      <c r="C147" s="4">
        <f t="shared" si="15"/>
        <v>6.2409624107321777</v>
      </c>
      <c r="D147" s="4">
        <f t="shared" si="12"/>
        <v>205.41064467439955</v>
      </c>
      <c r="E147" s="4">
        <f t="shared" si="13"/>
        <v>195.09030046646242</v>
      </c>
    </row>
    <row r="148" spans="1:5" x14ac:dyDescent="0.55000000000000004">
      <c r="A148" s="25">
        <v>62.75</v>
      </c>
      <c r="B148" s="4">
        <f t="shared" si="14"/>
        <v>2.8596135812566734</v>
      </c>
      <c r="C148" s="4">
        <f t="shared" si="15"/>
        <v>6.2221330018606169</v>
      </c>
      <c r="D148" s="4">
        <f t="shared" si="12"/>
        <v>205.40421309498464</v>
      </c>
      <c r="E148" s="4">
        <f t="shared" si="13"/>
        <v>195.11500606878286</v>
      </c>
    </row>
    <row r="149" spans="1:5" x14ac:dyDescent="0.55000000000000004">
      <c r="A149" s="25">
        <v>63</v>
      </c>
      <c r="B149" s="4">
        <f t="shared" si="14"/>
        <v>2.8576315761914532</v>
      </c>
      <c r="C149" s="4">
        <f t="shared" si="15"/>
        <v>6.2034385454665069</v>
      </c>
      <c r="D149" s="4">
        <f t="shared" si="12"/>
        <v>205.39757107943691</v>
      </c>
      <c r="E149" s="4">
        <f t="shared" si="13"/>
        <v>195.1392780713096</v>
      </c>
    </row>
    <row r="150" spans="1:5" x14ac:dyDescent="0.55000000000000004">
      <c r="A150" s="25">
        <v>63.25</v>
      </c>
      <c r="B150" s="4">
        <f t="shared" si="14"/>
        <v>2.8556571328263751</v>
      </c>
      <c r="C150" s="4">
        <f t="shared" si="15"/>
        <v>6.1848775424271167</v>
      </c>
      <c r="D150" s="4">
        <f t="shared" si="12"/>
        <v>205.39072177829325</v>
      </c>
      <c r="E150" s="4">
        <f t="shared" si="13"/>
        <v>195.16312210359825</v>
      </c>
    </row>
    <row r="151" spans="1:5" x14ac:dyDescent="0.55000000000000004">
      <c r="A151" s="25">
        <v>63.5</v>
      </c>
      <c r="B151" s="4">
        <f t="shared" si="14"/>
        <v>2.8536901914588868</v>
      </c>
      <c r="C151" s="4">
        <f t="shared" si="15"/>
        <v>6.1664485161333014</v>
      </c>
      <c r="D151" s="4">
        <f t="shared" si="12"/>
        <v>205.38366828899277</v>
      </c>
      <c r="E151" s="4">
        <f t="shared" si="13"/>
        <v>195.1865437048771</v>
      </c>
    </row>
    <row r="152" spans="1:5" x14ac:dyDescent="0.55000000000000004">
      <c r="A152" s="25">
        <v>63.75</v>
      </c>
      <c r="B152" s="4">
        <f t="shared" si="14"/>
        <v>2.8517306930921644</v>
      </c>
      <c r="C152" s="4">
        <f t="shared" si="15"/>
        <v>6.1481500120641126</v>
      </c>
      <c r="D152" s="4">
        <f t="shared" si="12"/>
        <v>205.37641365694361</v>
      </c>
      <c r="E152" s="4">
        <f t="shared" si="13"/>
        <v>195.20954832581745</v>
      </c>
    </row>
    <row r="153" spans="1:5" x14ac:dyDescent="0.55000000000000004">
      <c r="A153" s="25">
        <v>64</v>
      </c>
      <c r="B153" s="4">
        <f t="shared" si="14"/>
        <v>2.8497785794240369</v>
      </c>
      <c r="C153" s="4">
        <f t="shared" si="15"/>
        <v>6.129980597371266</v>
      </c>
      <c r="D153" s="4">
        <f t="shared" si="12"/>
        <v>205.36896087656541</v>
      </c>
      <c r="E153" s="4">
        <f t="shared" si="13"/>
        <v>195.23214133026318</v>
      </c>
    </row>
    <row r="154" spans="1:5" x14ac:dyDescent="0.55000000000000004">
      <c r="A154" s="25">
        <v>64.25</v>
      </c>
      <c r="B154" s="4">
        <f t="shared" si="14"/>
        <v>2.847833792836107</v>
      </c>
      <c r="C154" s="4">
        <f t="shared" si="15"/>
        <v>6.1119388604727796</v>
      </c>
      <c r="D154" s="4">
        <f t="shared" si="12"/>
        <v>205.3613128923063</v>
      </c>
      <c r="E154" s="4">
        <f t="shared" si="13"/>
        <v>195.25432799691967</v>
      </c>
    </row>
    <row r="155" spans="1:5" x14ac:dyDescent="0.55000000000000004">
      <c r="A155" s="25">
        <v>64.5</v>
      </c>
      <c r="B155" s="4">
        <f t="shared" si="14"/>
        <v>2.8458962763831051</v>
      </c>
      <c r="C155" s="4">
        <f t="shared" si="15"/>
        <v>6.094023410655975</v>
      </c>
      <c r="D155" s="4">
        <f t="shared" si="12"/>
        <v>205.35347259963658</v>
      </c>
      <c r="E155" s="4">
        <f t="shared" si="13"/>
        <v>195.27611352100396</v>
      </c>
    </row>
    <row r="156" spans="1:5" x14ac:dyDescent="0.55000000000000004">
      <c r="A156" s="25">
        <v>64.75</v>
      </c>
      <c r="B156" s="4">
        <f t="shared" si="14"/>
        <v>2.8439659737824363</v>
      </c>
      <c r="C156" s="4">
        <f t="shared" si="15"/>
        <v>6.076232877689316</v>
      </c>
      <c r="D156" s="4">
        <f t="shared" si="12"/>
        <v>205.34544284601884</v>
      </c>
      <c r="E156" s="4">
        <f t="shared" si="13"/>
        <v>195.29750301585713</v>
      </c>
    </row>
    <row r="157" spans="1:5" x14ac:dyDescent="0.55000000000000004">
      <c r="A157" s="25">
        <v>65</v>
      </c>
      <c r="B157" s="4">
        <f t="shared" si="14"/>
        <v>2.8420428294039319</v>
      </c>
      <c r="C157" s="4">
        <f t="shared" si="15"/>
        <v>6.0585659114428783</v>
      </c>
      <c r="D157" s="4">
        <f t="shared" si="12"/>
        <v>205.33722643185621</v>
      </c>
      <c r="E157" s="4">
        <f t="shared" si="13"/>
        <v>195.3185015145194</v>
      </c>
    </row>
    <row r="158" spans="1:5" x14ac:dyDescent="0.55000000000000004">
      <c r="A158" s="25">
        <v>65.25</v>
      </c>
      <c r="B158" s="4">
        <f t="shared" si="14"/>
        <v>2.8401267882598025</v>
      </c>
      <c r="C158" s="4">
        <f t="shared" si="15"/>
        <v>6.0410211815174399</v>
      </c>
      <c r="D158" s="4">
        <f t="shared" si="12"/>
        <v>205.32882611141724</v>
      </c>
      <c r="E158" s="4">
        <f t="shared" si="13"/>
        <v>195.3391139712692</v>
      </c>
    </row>
    <row r="159" spans="1:5" x14ac:dyDescent="0.55000000000000004">
      <c r="A159" s="25">
        <v>65.5</v>
      </c>
      <c r="B159" s="4">
        <f t="shared" si="14"/>
        <v>2.8382177959947787</v>
      </c>
      <c r="C159" s="4">
        <f t="shared" si="15"/>
        <v>6.02359737688165</v>
      </c>
      <c r="D159" s="4">
        <f t="shared" si="12"/>
        <v>205.32024459374117</v>
      </c>
      <c r="E159" s="4">
        <f t="shared" si="13"/>
        <v>195.35934526312769</v>
      </c>
    </row>
    <row r="160" spans="1:5" x14ac:dyDescent="0.55000000000000004">
      <c r="A160" s="25">
        <v>65.75</v>
      </c>
      <c r="B160" s="4">
        <f t="shared" si="14"/>
        <v>2.8363157988764467</v>
      </c>
      <c r="C160" s="4">
        <f t="shared" si="15"/>
        <v>6.006293205517319</v>
      </c>
      <c r="D160" s="4">
        <f t="shared" si="12"/>
        <v>205.31148454352072</v>
      </c>
      <c r="E160" s="4">
        <f t="shared" si="13"/>
        <v>195.37920019132886</v>
      </c>
    </row>
    <row r="161" spans="1:6" x14ac:dyDescent="0.55000000000000004">
      <c r="A161" s="25">
        <v>66</v>
      </c>
      <c r="B161" s="4">
        <f t="shared" si="14"/>
        <v>2.8344207437857571</v>
      </c>
      <c r="C161" s="4">
        <f t="shared" si="15"/>
        <v>5.989107394072481</v>
      </c>
      <c r="D161" s="4">
        <f t="shared" si="12"/>
        <v>205.30254858196585</v>
      </c>
      <c r="E161" s="4">
        <f t="shared" si="13"/>
        <v>195.39868348275624</v>
      </c>
      <c r="F161" s="25"/>
    </row>
    <row r="162" spans="1:6" x14ac:dyDescent="0.55000000000000004">
      <c r="A162" s="25">
        <v>66.25</v>
      </c>
      <c r="B162" s="4">
        <f t="shared" si="14"/>
        <v>2.8325325782077253</v>
      </c>
      <c r="C162" s="4">
        <f t="shared" si="15"/>
        <v>5.9720386875221223</v>
      </c>
      <c r="D162" s="4">
        <f t="shared" si="12"/>
        <v>205.29343928764681</v>
      </c>
      <c r="E162" s="4">
        <f t="shared" si="13"/>
        <v>195.41779979134759</v>
      </c>
      <c r="F162" s="25"/>
    </row>
    <row r="163" spans="1:6" x14ac:dyDescent="0.55000000000000004">
      <c r="A163" s="25">
        <v>66.5</v>
      </c>
      <c r="B163" s="4">
        <f t="shared" si="14"/>
        <v>2.8306512502223011</v>
      </c>
      <c r="C163" s="4">
        <f t="shared" si="15"/>
        <v>5.9550858488362559</v>
      </c>
      <c r="D163" s="4">
        <f t="shared" si="12"/>
        <v>205.28415919731879</v>
      </c>
      <c r="E163" s="4">
        <f t="shared" si="13"/>
        <v>195.43655369946808</v>
      </c>
      <c r="F163" s="25"/>
    </row>
    <row r="164" spans="1:6" x14ac:dyDescent="0.55000000000000004">
      <c r="A164" s="25">
        <v>66.75</v>
      </c>
      <c r="B164" s="4">
        <f t="shared" si="14"/>
        <v>2.8287767084954099</v>
      </c>
      <c r="C164" s="4">
        <f t="shared" si="15"/>
        <v>5.9382476586553237</v>
      </c>
      <c r="D164" s="4">
        <f t="shared" si="12"/>
        <v>205.2747108067272</v>
      </c>
      <c r="E164" s="4">
        <f t="shared" si="13"/>
        <v>195.4549497192526</v>
      </c>
      <c r="F164" s="25"/>
    </row>
    <row r="165" spans="1:6" x14ac:dyDescent="0.55000000000000004">
      <c r="A165" s="25">
        <v>67</v>
      </c>
      <c r="B165" s="4">
        <f t="shared" si="14"/>
        <v>2.826908902270167</v>
      </c>
      <c r="C165" s="4">
        <f t="shared" si="15"/>
        <v>5.921522914972603</v>
      </c>
      <c r="D165" s="4">
        <f t="shared" si="12"/>
        <v>205.26509657139539</v>
      </c>
      <c r="E165" s="4">
        <f t="shared" si="13"/>
        <v>195.47299229391828</v>
      </c>
      <c r="F165" s="25"/>
    </row>
    <row r="166" spans="1:6" x14ac:dyDescent="0.55000000000000004">
      <c r="A166" s="25">
        <v>67.25</v>
      </c>
      <c r="B166" s="4">
        <f t="shared" si="14"/>
        <v>2.8250477813582471</v>
      </c>
      <c r="C166" s="4">
        <f t="shared" si="15"/>
        <v>5.9049104328234154</v>
      </c>
      <c r="D166" s="4">
        <f t="shared" si="12"/>
        <v>205.25531890739387</v>
      </c>
      <c r="E166" s="4">
        <f t="shared" si="13"/>
        <v>195.49068579904812</v>
      </c>
      <c r="F166" s="25"/>
    </row>
    <row r="167" spans="1:6" x14ac:dyDescent="0.55000000000000004">
      <c r="A167" s="25">
        <v>67.5</v>
      </c>
      <c r="B167" s="4">
        <f t="shared" si="14"/>
        <v>2.8231932961314263</v>
      </c>
      <c r="C167" s="4">
        <f t="shared" si="15"/>
        <v>5.8884090439811976</v>
      </c>
      <c r="D167" s="4">
        <f t="shared" si="12"/>
        <v>205.24538019209282</v>
      </c>
      <c r="E167" s="4">
        <f t="shared" si="13"/>
        <v>195.50803454384584</v>
      </c>
      <c r="F167" s="25"/>
    </row>
    <row r="168" spans="1:6" x14ac:dyDescent="0.55000000000000004">
      <c r="A168" s="25">
        <v>67.75</v>
      </c>
      <c r="B168" s="4">
        <f t="shared" si="14"/>
        <v>2.8213453975132707</v>
      </c>
      <c r="C168" s="4">
        <f t="shared" si="15"/>
        <v>5.8720175966599193</v>
      </c>
      <c r="D168" s="4">
        <f t="shared" si="12"/>
        <v>205.23528276489762</v>
      </c>
      <c r="E168" s="4">
        <f t="shared" si="13"/>
        <v>195.52504277236346</v>
      </c>
      <c r="F168" s="25"/>
    </row>
    <row r="169" spans="1:6" x14ac:dyDescent="0.55000000000000004">
      <c r="A169" s="25">
        <v>68</v>
      </c>
      <c r="B169" s="4">
        <f t="shared" si="14"/>
        <v>2.8195040369709798</v>
      </c>
      <c r="C169" s="4">
        <f t="shared" si="15"/>
        <v>5.8557349552229523</v>
      </c>
      <c r="D169" s="4">
        <f t="shared" si="12"/>
        <v>205.22502892796771</v>
      </c>
      <c r="E169" s="4">
        <f t="shared" si="13"/>
        <v>195.54171466470163</v>
      </c>
      <c r="F169" s="25"/>
    </row>
    <row r="170" spans="1:6" x14ac:dyDescent="0.55000000000000004">
      <c r="A170" s="25">
        <v>68.25</v>
      </c>
      <c r="B170" s="4">
        <f t="shared" si="14"/>
        <v>2.8176691665073896</v>
      </c>
      <c r="C170" s="4">
        <f t="shared" si="15"/>
        <v>5.8395599998982366</v>
      </c>
      <c r="D170" s="4">
        <f t="shared" si="12"/>
        <v>205.21462094692004</v>
      </c>
      <c r="E170" s="4">
        <f t="shared" si="13"/>
        <v>195.55805433818432</v>
      </c>
      <c r="F170" s="25"/>
    </row>
    <row r="171" spans="1:6" x14ac:dyDescent="0.55000000000000004">
      <c r="A171" s="25">
        <v>68.5</v>
      </c>
      <c r="B171" s="4">
        <f t="shared" si="14"/>
        <v>2.8158407386531081</v>
      </c>
      <c r="C171" s="4">
        <f t="shared" si="15"/>
        <v>5.8234916264992664</v>
      </c>
      <c r="D171" s="4">
        <f t="shared" si="12"/>
        <v>205.20406105151613</v>
      </c>
      <c r="E171" s="4">
        <f t="shared" si="13"/>
        <v>195.57406584850688</v>
      </c>
      <c r="F171" s="25"/>
    </row>
    <row r="172" spans="1:6" x14ac:dyDescent="0.55000000000000004">
      <c r="A172" s="25">
        <v>68.75</v>
      </c>
      <c r="B172" s="4">
        <f t="shared" si="14"/>
        <v>2.8140187064588051</v>
      </c>
      <c r="C172" s="4">
        <f t="shared" si="15"/>
        <v>5.8075287461521805</v>
      </c>
      <c r="D172" s="4">
        <f t="shared" si="12"/>
        <v>205.19335143633478</v>
      </c>
      <c r="E172" s="4">
        <f t="shared" si="13"/>
        <v>195.58975319086028</v>
      </c>
      <c r="F172" s="25"/>
    </row>
    <row r="173" spans="1:6" x14ac:dyDescent="0.55000000000000004">
      <c r="A173" s="25">
        <v>69</v>
      </c>
      <c r="B173" s="4">
        <f t="shared" si="14"/>
        <v>2.8122030234876396</v>
      </c>
      <c r="C173" s="4">
        <f t="shared" si="15"/>
        <v>5.7916702850285677</v>
      </c>
      <c r="D173" s="4">
        <f t="shared" si="12"/>
        <v>205.18249426142958</v>
      </c>
      <c r="E173" s="4">
        <f t="shared" si="13"/>
        <v>195.60512030103044</v>
      </c>
      <c r="F173" s="25"/>
    </row>
    <row r="174" spans="1:6" x14ac:dyDescent="0.55000000000000004">
      <c r="A174" s="25">
        <v>69.25</v>
      </c>
      <c r="B174" s="4">
        <f t="shared" si="14"/>
        <v>2.8103936438078208</v>
      </c>
      <c r="C174" s="4">
        <f t="shared" si="15"/>
        <v>5.7759151840837903</v>
      </c>
      <c r="D174" s="4">
        <f t="shared" si="12"/>
        <v>205.17149165297181</v>
      </c>
      <c r="E174" s="4">
        <f t="shared" si="13"/>
        <v>195.62017105647394</v>
      </c>
      <c r="F174" s="25"/>
    </row>
    <row r="175" spans="1:6" x14ac:dyDescent="0.55000000000000004">
      <c r="A175" s="25">
        <v>69.5</v>
      </c>
      <c r="B175" s="4">
        <f t="shared" si="14"/>
        <v>2.8085905219853089</v>
      </c>
      <c r="C175" s="4">
        <f t="shared" si="15"/>
        <v>5.7602623988008972</v>
      </c>
      <c r="D175" s="4">
        <f t="shared" si="12"/>
        <v>205.16034570387984</v>
      </c>
      <c r="E175" s="4">
        <f t="shared" si="13"/>
        <v>195.63490927737067</v>
      </c>
      <c r="F175" s="25"/>
    </row>
    <row r="176" spans="1:6" x14ac:dyDescent="0.55000000000000004">
      <c r="A176" s="11">
        <f>E5</f>
        <v>56.401942621880451</v>
      </c>
      <c r="B176" s="11">
        <f t="shared" si="14"/>
        <v>2.9126744328371212</v>
      </c>
      <c r="C176" s="11">
        <f t="shared" si="15"/>
        <v>6.7466016818984631</v>
      </c>
      <c r="D176" s="11">
        <f t="shared" si="12"/>
        <v>205.49265399039604</v>
      </c>
      <c r="E176" s="11">
        <f t="shared" si="13"/>
        <v>194.33616128803553</v>
      </c>
      <c r="F176" s="2" t="s">
        <v>61</v>
      </c>
    </row>
    <row r="177" spans="1:5" x14ac:dyDescent="0.55000000000000004">
      <c r="A177" s="25">
        <v>69.75</v>
      </c>
      <c r="B177" s="4">
        <f t="shared" si="14"/>
        <v>2.8067936130766444</v>
      </c>
      <c r="C177" s="4">
        <f t="shared" si="15"/>
        <v>5.7447108989398039</v>
      </c>
      <c r="D177" s="4">
        <f t="shared" si="12"/>
        <v>205.14905847443424</v>
      </c>
      <c r="E177" s="4">
        <f t="shared" si="13"/>
        <v>195.64933872765386</v>
      </c>
    </row>
    <row r="178" spans="1:5" x14ac:dyDescent="0.55000000000000004">
      <c r="A178" s="25">
        <v>70</v>
      </c>
      <c r="B178" s="4">
        <f t="shared" si="14"/>
        <v>2.8050028726219076</v>
      </c>
      <c r="C178" s="4">
        <f t="shared" si="15"/>
        <v>5.729259668291756</v>
      </c>
      <c r="D178" s="4">
        <f t="shared" si="12"/>
        <v>205.13763199288019</v>
      </c>
      <c r="E178" s="4">
        <f t="shared" si="13"/>
        <v>195.66346311601851</v>
      </c>
    </row>
    <row r="179" spans="1:5" x14ac:dyDescent="0.55000000000000004">
      <c r="A179" s="25">
        <v>70.25</v>
      </c>
      <c r="B179" s="4">
        <f t="shared" si="14"/>
        <v>2.8032182566377992</v>
      </c>
      <c r="C179" s="4">
        <f t="shared" si="15"/>
        <v>5.7139077044387552</v>
      </c>
      <c r="D179" s="4">
        <f t="shared" si="12"/>
        <v>205.12606825601594</v>
      </c>
      <c r="E179" s="4">
        <f t="shared" si="13"/>
        <v>195.67728609690764</v>
      </c>
    </row>
    <row r="180" spans="1:5" x14ac:dyDescent="0.55000000000000004">
      <c r="A180" s="25">
        <v>70.5</v>
      </c>
      <c r="B180" s="4">
        <f t="shared" si="14"/>
        <v>2.8014397216108531</v>
      </c>
      <c r="C180" s="4">
        <f t="shared" si="15"/>
        <v>5.6986540185180914</v>
      </c>
      <c r="D180" s="4">
        <f t="shared" si="12"/>
        <v>205.11436922976972</v>
      </c>
      <c r="E180" s="4">
        <f t="shared" si="13"/>
        <v>195.69081127147865</v>
      </c>
    </row>
    <row r="181" spans="1:5" x14ac:dyDescent="0.55000000000000004">
      <c r="A181" s="25">
        <v>70.75</v>
      </c>
      <c r="B181" s="4">
        <f t="shared" si="14"/>
        <v>2.7996672244907619</v>
      </c>
      <c r="C181" s="4">
        <f t="shared" si="15"/>
        <v>5.6834976349916584</v>
      </c>
      <c r="D181" s="4">
        <f t="shared" si="12"/>
        <v>205.10253684976342</v>
      </c>
      <c r="E181" s="4">
        <f t="shared" si="13"/>
        <v>195.70404218854833</v>
      </c>
    </row>
    <row r="182" spans="1:5" x14ac:dyDescent="0.55000000000000004">
      <c r="A182" s="25">
        <v>71</v>
      </c>
      <c r="B182" s="4">
        <f t="shared" si="14"/>
        <v>2.797900722683822</v>
      </c>
      <c r="C182" s="4">
        <f t="shared" si="15"/>
        <v>5.6684375914199228</v>
      </c>
      <c r="D182" s="4">
        <f t="shared" si="12"/>
        <v>205.09057302186432</v>
      </c>
      <c r="E182" s="4">
        <f t="shared" si="13"/>
        <v>195.71698234551852</v>
      </c>
    </row>
    <row r="183" spans="1:5" x14ac:dyDescent="0.55000000000000004">
      <c r="A183" s="25">
        <v>71.25</v>
      </c>
      <c r="B183" s="4">
        <f t="shared" si="14"/>
        <v>2.796140174046498</v>
      </c>
      <c r="C183" s="4">
        <f t="shared" si="15"/>
        <v>5.6534729382406317</v>
      </c>
      <c r="D183" s="4">
        <f t="shared" si="12"/>
        <v>205.07847962272544</v>
      </c>
      <c r="E183" s="4">
        <f t="shared" si="13"/>
        <v>195.72963518928233</v>
      </c>
    </row>
    <row r="184" spans="1:5" x14ac:dyDescent="0.55000000000000004">
      <c r="A184" s="25">
        <v>71.5</v>
      </c>
      <c r="B184" s="4">
        <f t="shared" si="14"/>
        <v>2.7943855368790964</v>
      </c>
      <c r="C184" s="4">
        <f t="shared" si="15"/>
        <v>5.638602738551957</v>
      </c>
      <c r="D184" s="4">
        <f t="shared" si="12"/>
        <v>205.06625850031401</v>
      </c>
      <c r="E184" s="4">
        <f t="shared" si="13"/>
        <v>195.74200411711126</v>
      </c>
    </row>
    <row r="185" spans="1:5" x14ac:dyDescent="0.55000000000000004">
      <c r="A185" s="25">
        <v>71.75</v>
      </c>
      <c r="B185" s="4">
        <f t="shared" si="14"/>
        <v>2.7926367699195489</v>
      </c>
      <c r="C185" s="4">
        <f t="shared" si="15"/>
        <v>5.6238260679000138</v>
      </c>
      <c r="D185" s="4">
        <f t="shared" si="12"/>
        <v>205.05391147442899</v>
      </c>
      <c r="E185" s="4">
        <f t="shared" si="13"/>
        <v>195.75409247752387</v>
      </c>
    </row>
    <row r="186" spans="1:5" x14ac:dyDescent="0.55000000000000004">
      <c r="A186" s="25">
        <v>72</v>
      </c>
      <c r="B186" s="4">
        <f t="shared" si="14"/>
        <v>2.7908938323373129</v>
      </c>
      <c r="C186" s="4">
        <f t="shared" si="15"/>
        <v>5.6091420140707395</v>
      </c>
      <c r="D186" s="4">
        <f t="shared" si="12"/>
        <v>205.04144033720743</v>
      </c>
      <c r="E186" s="4">
        <f t="shared" si="13"/>
        <v>195.76590357113673</v>
      </c>
    </row>
    <row r="187" spans="1:5" x14ac:dyDescent="0.55000000000000004">
      <c r="A187" s="25">
        <v>72.25</v>
      </c>
      <c r="B187" s="4">
        <f t="shared" si="14"/>
        <v>2.7891566837273611</v>
      </c>
      <c r="C187" s="4">
        <f t="shared" si="15"/>
        <v>5.5945496768858831</v>
      </c>
      <c r="D187" s="4">
        <f t="shared" si="12"/>
        <v>205.02884685362025</v>
      </c>
      <c r="E187" s="4">
        <f t="shared" si="13"/>
        <v>195.77744065149699</v>
      </c>
    </row>
    <row r="188" spans="1:5" x14ac:dyDescent="0.55000000000000004">
      <c r="A188" s="25">
        <v>72.5</v>
      </c>
      <c r="B188" s="4">
        <f t="shared" si="14"/>
        <v>2.7874252841042964</v>
      </c>
      <c r="C188" s="4">
        <f t="shared" si="15"/>
        <v>5.5800481680031702</v>
      </c>
      <c r="D188" s="4">
        <f t="shared" si="12"/>
        <v>205.01613276195783</v>
      </c>
      <c r="E188" s="4">
        <f t="shared" si="13"/>
        <v>195.78870692589905</v>
      </c>
    </row>
    <row r="189" spans="1:5" x14ac:dyDescent="0.55000000000000004">
      <c r="A189" s="25">
        <v>72.75</v>
      </c>
      <c r="B189" s="4">
        <f t="shared" si="14"/>
        <v>2.7856995938965503</v>
      </c>
      <c r="C189" s="4">
        <f t="shared" si="15"/>
        <v>5.5656366107203912</v>
      </c>
      <c r="D189" s="4">
        <f t="shared" si="12"/>
        <v>205.00329977430499</v>
      </c>
      <c r="E189" s="4">
        <f t="shared" si="13"/>
        <v>195.79970555618306</v>
      </c>
    </row>
    <row r="190" spans="1:5" x14ac:dyDescent="0.55000000000000004">
      <c r="A190" s="25">
        <v>73</v>
      </c>
      <c r="B190" s="4">
        <f t="shared" si="14"/>
        <v>2.7839795739406914</v>
      </c>
      <c r="C190" s="4">
        <f t="shared" si="15"/>
        <v>5.5513141397834405</v>
      </c>
      <c r="D190" s="4">
        <f t="shared" si="12"/>
        <v>204.99034957700661</v>
      </c>
      <c r="E190" s="4">
        <f t="shared" si="13"/>
        <v>195.81043965951804</v>
      </c>
    </row>
    <row r="191" spans="1:5" x14ac:dyDescent="0.55000000000000004">
      <c r="A191" s="25">
        <v>73.25</v>
      </c>
      <c r="B191" s="4">
        <f t="shared" si="14"/>
        <v>2.7822651854758282</v>
      </c>
      <c r="C191" s="4">
        <f t="shared" si="15"/>
        <v>5.5370799011981573</v>
      </c>
      <c r="D191" s="4">
        <f t="shared" si="12"/>
        <v>204.97728383112306</v>
      </c>
      <c r="E191" s="4">
        <f t="shared" si="13"/>
        <v>195.82091230916873</v>
      </c>
    </row>
    <row r="192" spans="1:5" x14ac:dyDescent="0.55000000000000004">
      <c r="A192" s="25">
        <v>73.5</v>
      </c>
      <c r="B192" s="4">
        <f t="shared" si="14"/>
        <v>2.7805563901381047</v>
      </c>
      <c r="C192" s="4">
        <f t="shared" si="15"/>
        <v>5.5229330520458237</v>
      </c>
      <c r="D192" s="4">
        <f t="shared" si="12"/>
        <v>204.96410417287649</v>
      </c>
      <c r="E192" s="4">
        <f t="shared" si="13"/>
        <v>195.83112653524663</v>
      </c>
    </row>
    <row r="193" spans="1:5" x14ac:dyDescent="0.55000000000000004">
      <c r="A193" s="25">
        <v>73.75</v>
      </c>
      <c r="B193" s="4">
        <f t="shared" si="14"/>
        <v>2.7788531499553009</v>
      </c>
      <c r="C193" s="4">
        <f t="shared" si="15"/>
        <v>5.5088727603024763</v>
      </c>
      <c r="D193" s="4">
        <f t="shared" si="12"/>
        <v>204.95081221408796</v>
      </c>
      <c r="E193" s="4">
        <f t="shared" si="13"/>
        <v>195.84108532544607</v>
      </c>
    </row>
    <row r="194" spans="1:5" x14ac:dyDescent="0.55000000000000004">
      <c r="A194" s="25">
        <v>74</v>
      </c>
      <c r="B194" s="4">
        <f t="shared" si="14"/>
        <v>2.7771554273415049</v>
      </c>
      <c r="C194" s="4">
        <f t="shared" si="15"/>
        <v>5.4948982046615296</v>
      </c>
      <c r="D194" s="4">
        <f t="shared" si="12"/>
        <v>204.93740954260525</v>
      </c>
      <c r="E194" s="4">
        <f t="shared" si="13"/>
        <v>195.85079162576548</v>
      </c>
    </row>
    <row r="195" spans="1:5" x14ac:dyDescent="0.55000000000000004">
      <c r="A195" s="25">
        <v>74.25</v>
      </c>
      <c r="B195" s="4">
        <f t="shared" si="14"/>
        <v>2.7754631850918972</v>
      </c>
      <c r="C195" s="4">
        <f t="shared" si="15"/>
        <v>5.4810085743601027</v>
      </c>
      <c r="D195" s="4">
        <f t="shared" si="12"/>
        <v>204.92389772272227</v>
      </c>
      <c r="E195" s="4">
        <f t="shared" si="13"/>
        <v>195.86024834121369</v>
      </c>
    </row>
    <row r="196" spans="1:5" x14ac:dyDescent="0.55000000000000004">
      <c r="A196" s="25">
        <v>74.5</v>
      </c>
      <c r="B196" s="4">
        <f t="shared" si="14"/>
        <v>2.7737763863776097</v>
      </c>
      <c r="C196" s="4">
        <f t="shared" si="15"/>
        <v>5.46720306900857</v>
      </c>
      <c r="D196" s="4">
        <f t="shared" si="12"/>
        <v>204.91027829558948</v>
      </c>
      <c r="E196" s="4">
        <f t="shared" si="13"/>
        <v>195.86945833650256</v>
      </c>
    </row>
    <row r="197" spans="1:5" x14ac:dyDescent="0.55000000000000004">
      <c r="A197" s="25">
        <v>74.75</v>
      </c>
      <c r="B197" s="4">
        <f t="shared" si="14"/>
        <v>2.7720949947406703</v>
      </c>
      <c r="C197" s="4">
        <f t="shared" si="15"/>
        <v>5.4534808984234937</v>
      </c>
      <c r="D197" s="4">
        <f t="shared" si="12"/>
        <v>204.89655277961643</v>
      </c>
      <c r="E197" s="4">
        <f t="shared" si="13"/>
        <v>195.87842443672551</v>
      </c>
    </row>
    <row r="198" spans="1:5" x14ac:dyDescent="0.55000000000000004">
      <c r="A198" s="25">
        <v>75</v>
      </c>
      <c r="B198" s="4">
        <f t="shared" si="14"/>
        <v>2.7704189740890404</v>
      </c>
      <c r="C198" s="4">
        <f t="shared" si="15"/>
        <v>5.4398412824638225</v>
      </c>
      <c r="D198" s="4">
        <f t="shared" si="12"/>
        <v>204.88272267086558</v>
      </c>
      <c r="E198" s="4">
        <f t="shared" si="13"/>
        <v>195.88714942802235</v>
      </c>
    </row>
    <row r="199" spans="1:5" x14ac:dyDescent="0.55000000000000004">
      <c r="A199" s="25">
        <v>75.25</v>
      </c>
      <c r="B199" s="4">
        <f t="shared" si="14"/>
        <v>2.768748288691731</v>
      </c>
      <c r="C199" s="4">
        <f t="shared" si="15"/>
        <v>5.4262834508702316</v>
      </c>
      <c r="D199" s="4">
        <f t="shared" si="12"/>
        <v>204.86878944343871</v>
      </c>
      <c r="E199" s="4">
        <f t="shared" si="13"/>
        <v>195.8956360582313</v>
      </c>
    </row>
    <row r="200" spans="1:5" x14ac:dyDescent="0.55000000000000004">
      <c r="A200" s="25">
        <v>75.5</v>
      </c>
      <c r="B200" s="4">
        <f t="shared" si="14"/>
        <v>2.7670829031739954</v>
      </c>
      <c r="C200" s="4">
        <f t="shared" si="15"/>
        <v>5.4128066431075172</v>
      </c>
      <c r="D200" s="4">
        <f t="shared" si="12"/>
        <v>204.85475454985502</v>
      </c>
      <c r="E200" s="4">
        <f t="shared" si="13"/>
        <v>195.90388703752774</v>
      </c>
    </row>
    <row r="201" spans="1:5" x14ac:dyDescent="0.55000000000000004">
      <c r="A201" s="25">
        <v>75.75</v>
      </c>
      <c r="B201" s="4">
        <f t="shared" si="14"/>
        <v>2.7654227825126094</v>
      </c>
      <c r="C201" s="4">
        <f t="shared" si="15"/>
        <v>5.3994101082100663</v>
      </c>
      <c r="D201" s="4">
        <f t="shared" si="12"/>
        <v>204.84061942142176</v>
      </c>
      <c r="E201" s="4">
        <f t="shared" si="13"/>
        <v>195.91190503905045</v>
      </c>
    </row>
    <row r="202" spans="1:5" x14ac:dyDescent="0.55000000000000004">
      <c r="A202" s="25">
        <v>76</v>
      </c>
      <c r="B202" s="4">
        <f t="shared" si="14"/>
        <v>2.7637678920312254</v>
      </c>
      <c r="C202" s="4">
        <f t="shared" si="15"/>
        <v>5.3860931046302989</v>
      </c>
      <c r="D202" s="4">
        <f t="shared" si="12"/>
        <v>204.82638546859778</v>
      </c>
      <c r="E202" s="4">
        <f t="shared" si="13"/>
        <v>195.91969269951571</v>
      </c>
    </row>
    <row r="203" spans="1:5" x14ac:dyDescent="0.55000000000000004">
      <c r="A203" s="25">
        <v>76.25</v>
      </c>
      <c r="B203" s="4">
        <f t="shared" si="14"/>
        <v>2.7621181973958024</v>
      </c>
      <c r="C203" s="4">
        <f t="shared" si="15"/>
        <v>5.3728549000899415</v>
      </c>
      <c r="D203" s="4">
        <f t="shared" si="12"/>
        <v>204.81205408134917</v>
      </c>
      <c r="E203" s="4">
        <f t="shared" si="13"/>
        <v>195.92725261981872</v>
      </c>
    </row>
    <row r="204" spans="1:5" x14ac:dyDescent="0.55000000000000004">
      <c r="A204" s="25">
        <v>76.5</v>
      </c>
      <c r="B204" s="4">
        <f t="shared" si="14"/>
        <v>2.7604736646101147</v>
      </c>
      <c r="C204" s="4">
        <f t="shared" si="15"/>
        <v>5.3596947714341736</v>
      </c>
      <c r="D204" s="4">
        <f t="shared" si="12"/>
        <v>204.79762662949832</v>
      </c>
      <c r="E204" s="4">
        <f t="shared" si="13"/>
        <v>195.93458736562422</v>
      </c>
    </row>
    <row r="205" spans="1:5" x14ac:dyDescent="0.55000000000000004">
      <c r="A205" s="25">
        <v>76.75</v>
      </c>
      <c r="B205" s="4">
        <f t="shared" si="14"/>
        <v>2.7588342600113287</v>
      </c>
      <c r="C205" s="4">
        <f t="shared" si="15"/>
        <v>5.3466120044885415</v>
      </c>
      <c r="D205" s="4">
        <f t="shared" si="12"/>
        <v>204.78310446306591</v>
      </c>
      <c r="E205" s="4">
        <f t="shared" si="13"/>
        <v>195.94169946794483</v>
      </c>
    </row>
    <row r="206" spans="1:5" x14ac:dyDescent="0.55000000000000004">
      <c r="A206" s="25">
        <v>77</v>
      </c>
      <c r="B206" s="4">
        <f t="shared" si="14"/>
        <v>2.7571999502656563</v>
      </c>
      <c r="C206" s="4">
        <f t="shared" si="15"/>
        <v>5.3336058939185049</v>
      </c>
      <c r="D206" s="4">
        <f t="shared" si="12"/>
        <v>204.76848891260585</v>
      </c>
      <c r="E206" s="4">
        <f t="shared" si="13"/>
        <v>195.94859142370822</v>
      </c>
    </row>
    <row r="207" spans="1:5" x14ac:dyDescent="0.55000000000000004">
      <c r="A207" s="25">
        <v>77.25</v>
      </c>
      <c r="B207" s="4">
        <f t="shared" si="14"/>
        <v>2.7555707023640763</v>
      </c>
      <c r="C207" s="4">
        <f t="shared" si="15"/>
        <v>5.3206757430917495</v>
      </c>
      <c r="D207" s="4">
        <f t="shared" ref="D207:D270" si="16">$B$6*$B$12/9.81*($B$9*SQRT(2/($B$9-1)*(2/($B$9+1))^(($B$9+1)/($B$9-1))*(1 - (A207/$B$3)^(($B$9-1)/$B$9))) + C207/$B$3*(A207 - $E$5))</f>
        <v>204.75378128953392</v>
      </c>
      <c r="E207" s="4">
        <f t="shared" ref="E207:E270" si="17">$B$6*$B$12/9.81*($B$9*SQRT(2/($B$9-1)*(2/($B$9+1))^(($B$9+1)/($B$9-1))*(1 - (A207/$B$3)^(($B$9-1)/$B$9))) + C207/$B$3*(A207 - $E$4))</f>
        <v>195.95526569631366</v>
      </c>
    </row>
    <row r="208" spans="1:5" x14ac:dyDescent="0.55000000000000004">
      <c r="A208" s="25">
        <v>77.5</v>
      </c>
      <c r="B208" s="4">
        <f t="shared" ref="B208:B271" si="18">SQRT(2/($B$9-1)*((A208/$B$3)^((1-$B$9)/$B$9) - 1))</f>
        <v>2.7539464836181273</v>
      </c>
      <c r="C208" s="4">
        <f t="shared" ref="C208:C271" si="19">1/B208*(2/($B$9+1)*(1 + ($B$9-1)/2*B208^2))^(($B$9+1)/(2*$B$9-2))</f>
        <v>5.3078208639429505</v>
      </c>
      <c r="D208" s="4">
        <f t="shared" si="16"/>
        <v>204.73898288644986</v>
      </c>
      <c r="E208" s="4">
        <f t="shared" si="17"/>
        <v>195.96172471617757</v>
      </c>
    </row>
    <row r="209" spans="1:5" x14ac:dyDescent="0.55000000000000004">
      <c r="A209" s="25">
        <v>77.75</v>
      </c>
      <c r="B209" s="4">
        <f t="shared" si="18"/>
        <v>2.7523272616557675</v>
      </c>
      <c r="C209" s="4">
        <f t="shared" si="19"/>
        <v>5.2950405768411937</v>
      </c>
      <c r="D209" s="4">
        <f t="shared" si="16"/>
        <v>204.72409497745321</v>
      </c>
      <c r="E209" s="4">
        <f t="shared" si="17"/>
        <v>195.96797088126849</v>
      </c>
    </row>
    <row r="210" spans="1:5" x14ac:dyDescent="0.55000000000000004">
      <c r="A210" s="25">
        <v>78</v>
      </c>
      <c r="B210" s="4">
        <f t="shared" si="18"/>
        <v>2.7507130044172983</v>
      </c>
      <c r="C210" s="4">
        <f t="shared" si="19"/>
        <v>5.2823342104597364</v>
      </c>
      <c r="D210" s="4">
        <f t="shared" si="16"/>
        <v>204.7091188184524</v>
      </c>
      <c r="E210" s="4">
        <f t="shared" si="17"/>
        <v>195.97400655763195</v>
      </c>
    </row>
    <row r="211" spans="1:5" x14ac:dyDescent="0.55000000000000004">
      <c r="A211" s="25">
        <v>78.25</v>
      </c>
      <c r="B211" s="4">
        <f t="shared" si="18"/>
        <v>2.74910368015136</v>
      </c>
      <c r="C211" s="4">
        <f t="shared" si="19"/>
        <v>5.2697011016483311</v>
      </c>
      <c r="D211" s="4">
        <f t="shared" si="16"/>
        <v>204.69405564746879</v>
      </c>
      <c r="E211" s="4">
        <f t="shared" si="17"/>
        <v>195.97983407990517</v>
      </c>
    </row>
    <row r="212" spans="1:5" x14ac:dyDescent="0.55000000000000004">
      <c r="A212" s="25">
        <v>78.5</v>
      </c>
      <c r="B212" s="4">
        <f t="shared" si="18"/>
        <v>2.7474992574109849</v>
      </c>
      <c r="C212" s="4">
        <f t="shared" si="19"/>
        <v>5.2571405953077717</v>
      </c>
      <c r="D212" s="4">
        <f t="shared" si="16"/>
        <v>204.67890668493385</v>
      </c>
      <c r="E212" s="4">
        <f t="shared" si="17"/>
        <v>195.98545575182197</v>
      </c>
    </row>
    <row r="213" spans="1:5" x14ac:dyDescent="0.55000000000000004">
      <c r="A213" s="25">
        <v>78.75</v>
      </c>
      <c r="B213" s="4">
        <f t="shared" si="18"/>
        <v>2.7458997050497156</v>
      </c>
      <c r="C213" s="4">
        <f t="shared" si="19"/>
        <v>5.2446520442668678</v>
      </c>
      <c r="D213" s="4">
        <f t="shared" si="16"/>
        <v>204.66367313398118</v>
      </c>
      <c r="E213" s="4">
        <f t="shared" si="17"/>
        <v>195.99087384670824</v>
      </c>
    </row>
    <row r="214" spans="1:5" x14ac:dyDescent="0.55000000000000004">
      <c r="A214" s="25">
        <v>79</v>
      </c>
      <c r="B214" s="4">
        <f t="shared" si="18"/>
        <v>2.7443049922177889</v>
      </c>
      <c r="C214" s="4">
        <f t="shared" si="19"/>
        <v>5.2322348091616577</v>
      </c>
      <c r="D214" s="4">
        <f t="shared" si="16"/>
        <v>204.64835618073255</v>
      </c>
      <c r="E214" s="4">
        <f t="shared" si="17"/>
        <v>195.99609060796755</v>
      </c>
    </row>
    <row r="215" spans="1:5" x14ac:dyDescent="0.55000000000000004">
      <c r="A215" s="25">
        <v>79.25</v>
      </c>
      <c r="B215" s="4">
        <f t="shared" si="18"/>
        <v>2.7427150883583709</v>
      </c>
      <c r="C215" s="4">
        <f t="shared" si="19"/>
        <v>5.2198882583167547</v>
      </c>
      <c r="D215" s="4">
        <f t="shared" si="16"/>
        <v>204.63295699457862</v>
      </c>
      <c r="E215" s="4">
        <f t="shared" si="17"/>
        <v>196.00110824955817</v>
      </c>
    </row>
    <row r="216" spans="1:5" x14ac:dyDescent="0.55000000000000004">
      <c r="A216" s="25">
        <v>79.5</v>
      </c>
      <c r="B216" s="4">
        <f t="shared" si="18"/>
        <v>2.7411299632038633</v>
      </c>
      <c r="C216" s="4">
        <f t="shared" si="19"/>
        <v>5.2076117676289977</v>
      </c>
      <c r="D216" s="4">
        <f t="shared" si="16"/>
        <v>204.61747672845405</v>
      </c>
      <c r="E216" s="4">
        <f t="shared" si="17"/>
        <v>196.00592895646068</v>
      </c>
    </row>
    <row r="217" spans="1:5" x14ac:dyDescent="0.55000000000000004">
      <c r="A217" s="25">
        <v>79.75</v>
      </c>
      <c r="B217" s="4">
        <f t="shared" si="18"/>
        <v>2.739549586772255</v>
      </c>
      <c r="C217" s="4">
        <f t="shared" si="19"/>
        <v>5.1954047204531273</v>
      </c>
      <c r="D217" s="4">
        <f t="shared" si="16"/>
        <v>204.6019165191075</v>
      </c>
      <c r="E217" s="4">
        <f t="shared" si="17"/>
        <v>196.01055488513683</v>
      </c>
    </row>
    <row r="218" spans="1:5" x14ac:dyDescent="0.55000000000000004">
      <c r="A218" s="25">
        <v>80</v>
      </c>
      <c r="B218" s="4">
        <f t="shared" si="18"/>
        <v>2.7379739293635463</v>
      </c>
      <c r="C218" s="4">
        <f t="shared" si="19"/>
        <v>5.1832665074895798</v>
      </c>
      <c r="D218" s="4">
        <f t="shared" si="16"/>
        <v>204.58627748736649</v>
      </c>
      <c r="E218" s="4">
        <f t="shared" si="17"/>
        <v>196.01498816398009</v>
      </c>
    </row>
    <row r="219" spans="1:5" x14ac:dyDescent="0.55000000000000004">
      <c r="A219" s="25">
        <v>80.25</v>
      </c>
      <c r="B219" s="4">
        <f t="shared" si="18"/>
        <v>2.736402961556212</v>
      </c>
      <c r="C219" s="4">
        <f t="shared" si="19"/>
        <v>5.1711965266742999</v>
      </c>
      <c r="D219" s="4">
        <f t="shared" si="16"/>
        <v>204.57056073839703</v>
      </c>
      <c r="E219" s="4">
        <f t="shared" si="17"/>
        <v>196.01923089375748</v>
      </c>
    </row>
    <row r="220" spans="1:5" x14ac:dyDescent="0.55000000000000004">
      <c r="A220" s="25">
        <v>80.5</v>
      </c>
      <c r="B220" s="4">
        <f t="shared" si="18"/>
        <v>2.734836654203733</v>
      </c>
      <c r="C220" s="4">
        <f t="shared" si="19"/>
        <v>5.1591941830705403</v>
      </c>
      <c r="D220" s="4">
        <f t="shared" si="16"/>
        <v>204.55476736195837</v>
      </c>
      <c r="E220" s="4">
        <f t="shared" si="17"/>
        <v>196.02328514804319</v>
      </c>
    </row>
    <row r="221" spans="1:5" x14ac:dyDescent="0.55000000000000004">
      <c r="A221" s="4">
        <v>80.75</v>
      </c>
      <c r="B221" s="4">
        <f t="shared" si="18"/>
        <v>2.7332749784311772</v>
      </c>
      <c r="C221" s="4">
        <f t="shared" si="19"/>
        <v>5.1472588887626651</v>
      </c>
      <c r="D221" s="4">
        <f t="shared" si="16"/>
        <v>204.53889843265318</v>
      </c>
      <c r="E221" s="4">
        <f t="shared" si="17"/>
        <v>196.02715297364432</v>
      </c>
    </row>
    <row r="222" spans="1:5" x14ac:dyDescent="0.55000000000000004">
      <c r="A222" s="26">
        <v>81</v>
      </c>
      <c r="B222" s="4">
        <f t="shared" si="18"/>
        <v>2.7317179056318288</v>
      </c>
      <c r="C222" s="4">
        <f t="shared" si="19"/>
        <v>5.1353900627517204</v>
      </c>
      <c r="D222" s="4">
        <f t="shared" si="16"/>
        <v>204.52295501017241</v>
      </c>
      <c r="E222" s="4">
        <f t="shared" si="17"/>
        <v>196.03083639101865</v>
      </c>
    </row>
    <row r="223" spans="1:5" x14ac:dyDescent="0.55000000000000004">
      <c r="A223" s="25">
        <v>81.25</v>
      </c>
      <c r="B223" s="4">
        <f t="shared" si="18"/>
        <v>2.730165407463879</v>
      </c>
      <c r="C223" s="4">
        <f t="shared" si="19"/>
        <v>5.1235871308530729</v>
      </c>
      <c r="D223" s="4">
        <f t="shared" si="16"/>
        <v>204.50693813953637</v>
      </c>
      <c r="E223" s="4">
        <f t="shared" si="17"/>
        <v>196.03433739468468</v>
      </c>
    </row>
    <row r="224" spans="1:5" x14ac:dyDescent="0.55000000000000004">
      <c r="A224" s="25">
        <v>81.5</v>
      </c>
      <c r="B224" s="4">
        <f t="shared" si="18"/>
        <v>2.728617455847159</v>
      </c>
      <c r="C224" s="4">
        <f t="shared" si="19"/>
        <v>5.1118495255956935</v>
      </c>
      <c r="D224" s="4">
        <f t="shared" si="16"/>
        <v>204.49084885133024</v>
      </c>
      <c r="E224" s="4">
        <f t="shared" si="17"/>
        <v>196.03765795362406</v>
      </c>
    </row>
    <row r="225" spans="1:5" x14ac:dyDescent="0.55000000000000004">
      <c r="A225" s="25">
        <v>81.75</v>
      </c>
      <c r="B225" s="4">
        <f t="shared" si="18"/>
        <v>2.7270740229599286</v>
      </c>
      <c r="C225" s="4">
        <f t="shared" si="19"/>
        <v>5.1001766861233433</v>
      </c>
      <c r="D225" s="4">
        <f t="shared" si="16"/>
        <v>204.47468816193629</v>
      </c>
      <c r="E225" s="4">
        <f t="shared" si="17"/>
        <v>196.04080001167679</v>
      </c>
    </row>
    <row r="226" spans="1:5" x14ac:dyDescent="0.55000000000000004">
      <c r="A226" s="25">
        <v>82</v>
      </c>
      <c r="B226" s="4">
        <f t="shared" si="18"/>
        <v>2.725535081235714</v>
      </c>
      <c r="C226" s="4">
        <f t="shared" si="19"/>
        <v>5.0885680580974704</v>
      </c>
      <c r="D226" s="4">
        <f t="shared" si="16"/>
        <v>204.45845707376083</v>
      </c>
      <c r="E226" s="4">
        <f t="shared" si="17"/>
        <v>196.04376548792911</v>
      </c>
    </row>
    <row r="227" spans="1:5" x14ac:dyDescent="0.55000000000000004">
      <c r="A227" s="25">
        <v>82.25</v>
      </c>
      <c r="B227" s="4">
        <f t="shared" si="18"/>
        <v>2.7240006033601865</v>
      </c>
      <c r="C227" s="4">
        <f t="shared" si="19"/>
        <v>5.077023093601837</v>
      </c>
      <c r="D227" s="4">
        <f t="shared" si="16"/>
        <v>204.44215657545743</v>
      </c>
      <c r="E227" s="4">
        <f t="shared" si="17"/>
        <v>196.0465562770942</v>
      </c>
    </row>
    <row r="228" spans="1:5" x14ac:dyDescent="0.55000000000000004">
      <c r="A228" s="25">
        <v>82.5</v>
      </c>
      <c r="B228" s="4">
        <f t="shared" si="18"/>
        <v>2.7224705622680991</v>
      </c>
      <c r="C228" s="4">
        <f t="shared" si="19"/>
        <v>5.0655412510487894</v>
      </c>
      <c r="D228" s="4">
        <f t="shared" si="16"/>
        <v>204.42578764214585</v>
      </c>
      <c r="E228" s="4">
        <f t="shared" si="17"/>
        <v>196.04917424988625</v>
      </c>
    </row>
    <row r="229" spans="1:5" x14ac:dyDescent="0.55000000000000004">
      <c r="A229" s="25">
        <v>82.75</v>
      </c>
      <c r="B229" s="4">
        <f t="shared" si="18"/>
        <v>2.7209449311402634</v>
      </c>
      <c r="C229" s="4">
        <f t="shared" si="19"/>
        <v>5.0541219950872529</v>
      </c>
      <c r="D229" s="4">
        <f t="shared" si="16"/>
        <v>204.40935123562681</v>
      </c>
      <c r="E229" s="4">
        <f t="shared" si="17"/>
        <v>196.05162125338725</v>
      </c>
    </row>
    <row r="230" spans="1:5" x14ac:dyDescent="0.55000000000000004">
      <c r="A230" s="25">
        <v>83</v>
      </c>
      <c r="B230" s="4">
        <f t="shared" si="18"/>
        <v>2.7194236834005725</v>
      </c>
      <c r="C230" s="4">
        <f t="shared" si="19"/>
        <v>5.0427647965122535</v>
      </c>
      <c r="D230" s="4">
        <f t="shared" si="16"/>
        <v>204.39284830459312</v>
      </c>
      <c r="E230" s="4">
        <f t="shared" si="17"/>
        <v>196.05389911140787</v>
      </c>
    </row>
    <row r="231" spans="1:5" x14ac:dyDescent="0.55000000000000004">
      <c r="A231" s="25">
        <v>83.25</v>
      </c>
      <c r="B231" s="4">
        <f t="shared" si="18"/>
        <v>2.7179067927130713</v>
      </c>
      <c r="C231" s="4">
        <f t="shared" si="19"/>
        <v>5.031469132176082</v>
      </c>
      <c r="D231" s="4">
        <f t="shared" si="16"/>
        <v>204.3762797848365</v>
      </c>
      <c r="E231" s="4">
        <f t="shared" si="17"/>
        <v>196.0560096248411</v>
      </c>
    </row>
    <row r="232" spans="1:5" x14ac:dyDescent="0.55000000000000004">
      <c r="A232" s="25">
        <v>83.5</v>
      </c>
      <c r="B232" s="4">
        <f t="shared" si="18"/>
        <v>2.7163942329790673</v>
      </c>
      <c r="C232" s="4">
        <f t="shared" si="19"/>
        <v>5.0202344849009659</v>
      </c>
      <c r="D232" s="4">
        <f t="shared" si="16"/>
        <v>204.35964659945088</v>
      </c>
      <c r="E232" s="4">
        <f t="shared" si="17"/>
        <v>196.05795457200998</v>
      </c>
    </row>
    <row r="233" spans="1:5" x14ac:dyDescent="0.55000000000000004">
      <c r="A233" s="25">
        <v>83.75</v>
      </c>
      <c r="B233" s="4">
        <f t="shared" si="18"/>
        <v>2.7148859783342885</v>
      </c>
      <c r="C233" s="4">
        <f t="shared" si="19"/>
        <v>5.0090603433932843</v>
      </c>
      <c r="D233" s="4">
        <f t="shared" si="16"/>
        <v>204.34294965903189</v>
      </c>
      <c r="E233" s="4">
        <f t="shared" si="17"/>
        <v>196.05973570900881</v>
      </c>
    </row>
    <row r="234" spans="1:5" x14ac:dyDescent="0.55000000000000004">
      <c r="A234" s="25">
        <v>84</v>
      </c>
      <c r="B234" s="4">
        <f t="shared" si="18"/>
        <v>2.7133820031460822</v>
      </c>
      <c r="C234" s="4">
        <f t="shared" si="19"/>
        <v>4.9979462021592704</v>
      </c>
      <c r="D234" s="4">
        <f t="shared" si="16"/>
        <v>204.32618986187256</v>
      </c>
      <c r="E234" s="4">
        <f t="shared" si="17"/>
        <v>196.06135477003866</v>
      </c>
    </row>
    <row r="235" spans="1:5" x14ac:dyDescent="0.55000000000000004">
      <c r="A235" s="25">
        <v>84.25</v>
      </c>
      <c r="B235" s="4">
        <f t="shared" si="18"/>
        <v>2.7118822820106523</v>
      </c>
      <c r="C235" s="4">
        <f t="shared" si="19"/>
        <v>4.9868915614221132</v>
      </c>
      <c r="D235" s="4">
        <f t="shared" si="16"/>
        <v>204.30936809415587</v>
      </c>
      <c r="E235" s="4">
        <f t="shared" si="17"/>
        <v>196.06281346773645</v>
      </c>
    </row>
    <row r="236" spans="1:5" x14ac:dyDescent="0.55000000000000004">
      <c r="A236" s="25">
        <v>84.5</v>
      </c>
      <c r="B236" s="4">
        <f t="shared" si="18"/>
        <v>2.7103867897503449</v>
      </c>
      <c r="C236" s="4">
        <f t="shared" si="19"/>
        <v>4.9758959270405736</v>
      </c>
      <c r="D236" s="4">
        <f t="shared" si="16"/>
        <v>204.29248523014328</v>
      </c>
      <c r="E236" s="4">
        <f t="shared" si="17"/>
        <v>196.0641134934985</v>
      </c>
    </row>
    <row r="237" spans="1:5" x14ac:dyDescent="0.55000000000000004">
      <c r="A237" s="25">
        <v>84.75</v>
      </c>
      <c r="B237" s="4">
        <f t="shared" si="18"/>
        <v>2.7088955014109666</v>
      </c>
      <c r="C237" s="4">
        <f t="shared" si="19"/>
        <v>4.9649588104289348</v>
      </c>
      <c r="D237" s="4">
        <f t="shared" si="16"/>
        <v>204.27554213236016</v>
      </c>
      <c r="E237" s="4">
        <f t="shared" si="17"/>
        <v>196.06525651779819</v>
      </c>
    </row>
    <row r="238" spans="1:5" x14ac:dyDescent="0.55000000000000004">
      <c r="A238" s="25">
        <v>85</v>
      </c>
      <c r="B238" s="4">
        <f t="shared" si="18"/>
        <v>2.7074083922591456</v>
      </c>
      <c r="C238" s="4">
        <f t="shared" si="19"/>
        <v>4.9540797284783133</v>
      </c>
      <c r="D238" s="4">
        <f t="shared" si="16"/>
        <v>204.25853965177774</v>
      </c>
      <c r="E238" s="4">
        <f t="shared" si="17"/>
        <v>196.0662441904978</v>
      </c>
    </row>
    <row r="239" spans="1:5" x14ac:dyDescent="0.55000000000000004">
      <c r="A239" s="25">
        <v>85.25</v>
      </c>
      <c r="B239" s="4">
        <f t="shared" si="18"/>
        <v>2.7059254377797357</v>
      </c>
      <c r="C239" s="4">
        <f t="shared" si="19"/>
        <v>4.9432582034794015</v>
      </c>
      <c r="D239" s="4">
        <f t="shared" si="16"/>
        <v>204.241478627992</v>
      </c>
      <c r="E239" s="4">
        <f t="shared" si="17"/>
        <v>196.06707814115566</v>
      </c>
    </row>
    <row r="240" spans="1:5" x14ac:dyDescent="0.55000000000000004">
      <c r="A240" s="25">
        <v>85.5</v>
      </c>
      <c r="B240" s="4">
        <f t="shared" si="18"/>
        <v>2.7044466136732481</v>
      </c>
      <c r="C240" s="4">
        <f t="shared" si="19"/>
        <v>4.9324937630463817</v>
      </c>
      <c r="D240" s="4">
        <f t="shared" si="16"/>
        <v>204.22435988939898</v>
      </c>
      <c r="E240" s="4">
        <f t="shared" si="17"/>
        <v>196.06775997932684</v>
      </c>
    </row>
    <row r="241" spans="1:6" x14ac:dyDescent="0.55000000000000004">
      <c r="A241" s="25">
        <v>85.75</v>
      </c>
      <c r="B241" s="4">
        <f t="shared" si="18"/>
        <v>2.7029718958533322</v>
      </c>
      <c r="C241" s="4">
        <f t="shared" si="19"/>
        <v>4.9217859400422741</v>
      </c>
      <c r="D241" s="4">
        <f t="shared" si="16"/>
        <v>204.20718425336719</v>
      </c>
      <c r="E241" s="4">
        <f t="shared" si="17"/>
        <v>196.06829129485914</v>
      </c>
      <c r="F241" s="25"/>
    </row>
    <row r="242" spans="1:6" x14ac:dyDescent="0.55000000000000004">
      <c r="A242" s="25">
        <v>86</v>
      </c>
      <c r="B242" s="4">
        <f t="shared" si="18"/>
        <v>2.7015012604442856</v>
      </c>
      <c r="C242" s="4">
        <f t="shared" si="19"/>
        <v>4.9111342725054508</v>
      </c>
      <c r="D242" s="4">
        <f t="shared" si="16"/>
        <v>204.18995252640693</v>
      </c>
      <c r="E242" s="4">
        <f t="shared" si="17"/>
        <v>196.06867365818397</v>
      </c>
      <c r="F242" s="25"/>
    </row>
    <row r="243" spans="1:6" x14ac:dyDescent="0.55000000000000004">
      <c r="A243" s="25">
        <v>86.25</v>
      </c>
      <c r="B243" s="4">
        <f t="shared" si="18"/>
        <v>2.7000346837786044</v>
      </c>
      <c r="C243" s="4">
        <f t="shared" si="19"/>
        <v>4.9005383035774219</v>
      </c>
      <c r="D243" s="4">
        <f t="shared" si="16"/>
        <v>204.17266550433663</v>
      </c>
      <c r="E243" s="4">
        <f t="shared" si="17"/>
        <v>196.06890862060212</v>
      </c>
      <c r="F243" s="25"/>
    </row>
    <row r="244" spans="1:6" x14ac:dyDescent="0.55000000000000004">
      <c r="A244" s="3">
        <v>86.5</v>
      </c>
      <c r="B244" s="5">
        <f t="shared" si="18"/>
        <v>2.6985721423945637</v>
      </c>
      <c r="C244" s="5">
        <f>1/B244*(2/($B$9+1)*(1 + ($B$9-1)/2*B244^2))^(($B$9+1)/(2*$B$9-2))</f>
        <v>4.8899975814318379</v>
      </c>
      <c r="D244" s="5">
        <f t="shared" si="16"/>
        <v>204.15532397244581</v>
      </c>
      <c r="E244" s="5">
        <f t="shared" si="17"/>
        <v>196.06899771456403</v>
      </c>
      <c r="F244" s="2" t="s">
        <v>62</v>
      </c>
    </row>
    <row r="245" spans="1:6" x14ac:dyDescent="0.55000000000000004">
      <c r="A245" s="25">
        <v>86.75</v>
      </c>
      <c r="B245" s="4">
        <f t="shared" si="18"/>
        <v>2.6971136130338422</v>
      </c>
      <c r="C245" s="4">
        <f t="shared" si="19"/>
        <v>4.8795116592046774</v>
      </c>
      <c r="D245" s="4">
        <f t="shared" si="16"/>
        <v>204.13792870565592</v>
      </c>
      <c r="E245" s="4">
        <f t="shared" si="17"/>
        <v>196.06894245394625</v>
      </c>
      <c r="F245" s="25"/>
    </row>
    <row r="246" spans="1:6" x14ac:dyDescent="0.55000000000000004">
      <c r="A246" s="25">
        <v>87</v>
      </c>
      <c r="B246" s="4">
        <f t="shared" si="18"/>
        <v>2.6956590726391711</v>
      </c>
      <c r="C246" s="4">
        <f t="shared" si="19"/>
        <v>4.8690800949256117</v>
      </c>
      <c r="D246" s="4">
        <f t="shared" si="16"/>
        <v>204.12048046867756</v>
      </c>
      <c r="E246" s="4">
        <f t="shared" si="17"/>
        <v>196.06874433432193</v>
      </c>
      <c r="F246" s="25"/>
    </row>
    <row r="247" spans="1:6" x14ac:dyDescent="0.55000000000000004">
      <c r="A247" s="25">
        <v>87.25</v>
      </c>
      <c r="B247" s="4">
        <f t="shared" si="18"/>
        <v>2.6942084983520229</v>
      </c>
      <c r="C247" s="4">
        <f t="shared" si="19"/>
        <v>4.8587024514504833</v>
      </c>
      <c r="D247" s="4">
        <f t="shared" si="16"/>
        <v>204.10298001616542</v>
      </c>
      <c r="E247" s="4">
        <f t="shared" si="17"/>
        <v>196.06840483322756</v>
      </c>
      <c r="F247" s="25"/>
    </row>
    <row r="248" spans="1:6" x14ac:dyDescent="0.55000000000000004">
      <c r="A248" s="25">
        <v>87.5</v>
      </c>
      <c r="B248" s="4">
        <f t="shared" si="18"/>
        <v>2.6927618675103333</v>
      </c>
      <c r="C248" s="4">
        <f t="shared" si="19"/>
        <v>4.84837829639494</v>
      </c>
      <c r="D248" s="4">
        <f t="shared" si="16"/>
        <v>204.0854280928703</v>
      </c>
      <c r="E248" s="4">
        <f t="shared" si="17"/>
        <v>196.06792541042466</v>
      </c>
      <c r="F248" s="25"/>
    </row>
    <row r="249" spans="1:6" x14ac:dyDescent="0.55000000000000004">
      <c r="A249" s="25">
        <v>87.75</v>
      </c>
      <c r="B249" s="4">
        <f t="shared" si="18"/>
        <v>2.6913191576462516</v>
      </c>
      <c r="C249" s="4">
        <f t="shared" si="19"/>
        <v>4.838107202069156</v>
      </c>
      <c r="D249" s="4">
        <f t="shared" si="16"/>
        <v>204.06782543378856</v>
      </c>
      <c r="E249" s="4">
        <f t="shared" si="17"/>
        <v>196.06730750815737</v>
      </c>
      <c r="F249" s="25"/>
    </row>
    <row r="250" spans="1:6" x14ac:dyDescent="0.55000000000000004">
      <c r="A250" s="25">
        <v>88</v>
      </c>
      <c r="B250" s="4">
        <f t="shared" si="18"/>
        <v>2.6898803464839278</v>
      </c>
      <c r="C250" s="4">
        <f t="shared" si="19"/>
        <v>4.8278887454136337</v>
      </c>
      <c r="D250" s="4">
        <f t="shared" si="16"/>
        <v>204.0501727643088</v>
      </c>
      <c r="E250" s="4">
        <f t="shared" si="17"/>
        <v>196.06655255140498</v>
      </c>
      <c r="F250" s="25"/>
    </row>
    <row r="251" spans="1:6" x14ac:dyDescent="0.55000000000000004">
      <c r="A251" s="25">
        <v>88.25</v>
      </c>
      <c r="B251" s="4">
        <f t="shared" si="18"/>
        <v>2.6884454119373267</v>
      </c>
      <c r="C251" s="4">
        <f t="shared" si="19"/>
        <v>4.8177225079360291</v>
      </c>
      <c r="D251" s="4">
        <f t="shared" si="16"/>
        <v>204.03247080035601</v>
      </c>
      <c r="E251" s="4">
        <f t="shared" si="17"/>
        <v>196.06566194813078</v>
      </c>
      <c r="F251" s="25"/>
    </row>
    <row r="252" spans="1:6" x14ac:dyDescent="0.55000000000000004">
      <c r="A252" s="25">
        <v>88.5</v>
      </c>
      <c r="B252" s="4">
        <f t="shared" si="18"/>
        <v>2.6870143321080784</v>
      </c>
      <c r="C252" s="4">
        <f t="shared" si="19"/>
        <v>4.8076080756491111</v>
      </c>
      <c r="D252" s="4">
        <f t="shared" si="16"/>
        <v>204.01472024853351</v>
      </c>
      <c r="E252" s="4">
        <f t="shared" si="17"/>
        <v>196.0646370895266</v>
      </c>
      <c r="F252" s="25"/>
    </row>
    <row r="253" spans="1:6" x14ac:dyDescent="0.55000000000000004">
      <c r="A253" s="25">
        <v>88.75</v>
      </c>
      <c r="B253" s="4">
        <f t="shared" si="18"/>
        <v>2.6855870852833545</v>
      </c>
      <c r="C253" s="4">
        <f t="shared" si="19"/>
        <v>4.7975450390096031</v>
      </c>
      <c r="D253" s="4">
        <f t="shared" si="16"/>
        <v>203.99692180626187</v>
      </c>
      <c r="E253" s="4">
        <f t="shared" si="17"/>
        <v>196.06347935025266</v>
      </c>
      <c r="F253" s="25"/>
    </row>
    <row r="254" spans="1:6" x14ac:dyDescent="0.55000000000000004">
      <c r="A254" s="25">
        <v>89</v>
      </c>
      <c r="B254" s="4">
        <f t="shared" si="18"/>
        <v>2.6841636499337773</v>
      </c>
      <c r="C254" s="4">
        <f t="shared" si="19"/>
        <v>4.7875329928581554</v>
      </c>
      <c r="D254" s="4">
        <f t="shared" si="16"/>
        <v>203.97907616191614</v>
      </c>
      <c r="E254" s="4">
        <f t="shared" si="17"/>
        <v>196.06219008867427</v>
      </c>
      <c r="F254" s="25"/>
    </row>
    <row r="255" spans="1:6" x14ac:dyDescent="0.55000000000000004">
      <c r="A255" s="25">
        <v>89.25</v>
      </c>
      <c r="B255" s="4">
        <f t="shared" si="18"/>
        <v>2.6827440047113522</v>
      </c>
      <c r="C255" s="4">
        <f t="shared" si="19"/>
        <v>4.7775715363601581</v>
      </c>
      <c r="D255" s="4">
        <f t="shared" si="16"/>
        <v>203.9611839949597</v>
      </c>
      <c r="E255" s="4">
        <f t="shared" si="17"/>
        <v>196.06077064709348</v>
      </c>
      <c r="F255" s="25"/>
    </row>
    <row r="256" spans="1:6" x14ac:dyDescent="0.55000000000000004">
      <c r="A256" s="25">
        <v>89.5</v>
      </c>
      <c r="B256" s="4">
        <f t="shared" si="18"/>
        <v>2.6813281284474426</v>
      </c>
      <c r="C256" s="4">
        <f t="shared" si="19"/>
        <v>4.7676602729476771</v>
      </c>
      <c r="D256" s="4">
        <f t="shared" si="16"/>
        <v>203.94324597607712</v>
      </c>
      <c r="E256" s="4">
        <f t="shared" si="17"/>
        <v>196.05922235197795</v>
      </c>
      <c r="F256" s="25"/>
    </row>
    <row r="257" spans="1:5" x14ac:dyDescent="0.55000000000000004">
      <c r="A257" s="25">
        <v>89.75</v>
      </c>
      <c r="B257" s="4">
        <f t="shared" si="18"/>
        <v>2.6799160001507563</v>
      </c>
      <c r="C257" s="4">
        <f t="shared" si="19"/>
        <v>4.7577988102621864</v>
      </c>
      <c r="D257" s="4">
        <f t="shared" si="16"/>
        <v>203.92526276730342</v>
      </c>
      <c r="E257" s="4">
        <f t="shared" si="17"/>
        <v>196.05754651418485</v>
      </c>
    </row>
    <row r="258" spans="1:5" x14ac:dyDescent="0.55000000000000004">
      <c r="A258" s="25">
        <v>90</v>
      </c>
      <c r="B258" s="4">
        <f t="shared" si="18"/>
        <v>2.6785075990053731</v>
      </c>
      <c r="C258" s="4">
        <f t="shared" si="19"/>
        <v>4.7479867600983159</v>
      </c>
      <c r="D258" s="4">
        <f t="shared" si="16"/>
        <v>203.90723502215218</v>
      </c>
      <c r="E258" s="4">
        <f t="shared" si="17"/>
        <v>196.05574442918225</v>
      </c>
    </row>
    <row r="259" spans="1:5" x14ac:dyDescent="0.55000000000000004">
      <c r="A259" s="25">
        <v>90.25</v>
      </c>
      <c r="B259" s="4">
        <f t="shared" si="18"/>
        <v>2.6771029043687906</v>
      </c>
      <c r="C259" s="4">
        <f t="shared" si="19"/>
        <v>4.7382237383484282</v>
      </c>
      <c r="D259" s="4">
        <f t="shared" si="16"/>
        <v>203.88916338574055</v>
      </c>
      <c r="E259" s="4">
        <f t="shared" si="17"/>
        <v>196.05381737726529</v>
      </c>
    </row>
    <row r="260" spans="1:5" x14ac:dyDescent="0.55000000000000004">
      <c r="A260" s="25">
        <v>90.5</v>
      </c>
      <c r="B260" s="4">
        <f t="shared" si="18"/>
        <v>2.6757018957700063</v>
      </c>
      <c r="C260" s="4">
        <f t="shared" si="19"/>
        <v>4.7285093649481889</v>
      </c>
      <c r="D260" s="4">
        <f t="shared" si="16"/>
        <v>203.871048494913</v>
      </c>
      <c r="E260" s="4">
        <f t="shared" si="17"/>
        <v>196.05176662377056</v>
      </c>
    </row>
    <row r="261" spans="1:5" x14ac:dyDescent="0.55000000000000004">
      <c r="A261" s="25">
        <v>90.75</v>
      </c>
      <c r="B261" s="4">
        <f t="shared" si="18"/>
        <v>2.6743045529076168</v>
      </c>
      <c r="C261" s="4">
        <f t="shared" si="19"/>
        <v>4.7188432638229019</v>
      </c>
      <c r="D261" s="4">
        <f t="shared" si="16"/>
        <v>203.85289097836213</v>
      </c>
      <c r="E261" s="4">
        <f t="shared" si="17"/>
        <v>196.04959341928509</v>
      </c>
    </row>
    <row r="262" spans="1:5" x14ac:dyDescent="0.55000000000000004">
      <c r="A262" s="25">
        <v>91</v>
      </c>
      <c r="B262" s="4">
        <f t="shared" si="18"/>
        <v>2.6729108556479515</v>
      </c>
      <c r="C262" s="4">
        <f t="shared" si="19"/>
        <v>4.7092250628347943</v>
      </c>
      <c r="D262" s="4">
        <f t="shared" si="16"/>
        <v>203.83469145674823</v>
      </c>
      <c r="E262" s="4">
        <f t="shared" si="17"/>
        <v>196.0472989998535</v>
      </c>
    </row>
    <row r="263" spans="1:5" x14ac:dyDescent="0.55000000000000004">
      <c r="A263" s="25">
        <v>91.25</v>
      </c>
      <c r="B263" s="4">
        <f t="shared" si="18"/>
        <v>2.6715207840232242</v>
      </c>
      <c r="C263" s="4">
        <f t="shared" si="19"/>
        <v>4.6996543937310689</v>
      </c>
      <c r="D263" s="4">
        <f t="shared" si="16"/>
        <v>203.8164505428162</v>
      </c>
      <c r="E263" s="4">
        <f t="shared" si="17"/>
        <v>196.04488458718041</v>
      </c>
    </row>
    <row r="264" spans="1:5" x14ac:dyDescent="0.55000000000000004">
      <c r="A264" s="25">
        <v>91.5</v>
      </c>
      <c r="B264" s="4">
        <f t="shared" si="18"/>
        <v>2.6701343182297181</v>
      </c>
      <c r="C264" s="4">
        <f t="shared" si="19"/>
        <v>4.6901308920928164</v>
      </c>
      <c r="D264" s="4">
        <f t="shared" si="16"/>
        <v>203.79816884151057</v>
      </c>
      <c r="E264" s="4">
        <f t="shared" si="17"/>
        <v>196.0423513888305</v>
      </c>
    </row>
    <row r="265" spans="1:5" x14ac:dyDescent="0.55000000000000004">
      <c r="A265" s="25">
        <v>91.75</v>
      </c>
      <c r="B265" s="4">
        <f t="shared" si="18"/>
        <v>2.6687514386259865</v>
      </c>
      <c r="C265" s="4">
        <f t="shared" si="19"/>
        <v>4.6806541972847242</v>
      </c>
      <c r="D265" s="4">
        <f t="shared" si="16"/>
        <v>203.77984695008917</v>
      </c>
      <c r="E265" s="4">
        <f t="shared" si="17"/>
        <v>196.03970059842464</v>
      </c>
    </row>
    <row r="266" spans="1:5" x14ac:dyDescent="0.55000000000000004">
      <c r="A266" s="25">
        <v>92</v>
      </c>
      <c r="B266" s="4">
        <f t="shared" si="18"/>
        <v>2.6673721257310872</v>
      </c>
      <c r="C266" s="4">
        <f t="shared" si="19"/>
        <v>4.6712239524056161</v>
      </c>
      <c r="D266" s="4">
        <f t="shared" si="16"/>
        <v>203.76148545823386</v>
      </c>
      <c r="E266" s="4">
        <f t="shared" si="17"/>
        <v>196.03693339583319</v>
      </c>
    </row>
    <row r="267" spans="1:5" x14ac:dyDescent="0.55000000000000004">
      <c r="A267" s="25">
        <v>92.25</v>
      </c>
      <c r="B267" s="4">
        <f t="shared" si="18"/>
        <v>2.6659963602228358</v>
      </c>
      <c r="C267" s="4">
        <f t="shared" si="19"/>
        <v>4.6618398042397233</v>
      </c>
      <c r="D267" s="4">
        <f t="shared" si="16"/>
        <v>203.74308494816069</v>
      </c>
      <c r="E267" s="4">
        <f t="shared" si="17"/>
        <v>196.03405094736596</v>
      </c>
    </row>
    <row r="268" spans="1:5" x14ac:dyDescent="0.55000000000000004">
      <c r="A268" s="25">
        <v>92.5</v>
      </c>
      <c r="B268" s="4">
        <f t="shared" si="18"/>
        <v>2.6646241229360821</v>
      </c>
      <c r="C268" s="4">
        <f t="shared" si="19"/>
        <v>4.6525014032087419</v>
      </c>
      <c r="D268" s="4">
        <f t="shared" si="16"/>
        <v>203.72464599472684</v>
      </c>
      <c r="E268" s="4">
        <f t="shared" si="17"/>
        <v>196.03105440595908</v>
      </c>
    </row>
    <row r="269" spans="1:5" x14ac:dyDescent="0.55000000000000004">
      <c r="A269" s="25">
        <v>92.75</v>
      </c>
      <c r="B269" s="4">
        <f t="shared" si="18"/>
        <v>2.6632553948610131</v>
      </c>
      <c r="C269" s="4">
        <f t="shared" si="19"/>
        <v>4.6432084033246408</v>
      </c>
      <c r="D269" s="4">
        <f t="shared" si="16"/>
        <v>203.70616916553678</v>
      </c>
      <c r="E269" s="4">
        <f t="shared" si="17"/>
        <v>196.0279449113589</v>
      </c>
    </row>
    <row r="270" spans="1:5" x14ac:dyDescent="0.55000000000000004">
      <c r="A270" s="25">
        <v>93</v>
      </c>
      <c r="B270" s="4">
        <f t="shared" si="18"/>
        <v>2.6618901571414759</v>
      </c>
      <c r="C270" s="4">
        <f t="shared" si="19"/>
        <v>4.6339604621432136</v>
      </c>
      <c r="D270" s="4">
        <f t="shared" si="16"/>
        <v>203.68765502104648</v>
      </c>
      <c r="E270" s="4">
        <f t="shared" si="17"/>
        <v>196.02472359030284</v>
      </c>
    </row>
    <row r="271" spans="1:5" x14ac:dyDescent="0.55000000000000004">
      <c r="A271" s="25">
        <v>93.25</v>
      </c>
      <c r="B271" s="4">
        <f t="shared" si="18"/>
        <v>2.6605283910733237</v>
      </c>
      <c r="C271" s="4">
        <f t="shared" si="19"/>
        <v>4.6247572407183357</v>
      </c>
      <c r="D271" s="4">
        <f t="shared" ref="D271:D318" si="20">$B$6*$B$12/9.81*($B$9*SQRT(2/($B$9-1)*(2/($B$9+1))^(($B$9+1)/($B$9-1))*(1 - (A271/$B$3)^(($B$9-1)/$B$9))) + C271/$B$3*(A271 - $E$5))</f>
        <v>203.66910411466543</v>
      </c>
      <c r="E271" s="4">
        <f t="shared" ref="E271:E318" si="21">$B$6*$B$12/9.81*($B$9*SQRT(2/($B$9-1)*(2/($B$9+1))^(($B$9+1)/($B$9-1))*(1 - (A271/$B$3)^(($B$9-1)/$B$9))) + C271/$B$3*(A271 - $E$4))</f>
        <v>196.02139155669744</v>
      </c>
    </row>
    <row r="272" spans="1:5" x14ac:dyDescent="0.55000000000000004">
      <c r="A272" s="25">
        <v>93.5</v>
      </c>
      <c r="B272" s="4">
        <f t="shared" ref="B272:B318" si="22">SQRT(2/($B$9-1)*((A272/$B$3)^((1-$B$9)/$B$9) - 1))</f>
        <v>2.6591700781027878</v>
      </c>
      <c r="C272" s="4">
        <f t="shared" ref="C272:C318" si="23">1/B272*(2/($B$9+1)*(1 + ($B$9-1)/2*B272^2))^(($B$9+1)/(2*$B$9-2))</f>
        <v>4.6155984035569881</v>
      </c>
      <c r="D272" s="4">
        <f t="shared" si="20"/>
        <v>203.65051699285755</v>
      </c>
      <c r="E272" s="4">
        <f t="shared" si="21"/>
        <v>196.01794991179338</v>
      </c>
    </row>
    <row r="273" spans="1:5" x14ac:dyDescent="0.55000000000000004">
      <c r="A273" s="25">
        <v>93.75</v>
      </c>
      <c r="B273" s="4">
        <f t="shared" si="22"/>
        <v>2.6578151998248645</v>
      </c>
      <c r="C273" s="4">
        <f t="shared" si="23"/>
        <v>4.6064836185748668</v>
      </c>
      <c r="D273" s="4">
        <f t="shared" si="20"/>
        <v>203.63189419523988</v>
      </c>
      <c r="E273" s="4">
        <f t="shared" si="21"/>
        <v>196.01439974435775</v>
      </c>
    </row>
    <row r="274" spans="1:5" x14ac:dyDescent="0.55000000000000004">
      <c r="A274" s="25">
        <v>94</v>
      </c>
      <c r="B274" s="4">
        <f t="shared" si="22"/>
        <v>2.65646373798173</v>
      </c>
      <c r="C274" s="4">
        <f t="shared" si="23"/>
        <v>4.5974125570528113</v>
      </c>
      <c r="D274" s="4">
        <f t="shared" si="20"/>
        <v>203.6132362546804</v>
      </c>
      <c r="E274" s="4">
        <f t="shared" si="21"/>
        <v>196.01074213084365</v>
      </c>
    </row>
    <row r="275" spans="1:5" x14ac:dyDescent="0.55000000000000004">
      <c r="A275" s="25">
        <v>94.25</v>
      </c>
      <c r="B275" s="4">
        <f t="shared" si="22"/>
        <v>2.6551156744611721</v>
      </c>
      <c r="C275" s="4">
        <f t="shared" si="23"/>
        <v>4.5883848935938092</v>
      </c>
      <c r="D275" s="4">
        <f t="shared" si="20"/>
        <v>203.59454369739322</v>
      </c>
      <c r="E275" s="4">
        <f t="shared" si="21"/>
        <v>196.00697813555684</v>
      </c>
    </row>
    <row r="276" spans="1:5" x14ac:dyDescent="0.55000000000000004">
      <c r="A276" s="25">
        <v>94.5</v>
      </c>
      <c r="B276" s="4">
        <f t="shared" si="22"/>
        <v>2.6537709912950458</v>
      </c>
      <c r="C276" s="4">
        <f t="shared" si="23"/>
        <v>4.5794003060807187</v>
      </c>
      <c r="D276" s="4">
        <f t="shared" si="20"/>
        <v>203.57581704303328</v>
      </c>
      <c r="E276" s="4">
        <f t="shared" si="21"/>
        <v>196.00310881081995</v>
      </c>
    </row>
    <row r="277" spans="1:5" x14ac:dyDescent="0.55000000000000004">
      <c r="A277" s="25">
        <v>94.75</v>
      </c>
      <c r="B277" s="4">
        <f t="shared" si="22"/>
        <v>2.652429670657745</v>
      </c>
      <c r="C277" s="4">
        <f t="shared" si="23"/>
        <v>4.5704584756345819</v>
      </c>
      <c r="D277" s="4">
        <f t="shared" si="20"/>
        <v>203.5570568047886</v>
      </c>
      <c r="E277" s="4">
        <f t="shared" si="21"/>
        <v>195.99913519713405</v>
      </c>
    </row>
    <row r="278" spans="1:5" x14ac:dyDescent="0.55000000000000004">
      <c r="A278" s="25">
        <v>95</v>
      </c>
      <c r="B278" s="4">
        <f t="shared" si="22"/>
        <v>2.6510916948647001</v>
      </c>
      <c r="C278" s="4">
        <f t="shared" si="23"/>
        <v>4.5615590865736335</v>
      </c>
      <c r="D278" s="4">
        <f t="shared" si="20"/>
        <v>203.53826348947155</v>
      </c>
      <c r="E278" s="4">
        <f t="shared" si="21"/>
        <v>195.99505832333753</v>
      </c>
    </row>
    <row r="279" spans="1:5" x14ac:dyDescent="0.55000000000000004">
      <c r="A279" s="25">
        <v>95.25</v>
      </c>
      <c r="B279" s="4">
        <f t="shared" si="22"/>
        <v>2.6497570463708917</v>
      </c>
      <c r="C279" s="4">
        <f t="shared" si="23"/>
        <v>4.5527018263729282</v>
      </c>
      <c r="D279" s="4">
        <f t="shared" si="20"/>
        <v>203.51943759760871</v>
      </c>
      <c r="E279" s="4">
        <f t="shared" si="21"/>
        <v>195.99087920676263</v>
      </c>
    </row>
    <row r="280" spans="1:5" x14ac:dyDescent="0.55000000000000004">
      <c r="A280" s="25">
        <v>95.5</v>
      </c>
      <c r="B280" s="4">
        <f t="shared" si="22"/>
        <v>2.648425707769384</v>
      </c>
      <c r="C280" s="4">
        <f t="shared" si="23"/>
        <v>4.5438863856245399</v>
      </c>
      <c r="D280" s="4">
        <f t="shared" si="20"/>
        <v>203.50057962352864</v>
      </c>
      <c r="E280" s="4">
        <f t="shared" si="21"/>
        <v>195.98659885338921</v>
      </c>
    </row>
    <row r="281" spans="1:5" x14ac:dyDescent="0.55000000000000004">
      <c r="A281" s="25">
        <v>95.75</v>
      </c>
      <c r="B281" s="4">
        <f t="shared" si="22"/>
        <v>2.6470976617898798</v>
      </c>
      <c r="C281" s="4">
        <f t="shared" si="23"/>
        <v>4.5351124579984061</v>
      </c>
      <c r="D281" s="4">
        <f t="shared" si="20"/>
        <v>203.48169005544904</v>
      </c>
      <c r="E281" s="4">
        <f t="shared" si="21"/>
        <v>195.98221825799649</v>
      </c>
    </row>
    <row r="282" spans="1:5" x14ac:dyDescent="0.55000000000000004">
      <c r="A282" s="25">
        <v>96</v>
      </c>
      <c r="B282" s="4">
        <f t="shared" si="22"/>
        <v>2.6457728912972893</v>
      </c>
      <c r="C282" s="4">
        <f t="shared" si="23"/>
        <v>4.5263797402037307</v>
      </c>
      <c r="D282" s="4">
        <f t="shared" si="20"/>
        <v>203.46276937556186</v>
      </c>
      <c r="E282" s="4">
        <f t="shared" si="21"/>
        <v>195.97773840431216</v>
      </c>
    </row>
    <row r="283" spans="1:5" x14ac:dyDescent="0.55000000000000004">
      <c r="A283" s="25">
        <v>96.25</v>
      </c>
      <c r="B283" s="4">
        <f t="shared" si="22"/>
        <v>2.6444513792903241</v>
      </c>
      <c r="C283" s="4">
        <f t="shared" si="23"/>
        <v>4.5176879319510288</v>
      </c>
      <c r="D283" s="4">
        <f t="shared" si="20"/>
        <v>203.44381806011737</v>
      </c>
      <c r="E283" s="4">
        <f t="shared" si="21"/>
        <v>195.97316026515904</v>
      </c>
    </row>
    <row r="284" spans="1:5" x14ac:dyDescent="0.55000000000000004">
      <c r="A284" s="25">
        <v>96.5</v>
      </c>
      <c r="B284" s="4">
        <f t="shared" si="22"/>
        <v>2.6431331089001047</v>
      </c>
      <c r="C284" s="4">
        <f t="shared" si="23"/>
        <v>4.5090367359146661</v>
      </c>
      <c r="D284" s="4">
        <f t="shared" si="20"/>
        <v>203.42483657950689</v>
      </c>
      <c r="E284" s="4">
        <f t="shared" si="21"/>
        <v>195.96848480259987</v>
      </c>
    </row>
    <row r="285" spans="1:5" x14ac:dyDescent="0.55000000000000004">
      <c r="A285" s="25">
        <v>96.75</v>
      </c>
      <c r="B285" s="4">
        <f t="shared" si="22"/>
        <v>2.6418180633887882</v>
      </c>
      <c r="C285" s="4">
        <f t="shared" si="23"/>
        <v>4.5004258576960323</v>
      </c>
      <c r="D285" s="4">
        <f t="shared" si="20"/>
        <v>203.40582539834375</v>
      </c>
      <c r="E285" s="4">
        <f t="shared" si="21"/>
        <v>195.96371296807919</v>
      </c>
    </row>
    <row r="286" spans="1:5" x14ac:dyDescent="0.55000000000000004">
      <c r="A286" s="25">
        <v>97</v>
      </c>
      <c r="B286" s="4">
        <f t="shared" si="22"/>
        <v>2.6405062261482124</v>
      </c>
      <c r="C286" s="4">
        <f t="shared" si="23"/>
        <v>4.4918550057872082</v>
      </c>
      <c r="D286" s="4">
        <f t="shared" si="20"/>
        <v>203.38678497554389</v>
      </c>
      <c r="E286" s="4">
        <f t="shared" si="21"/>
        <v>195.95884570256391</v>
      </c>
    </row>
    <row r="287" spans="1:5" x14ac:dyDescent="0.55000000000000004">
      <c r="A287" s="25">
        <v>97.25</v>
      </c>
      <c r="B287" s="4">
        <f t="shared" si="22"/>
        <v>2.6391975806985588</v>
      </c>
      <c r="C287" s="4">
        <f t="shared" si="23"/>
        <v>4.4833238915352105</v>
      </c>
      <c r="D287" s="4">
        <f t="shared" si="20"/>
        <v>203.36771576440395</v>
      </c>
      <c r="E287" s="4">
        <f t="shared" si="21"/>
        <v>195.95388393668054</v>
      </c>
    </row>
    <row r="288" spans="1:5" x14ac:dyDescent="0.55000000000000004">
      <c r="A288" s="25">
        <v>97.5</v>
      </c>
      <c r="B288" s="4">
        <f t="shared" si="22"/>
        <v>2.6378921106870328</v>
      </c>
      <c r="C288" s="4">
        <f t="shared" si="23"/>
        <v>4.4748322291067861</v>
      </c>
      <c r="D288" s="4">
        <f t="shared" si="20"/>
        <v>203.34861821267921</v>
      </c>
      <c r="E288" s="4">
        <f t="shared" si="21"/>
        <v>195.94882859085152</v>
      </c>
    </row>
    <row r="289" spans="1:5" x14ac:dyDescent="0.55000000000000004">
      <c r="A289" s="25">
        <v>97.75</v>
      </c>
      <c r="B289" s="4">
        <f t="shared" si="22"/>
        <v>2.6365897998865577</v>
      </c>
      <c r="C289" s="4">
        <f t="shared" si="23"/>
        <v>4.4663797354536534</v>
      </c>
      <c r="D289" s="4">
        <f t="shared" si="20"/>
        <v>203.32949276265953</v>
      </c>
      <c r="E289" s="4">
        <f t="shared" si="21"/>
        <v>195.94368057542843</v>
      </c>
    </row>
    <row r="290" spans="1:5" x14ac:dyDescent="0.55000000000000004">
      <c r="A290" s="25">
        <v>98</v>
      </c>
      <c r="B290" s="4">
        <f t="shared" si="22"/>
        <v>2.6352906321944909</v>
      </c>
      <c r="C290" s="4">
        <f t="shared" si="23"/>
        <v>4.4579661302783551</v>
      </c>
      <c r="D290" s="4">
        <f t="shared" si="20"/>
        <v>203.31033985124458</v>
      </c>
      <c r="E290" s="4">
        <f t="shared" si="21"/>
        <v>195.93844079082379</v>
      </c>
    </row>
    <row r="291" spans="1:5" x14ac:dyDescent="0.55000000000000004">
      <c r="A291" s="25">
        <v>98.25</v>
      </c>
      <c r="B291" s="4">
        <f t="shared" si="22"/>
        <v>2.6339945916313523</v>
      </c>
      <c r="C291" s="4">
        <f t="shared" si="23"/>
        <v>4.4495911360005618</v>
      </c>
      <c r="D291" s="4">
        <f t="shared" si="20"/>
        <v>203.29115991001765</v>
      </c>
      <c r="E291" s="4">
        <f t="shared" si="21"/>
        <v>195.93311012764053</v>
      </c>
    </row>
    <row r="292" spans="1:5" x14ac:dyDescent="0.55000000000000004">
      <c r="A292" s="25">
        <v>98.5</v>
      </c>
      <c r="B292" s="4">
        <f t="shared" si="22"/>
        <v>2.632701662339568</v>
      </c>
      <c r="C292" s="4">
        <f t="shared" si="23"/>
        <v>4.4412544777238656</v>
      </c>
      <c r="D292" s="4">
        <f t="shared" si="20"/>
        <v>203.27195336531818</v>
      </c>
      <c r="E292" s="4">
        <f t="shared" si="21"/>
        <v>195.92768946679954</v>
      </c>
    </row>
    <row r="293" spans="1:5" x14ac:dyDescent="0.55000000000000004">
      <c r="A293" s="25">
        <v>98.75</v>
      </c>
      <c r="B293" s="4">
        <f t="shared" si="22"/>
        <v>2.6314118285822365</v>
      </c>
      <c r="C293" s="4">
        <f t="shared" si="23"/>
        <v>4.4329558832030989</v>
      </c>
      <c r="D293" s="4">
        <f t="shared" si="20"/>
        <v>203.25272063831349</v>
      </c>
      <c r="E293" s="4">
        <f t="shared" si="21"/>
        <v>195.92217967966531</v>
      </c>
    </row>
    <row r="294" spans="1:5" x14ac:dyDescent="0.55000000000000004">
      <c r="A294" s="25">
        <v>99</v>
      </c>
      <c r="B294" s="4">
        <f t="shared" si="22"/>
        <v>2.630125074741902</v>
      </c>
      <c r="C294" s="4">
        <f t="shared" si="23"/>
        <v>4.4246950828121223</v>
      </c>
      <c r="D294" s="4">
        <f t="shared" si="20"/>
        <v>203.23346214506918</v>
      </c>
      <c r="E294" s="4">
        <f t="shared" si="21"/>
        <v>195.91658162816972</v>
      </c>
    </row>
    <row r="295" spans="1:5" x14ac:dyDescent="0.55000000000000004">
      <c r="A295" s="25">
        <v>99.25</v>
      </c>
      <c r="B295" s="4">
        <f t="shared" si="22"/>
        <v>2.628841385319348</v>
      </c>
      <c r="C295" s="4">
        <f t="shared" si="23"/>
        <v>4.4164718095120312</v>
      </c>
      <c r="D295" s="4">
        <f t="shared" si="20"/>
        <v>203.21417829661806</v>
      </c>
      <c r="E295" s="4">
        <f t="shared" si="21"/>
        <v>195.91089616493352</v>
      </c>
    </row>
    <row r="296" spans="1:5" x14ac:dyDescent="0.55000000000000004">
      <c r="A296" s="25">
        <v>99.5</v>
      </c>
      <c r="B296" s="4">
        <f t="shared" si="22"/>
        <v>2.6275607449324081</v>
      </c>
      <c r="C296" s="4">
        <f t="shared" si="23"/>
        <v>4.4082857988199349</v>
      </c>
      <c r="D296" s="4">
        <f t="shared" si="20"/>
        <v>203.19486949902904</v>
      </c>
      <c r="E296" s="4">
        <f t="shared" si="21"/>
        <v>195.90512413338672</v>
      </c>
    </row>
    <row r="297" spans="1:5" x14ac:dyDescent="0.55000000000000004">
      <c r="A297" s="25">
        <v>99.75</v>
      </c>
      <c r="B297" s="4">
        <f t="shared" si="22"/>
        <v>2.6262831383147853</v>
      </c>
      <c r="C297" s="4">
        <f t="shared" si="23"/>
        <v>4.40013678877808</v>
      </c>
      <c r="D297" s="4">
        <f t="shared" si="20"/>
        <v>203.17553615347367</v>
      </c>
      <c r="E297" s="4">
        <f t="shared" si="21"/>
        <v>195.89926636788636</v>
      </c>
    </row>
    <row r="298" spans="1:5" x14ac:dyDescent="0.55000000000000004">
      <c r="A298" s="25">
        <v>100</v>
      </c>
      <c r="B298" s="4">
        <f t="shared" si="22"/>
        <v>2.6250085503148934</v>
      </c>
      <c r="C298" s="4">
        <f t="shared" si="23"/>
        <v>4.3920245199234875</v>
      </c>
      <c r="D298" s="4">
        <f t="shared" si="20"/>
        <v>203.1561786562927</v>
      </c>
      <c r="E298" s="4">
        <f t="shared" si="21"/>
        <v>195.89332369383308</v>
      </c>
    </row>
    <row r="299" spans="1:5" x14ac:dyDescent="0.55000000000000004">
      <c r="A299" s="25">
        <v>100.25</v>
      </c>
      <c r="B299" s="4">
        <f t="shared" si="22"/>
        <v>2.6237369658947052</v>
      </c>
      <c r="C299" s="4">
        <f t="shared" si="23"/>
        <v>4.383948735258012</v>
      </c>
      <c r="D299" s="4">
        <f t="shared" si="20"/>
        <v>203.1367973990607</v>
      </c>
      <c r="E299" s="4">
        <f t="shared" si="21"/>
        <v>195.88729692778557</v>
      </c>
    </row>
    <row r="300" spans="1:5" x14ac:dyDescent="0.55000000000000004">
      <c r="A300" s="25">
        <v>100.5</v>
      </c>
      <c r="B300" s="4">
        <f t="shared" si="22"/>
        <v>2.6224683701286229</v>
      </c>
      <c r="C300" s="4">
        <f t="shared" si="23"/>
        <v>4.3759091802188372</v>
      </c>
      <c r="D300" s="4">
        <f t="shared" si="20"/>
        <v>203.11739276865066</v>
      </c>
      <c r="E300" s="4">
        <f t="shared" si="21"/>
        <v>195.88118687757361</v>
      </c>
    </row>
    <row r="301" spans="1:5" x14ac:dyDescent="0.55000000000000004">
      <c r="A301" s="25">
        <v>100.75</v>
      </c>
      <c r="B301" s="4">
        <f t="shared" si="22"/>
        <v>2.6212027482023585</v>
      </c>
      <c r="C301" s="4">
        <f t="shared" si="23"/>
        <v>4.367905602649409</v>
      </c>
      <c r="D301" s="4">
        <f t="shared" si="20"/>
        <v>203.09796514729669</v>
      </c>
      <c r="E301" s="4">
        <f t="shared" si="21"/>
        <v>195.87499434240917</v>
      </c>
    </row>
    <row r="302" spans="1:5" x14ac:dyDescent="0.55000000000000004">
      <c r="A302" s="25">
        <v>101</v>
      </c>
      <c r="B302" s="4">
        <f t="shared" si="22"/>
        <v>2.619940085411824</v>
      </c>
      <c r="C302" s="4">
        <f t="shared" si="23"/>
        <v>4.3599377527707173</v>
      </c>
      <c r="D302" s="4">
        <f t="shared" si="20"/>
        <v>203.07851491265617</v>
      </c>
      <c r="E302" s="4">
        <f t="shared" si="21"/>
        <v>195.86872011299565</v>
      </c>
    </row>
    <row r="303" spans="1:5" x14ac:dyDescent="0.55000000000000004">
      <c r="A303" s="25">
        <v>101.25</v>
      </c>
      <c r="B303" s="4">
        <f t="shared" si="22"/>
        <v>2.6186803671620469</v>
      </c>
      <c r="C303" s="4">
        <f t="shared" si="23"/>
        <v>4.3520053831531218</v>
      </c>
      <c r="D303" s="4">
        <f t="shared" si="20"/>
        <v>203.05904243787126</v>
      </c>
      <c r="E303" s="4">
        <f t="shared" si="21"/>
        <v>195.86236497163634</v>
      </c>
    </row>
    <row r="304" spans="1:5" x14ac:dyDescent="0.55000000000000004">
      <c r="A304" s="25">
        <v>101.5</v>
      </c>
      <c r="B304" s="4">
        <f t="shared" si="22"/>
        <v>2.6174235789660871</v>
      </c>
      <c r="C304" s="4">
        <f t="shared" si="23"/>
        <v>4.3441082486884648</v>
      </c>
      <c r="D304" s="4">
        <f t="shared" si="20"/>
        <v>203.03954809162855</v>
      </c>
      <c r="E304" s="4">
        <f t="shared" si="21"/>
        <v>195.85592969234</v>
      </c>
    </row>
    <row r="305" spans="1:5" x14ac:dyDescent="0.55000000000000004">
      <c r="A305" s="25">
        <v>101.75</v>
      </c>
      <c r="B305" s="4">
        <f t="shared" si="22"/>
        <v>2.616169706443972</v>
      </c>
      <c r="C305" s="4">
        <f t="shared" si="23"/>
        <v>4.3362461065626086</v>
      </c>
      <c r="D305" s="4">
        <f t="shared" si="20"/>
        <v>203.02003223821879</v>
      </c>
      <c r="E305" s="4">
        <f t="shared" si="21"/>
        <v>195.84941504092609</v>
      </c>
    </row>
    <row r="306" spans="1:5" x14ac:dyDescent="0.55000000000000004">
      <c r="A306" s="25">
        <v>102</v>
      </c>
      <c r="B306" s="4">
        <f t="shared" si="22"/>
        <v>2.6149187353216465</v>
      </c>
      <c r="C306" s="4">
        <f t="shared" si="23"/>
        <v>4.3284187162284029</v>
      </c>
      <c r="D306" s="4">
        <f t="shared" si="20"/>
        <v>203.000495237595</v>
      </c>
      <c r="E306" s="4">
        <f t="shared" si="21"/>
        <v>195.84282177512756</v>
      </c>
    </row>
    <row r="307" spans="1:5" x14ac:dyDescent="0.55000000000000004">
      <c r="A307" s="25">
        <v>102.25</v>
      </c>
      <c r="B307" s="4">
        <f t="shared" si="22"/>
        <v>2.6136706514299366</v>
      </c>
      <c r="C307" s="4">
        <f t="shared" si="23"/>
        <v>4.3206258393790344</v>
      </c>
      <c r="D307" s="4">
        <f t="shared" si="20"/>
        <v>202.98093744543036</v>
      </c>
      <c r="E307" s="4">
        <f t="shared" si="21"/>
        <v>195.83615064469276</v>
      </c>
    </row>
    <row r="308" spans="1:5" x14ac:dyDescent="0.55000000000000004">
      <c r="A308" s="25">
        <v>102.5</v>
      </c>
      <c r="B308" s="4">
        <f t="shared" si="22"/>
        <v>2.612425440703515</v>
      </c>
      <c r="C308" s="4">
        <f t="shared" si="23"/>
        <v>4.3128672399216468</v>
      </c>
      <c r="D308" s="4">
        <f t="shared" si="20"/>
        <v>202.96135921317423</v>
      </c>
      <c r="E308" s="4">
        <f t="shared" si="21"/>
        <v>195.82940239148505</v>
      </c>
    </row>
    <row r="309" spans="1:5" x14ac:dyDescent="0.55000000000000004">
      <c r="A309" s="25">
        <v>102.75</v>
      </c>
      <c r="B309" s="4">
        <f t="shared" si="22"/>
        <v>2.6111830891798977</v>
      </c>
      <c r="C309" s="4">
        <f t="shared" si="23"/>
        <v>4.3051426839515399</v>
      </c>
      <c r="D309" s="4">
        <f t="shared" si="20"/>
        <v>202.94176088810858</v>
      </c>
      <c r="E309" s="4">
        <f t="shared" si="21"/>
        <v>195.82257774958208</v>
      </c>
    </row>
    <row r="310" spans="1:5" x14ac:dyDescent="0.55000000000000004">
      <c r="A310" s="25">
        <v>103</v>
      </c>
      <c r="B310" s="4">
        <f t="shared" si="22"/>
        <v>2.6099435829984348</v>
      </c>
      <c r="C310" s="4">
        <f t="shared" si="23"/>
        <v>4.2974519397265043</v>
      </c>
      <c r="D310" s="4">
        <f t="shared" si="20"/>
        <v>202.92214281340213</v>
      </c>
      <c r="E310" s="4">
        <f t="shared" si="21"/>
        <v>195.81567744537224</v>
      </c>
    </row>
    <row r="311" spans="1:5" x14ac:dyDescent="0.55000000000000004">
      <c r="A311" s="25">
        <v>103.25</v>
      </c>
      <c r="B311" s="4">
        <f t="shared" si="22"/>
        <v>2.6087069083993266</v>
      </c>
      <c r="C311" s="4">
        <f t="shared" si="23"/>
        <v>4.289794777641692</v>
      </c>
      <c r="D311" s="4">
        <f t="shared" si="20"/>
        <v>202.90250532816523</v>
      </c>
      <c r="E311" s="4">
        <f t="shared" si="21"/>
        <v>195.80870219765103</v>
      </c>
    </row>
    <row r="312" spans="1:5" x14ac:dyDescent="0.55000000000000004">
      <c r="A312" s="25">
        <v>103.5</v>
      </c>
      <c r="B312" s="4">
        <f t="shared" si="22"/>
        <v>2.6074730517226405</v>
      </c>
      <c r="C312" s="4">
        <f t="shared" si="23"/>
        <v>4.2821709702047288</v>
      </c>
      <c r="D312" s="4">
        <f t="shared" si="20"/>
        <v>202.88284876750251</v>
      </c>
      <c r="E312" s="4">
        <f t="shared" si="21"/>
        <v>195.80165271771503</v>
      </c>
    </row>
    <row r="313" spans="1:5" x14ac:dyDescent="0.55000000000000004">
      <c r="A313" s="25">
        <v>103.75</v>
      </c>
      <c r="B313" s="4">
        <f t="shared" si="22"/>
        <v>2.606241999407354</v>
      </c>
      <c r="C313" s="4">
        <f t="shared" si="23"/>
        <v>4.2745802920112723</v>
      </c>
      <c r="D313" s="4">
        <f t="shared" si="20"/>
        <v>202.86317346256584</v>
      </c>
      <c r="E313" s="4">
        <f t="shared" si="21"/>
        <v>195.79452970945513</v>
      </c>
    </row>
    <row r="314" spans="1:5" x14ac:dyDescent="0.55000000000000004">
      <c r="A314" s="25">
        <v>104</v>
      </c>
      <c r="B314" s="4">
        <f t="shared" si="22"/>
        <v>2.6050137379903933</v>
      </c>
      <c r="C314" s="4">
        <f t="shared" si="23"/>
        <v>4.2670225197208058</v>
      </c>
      <c r="D314" s="4">
        <f t="shared" si="20"/>
        <v>202.84347974060549</v>
      </c>
      <c r="E314" s="4">
        <f t="shared" si="21"/>
        <v>195.78733386944785</v>
      </c>
    </row>
    <row r="315" spans="1:5" x14ac:dyDescent="0.55000000000000004">
      <c r="A315" s="25">
        <v>104.25</v>
      </c>
      <c r="B315" s="4">
        <f t="shared" si="22"/>
        <v>2.6037882541056958</v>
      </c>
      <c r="C315" s="4">
        <f t="shared" si="23"/>
        <v>4.2594974320328642</v>
      </c>
      <c r="D315" s="4">
        <f t="shared" si="20"/>
        <v>202.82376792502146</v>
      </c>
      <c r="E315" s="4">
        <f t="shared" si="21"/>
        <v>195.78006588704588</v>
      </c>
    </row>
    <row r="316" spans="1:5" x14ac:dyDescent="0.55000000000000004">
      <c r="A316" s="25">
        <v>104.5</v>
      </c>
      <c r="B316" s="4">
        <f t="shared" si="22"/>
        <v>2.6025655344832757</v>
      </c>
      <c r="C316" s="4">
        <f t="shared" si="23"/>
        <v>4.2520048096634984</v>
      </c>
      <c r="D316" s="4">
        <f t="shared" si="20"/>
        <v>202.80403833541328</v>
      </c>
      <c r="E316" s="4">
        <f t="shared" si="21"/>
        <v>195.77272644446674</v>
      </c>
    </row>
    <row r="317" spans="1:5" x14ac:dyDescent="0.55000000000000004">
      <c r="A317" s="25">
        <v>104.75</v>
      </c>
      <c r="B317" s="4">
        <f t="shared" si="22"/>
        <v>2.6013455659483076</v>
      </c>
      <c r="C317" s="4">
        <f t="shared" si="23"/>
        <v>4.2445444353221911</v>
      </c>
      <c r="D317" s="4">
        <f t="shared" si="20"/>
        <v>202.78429128762977</v>
      </c>
      <c r="E317" s="4">
        <f t="shared" si="21"/>
        <v>195.76531621688102</v>
      </c>
    </row>
    <row r="318" spans="1:5" x14ac:dyDescent="0.55000000000000004">
      <c r="A318" s="25">
        <v>105</v>
      </c>
      <c r="B318" s="4">
        <f t="shared" si="22"/>
        <v>2.6001283354202163</v>
      </c>
      <c r="C318" s="4">
        <f t="shared" si="23"/>
        <v>4.2371160936889476</v>
      </c>
      <c r="D318" s="4">
        <f t="shared" si="20"/>
        <v>202.76452709381732</v>
      </c>
      <c r="E318" s="4">
        <f t="shared" si="21"/>
        <v>195.75783587249819</v>
      </c>
    </row>
  </sheetData>
  <pageMargins left="0.7" right="0.7" top="0.75" bottom="0.75" header="0.3" footer="0.3"/>
  <pageSetup orientation="portrait" horizontalDpi="300" verticalDpi="30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S318"/>
  <sheetViews>
    <sheetView zoomScaleNormal="100" workbookViewId="0">
      <selection activeCell="L18" sqref="L18"/>
    </sheetView>
  </sheetViews>
  <sheetFormatPr defaultRowHeight="14.4" x14ac:dyDescent="0.55000000000000004"/>
  <cols>
    <col min="1" max="1" width="11.68359375" bestFit="1" customWidth="1"/>
    <col min="2" max="3" width="9" bestFit="1" customWidth="1"/>
    <col min="4" max="5" width="9.578125" bestFit="1" customWidth="1"/>
    <col min="8" max="8" width="10.26171875" customWidth="1"/>
    <col min="9" max="9" width="9.578125" bestFit="1" customWidth="1"/>
    <col min="11" max="11" width="22.68359375" customWidth="1"/>
    <col min="12" max="12" width="11" bestFit="1" customWidth="1"/>
    <col min="14" max="14" width="9.15625" customWidth="1"/>
  </cols>
  <sheetData>
    <row r="1" spans="1:16" x14ac:dyDescent="0.55000000000000004">
      <c r="A1" s="25" t="s">
        <v>0</v>
      </c>
      <c r="B1" s="12">
        <f>CONVERT(23000, "ft", "m")</f>
        <v>7010.4</v>
      </c>
      <c r="C1" s="25" t="str">
        <f>"---&gt;"</f>
        <v>---&gt;</v>
      </c>
      <c r="D1" s="1" t="s">
        <v>1</v>
      </c>
      <c r="E1" s="4">
        <f>SQRT(2*9.81*(B1-500))*1.5</f>
        <v>536.09850587368737</v>
      </c>
      <c r="F1" s="10" t="s">
        <v>72</v>
      </c>
      <c r="G1" s="25"/>
      <c r="H1" s="25"/>
      <c r="I1" s="25"/>
      <c r="J1" s="25"/>
      <c r="K1" s="25"/>
      <c r="L1" s="25"/>
      <c r="M1" s="25"/>
      <c r="N1" s="25"/>
      <c r="O1" s="25"/>
      <c r="P1" s="25"/>
    </row>
    <row r="2" spans="1:16" x14ac:dyDescent="0.55000000000000004">
      <c r="A2" s="25" t="s">
        <v>2</v>
      </c>
      <c r="B2" s="12">
        <v>4</v>
      </c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</row>
    <row r="3" spans="1:16" ht="16.8" x14ac:dyDescent="0.75">
      <c r="A3" s="25" t="s">
        <v>3</v>
      </c>
      <c r="B3" s="13">
        <f>CONVERT(350,"psi","Pa")/1000</f>
        <v>2413.165052608927</v>
      </c>
      <c r="C3" s="25"/>
      <c r="D3" s="25" t="s">
        <v>4</v>
      </c>
      <c r="E3" s="25">
        <v>1311</v>
      </c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</row>
    <row r="4" spans="1:16" ht="16.8" x14ac:dyDescent="0.75">
      <c r="A4" s="1" t="s">
        <v>5</v>
      </c>
      <c r="B4" s="12">
        <v>10</v>
      </c>
      <c r="C4" s="25"/>
      <c r="D4" s="25" t="s">
        <v>6</v>
      </c>
      <c r="E4" s="4">
        <f>101.325*(1 - 0.0065*E3/288.16)^(-9.81/-0.0065/287)</f>
        <v>86.528880457303998</v>
      </c>
      <c r="F4" s="2" t="s">
        <v>7</v>
      </c>
      <c r="G4" s="25"/>
      <c r="H4" s="25"/>
      <c r="I4" s="25"/>
      <c r="J4" s="25"/>
      <c r="K4" s="25"/>
      <c r="L4" s="25"/>
      <c r="M4" s="25"/>
      <c r="N4" s="25"/>
      <c r="O4" s="25"/>
      <c r="P4" s="25"/>
    </row>
    <row r="5" spans="1:16" ht="16.8" x14ac:dyDescent="0.75">
      <c r="A5" s="1" t="s">
        <v>8</v>
      </c>
      <c r="B5" s="25">
        <v>0.9</v>
      </c>
      <c r="C5" s="25"/>
      <c r="D5" s="1" t="s">
        <v>9</v>
      </c>
      <c r="E5" s="4">
        <f>101.325*(1 - 0.0065*2/3*B1/288.16)^(-9.81/-0.0065/287)</f>
        <v>56.401942621880451</v>
      </c>
      <c r="F5" s="2" t="s">
        <v>10</v>
      </c>
      <c r="G5" s="25"/>
      <c r="H5" s="25"/>
      <c r="I5" s="25"/>
      <c r="J5" s="25"/>
      <c r="K5" s="25"/>
      <c r="L5" s="25"/>
      <c r="M5" s="25"/>
      <c r="N5" s="25"/>
      <c r="O5" s="25"/>
      <c r="P5" s="25"/>
    </row>
    <row r="6" spans="1:16" x14ac:dyDescent="0.55000000000000004">
      <c r="A6" s="1" t="s">
        <v>11</v>
      </c>
      <c r="B6" s="25">
        <v>0.9</v>
      </c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</row>
    <row r="7" spans="1:16" ht="16.8" x14ac:dyDescent="0.75">
      <c r="A7" s="1" t="s">
        <v>12</v>
      </c>
      <c r="B7" s="25">
        <f>19/30</f>
        <v>0.6333333333333333</v>
      </c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</row>
    <row r="9" spans="1:16" x14ac:dyDescent="0.55000000000000004">
      <c r="A9" s="1" t="s">
        <v>13</v>
      </c>
      <c r="B9" s="25">
        <v>1.2585999999999999</v>
      </c>
      <c r="C9" s="25"/>
      <c r="D9" s="25"/>
      <c r="E9" s="25"/>
      <c r="F9" s="25"/>
      <c r="G9" s="25"/>
      <c r="H9" s="25" t="s">
        <v>73</v>
      </c>
      <c r="I9" s="25"/>
      <c r="J9" s="25"/>
      <c r="K9" s="25"/>
      <c r="L9" s="25"/>
      <c r="M9" s="25"/>
      <c r="N9" s="25"/>
      <c r="O9" s="25"/>
      <c r="P9" s="25"/>
    </row>
    <row r="10" spans="1:16" x14ac:dyDescent="0.55000000000000004">
      <c r="A10" s="1" t="s">
        <v>15</v>
      </c>
      <c r="B10" s="25">
        <v>22.117999999999999</v>
      </c>
      <c r="C10" s="25" t="str">
        <f>"---&gt;"</f>
        <v>---&gt;</v>
      </c>
      <c r="D10" s="25" t="s">
        <v>16</v>
      </c>
      <c r="E10" s="25">
        <f>8314/B10</f>
        <v>375.89293787865091</v>
      </c>
      <c r="F10" s="25"/>
      <c r="G10" s="25"/>
      <c r="H10" s="4">
        <f>E244</f>
        <v>178.92828976583829</v>
      </c>
      <c r="I10" s="25"/>
      <c r="J10" s="25"/>
      <c r="K10" s="25"/>
      <c r="L10" s="25"/>
      <c r="M10" s="25"/>
      <c r="N10" s="6"/>
      <c r="O10" s="25"/>
      <c r="P10" s="25"/>
    </row>
    <row r="11" spans="1:16" ht="16.8" x14ac:dyDescent="0.75">
      <c r="A11" s="1" t="s">
        <v>17</v>
      </c>
      <c r="B11" s="25">
        <v>2591.1</v>
      </c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</row>
    <row r="12" spans="1:16" x14ac:dyDescent="0.55000000000000004">
      <c r="A12" s="1" t="s">
        <v>18</v>
      </c>
      <c r="B12" s="4">
        <f>B5*SQRT(B9*E10*B11)/B9/(2/(B9 + 1))^((B9 + 1)/(2*B9 - 2))</f>
        <v>1346.4489314165457</v>
      </c>
      <c r="C12" s="25"/>
      <c r="D12" s="25"/>
      <c r="E12" s="25"/>
      <c r="F12" s="25"/>
      <c r="G12" s="25"/>
      <c r="H12" s="25" t="s">
        <v>19</v>
      </c>
      <c r="I12" s="25"/>
      <c r="J12" s="25" t="s">
        <v>20</v>
      </c>
      <c r="K12" s="25"/>
      <c r="L12" s="25"/>
      <c r="M12" s="25" t="s">
        <v>21</v>
      </c>
      <c r="N12" s="25"/>
      <c r="O12" s="25"/>
      <c r="P12" s="10" t="s">
        <v>63</v>
      </c>
    </row>
    <row r="13" spans="1:16" ht="16.8" x14ac:dyDescent="0.75">
      <c r="A13" s="25"/>
      <c r="B13" s="25"/>
      <c r="C13" s="25"/>
      <c r="D13" s="9" t="s">
        <v>22</v>
      </c>
      <c r="E13" s="3" t="s">
        <v>23</v>
      </c>
      <c r="F13" s="25"/>
      <c r="G13" s="25"/>
      <c r="H13" s="1" t="s">
        <v>24</v>
      </c>
      <c r="I13" s="25">
        <f>0.2*B3</f>
        <v>482.63301052178542</v>
      </c>
      <c r="J13" s="25">
        <f>CONVERT(I13*1000, "Pa", "psi")</f>
        <v>70.000000000000014</v>
      </c>
      <c r="K13" s="25"/>
      <c r="L13" s="25"/>
      <c r="M13" s="1" t="s">
        <v>28</v>
      </c>
      <c r="N13" s="4">
        <f>C244</f>
        <v>4.2293874137003593</v>
      </c>
      <c r="O13" s="25" t="s">
        <v>64</v>
      </c>
      <c r="P13" s="25"/>
    </row>
    <row r="14" spans="1:16" ht="17.7" x14ac:dyDescent="0.75">
      <c r="A14" s="25" t="s">
        <v>26</v>
      </c>
      <c r="B14" s="25" t="s">
        <v>27</v>
      </c>
      <c r="C14" s="1" t="s">
        <v>28</v>
      </c>
      <c r="D14" s="1" t="s">
        <v>29</v>
      </c>
      <c r="E14" s="1" t="s">
        <v>29</v>
      </c>
      <c r="F14" s="25"/>
      <c r="G14" s="25"/>
      <c r="H14" s="1" t="s">
        <v>30</v>
      </c>
      <c r="I14" s="25">
        <v>0</v>
      </c>
      <c r="J14" s="2" t="s">
        <v>31</v>
      </c>
      <c r="K14" s="25"/>
      <c r="L14" s="25"/>
      <c r="M14" s="25" t="s">
        <v>25</v>
      </c>
      <c r="N14" s="25">
        <f>I26*B12/(B3*1000)</f>
        <v>1.1518151494207787E-3</v>
      </c>
      <c r="O14" s="17">
        <f>SQRT(N14/PI())*2</f>
        <v>3.8295386098948989E-2</v>
      </c>
      <c r="P14" s="10" t="s">
        <v>65</v>
      </c>
    </row>
    <row r="15" spans="1:16" ht="17.7" x14ac:dyDescent="0.75">
      <c r="A15" s="25">
        <v>29.5</v>
      </c>
      <c r="B15" s="4">
        <f>SQRT(2/($B$9-1)*((A15/$B$3)^((1-$B$9)/$B$9) - 1))</f>
        <v>3.3738163527830762</v>
      </c>
      <c r="C15" s="4">
        <f>1/B15*(2/($B$9+1)*(1 + ($B$9-1)/2*B15^2))^(($B$9+1)/(2*$B$9-2))</f>
        <v>9.0682198458190868</v>
      </c>
      <c r="D15" s="4">
        <f t="shared" ref="D15:D78" si="0">$B$6*$B$12/9.81*($B$9*SQRT(2/($B$9-1)*(2/($B$9+1))^(($B$9+1)/($B$9-1))*(1 - (A15/$B$3)^(($B$9-1)/$B$9))) + C15/$B$3*(A15 - $E$5))</f>
        <v>183.69063702094471</v>
      </c>
      <c r="E15" s="4">
        <f>$B$6*$B$12/9.81*($B$9*SQRT(2/($B$9-1)*(2/($B$9+1))^(($B$9+1)/($B$9-1))*(1 - (A15/$B$3)^(($B$9-1)/$B$9))) + C15/$B$3*(A15 - $E$4))</f>
        <v>169.70592934982247</v>
      </c>
      <c r="F15" s="25"/>
      <c r="G15" s="25"/>
      <c r="H15" s="1" t="s">
        <v>33</v>
      </c>
      <c r="I15" s="25">
        <f>0.5*B3/E10/B11*1^2</f>
        <v>1.2388213767809849E-3</v>
      </c>
      <c r="J15" s="2" t="s">
        <v>34</v>
      </c>
      <c r="K15" s="25"/>
      <c r="L15" s="25"/>
      <c r="M15" s="25" t="s">
        <v>32</v>
      </c>
      <c r="N15" s="25">
        <f>N14*N13</f>
        <v>4.8714724958696404E-3</v>
      </c>
      <c r="O15" s="17">
        <f>SQRT(N15/PI())*2</f>
        <v>7.8756278624824122E-2</v>
      </c>
      <c r="P15" s="10" t="s">
        <v>66</v>
      </c>
    </row>
    <row r="16" spans="1:16" ht="16.8" x14ac:dyDescent="0.75">
      <c r="A16" s="25">
        <v>29.75</v>
      </c>
      <c r="B16" s="4">
        <f t="shared" ref="B16:B79" si="1">SQRT(2/($B$9-1)*((A16/$B$3)^((1-$B$9)/$B$9) - 1))</f>
        <v>3.3689047440232009</v>
      </c>
      <c r="C16" s="4">
        <f t="shared" ref="C16:C79" si="2">1/B16*(2/($B$9+1)*(1 + ($B$9-1)/2*B16^2))^(($B$9+1)/(2*$B$9-2))</f>
        <v>9.0129363951993753</v>
      </c>
      <c r="D16" s="4">
        <f t="shared" si="0"/>
        <v>183.76641403774755</v>
      </c>
      <c r="E16" s="4">
        <f t="shared" ref="E16:E79" si="3">$B$6*$B$12/9.81*($B$9*SQRT(2/($B$9-1)*(2/($B$9+1))^(($B$9+1)/($B$9-1))*(1 - (A16/$B$3)^(($B$9-1)/$B$9))) + C16/$B$3*(A16 - $E$4))</f>
        <v>169.86696266930792</v>
      </c>
      <c r="F16" s="25"/>
      <c r="G16" s="25"/>
      <c r="H16" s="1" t="s">
        <v>36</v>
      </c>
      <c r="I16" s="15">
        <f>B3+I13+I14+I15</f>
        <v>2895.7993019520891</v>
      </c>
      <c r="J16" s="4">
        <f>CONVERT(I16*1000, "Pa", "psi")</f>
        <v>420.00017967585001</v>
      </c>
      <c r="K16" s="25"/>
      <c r="L16" s="25"/>
      <c r="M16" s="25"/>
      <c r="N16" s="25"/>
      <c r="O16" s="25"/>
      <c r="P16" s="25"/>
    </row>
    <row r="17" spans="1:19" x14ac:dyDescent="0.55000000000000004">
      <c r="A17" s="25">
        <v>30</v>
      </c>
      <c r="B17" s="4">
        <f t="shared" si="1"/>
        <v>3.3640355764241252</v>
      </c>
      <c r="C17" s="4">
        <f t="shared" si="2"/>
        <v>8.9584636260983128</v>
      </c>
      <c r="D17" s="4">
        <f t="shared" si="0"/>
        <v>183.84038274509706</v>
      </c>
      <c r="E17" s="4">
        <f t="shared" si="3"/>
        <v>170.02493747320858</v>
      </c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1:19" x14ac:dyDescent="0.55000000000000004">
      <c r="A18" s="25">
        <v>30.25</v>
      </c>
      <c r="B18" s="4">
        <f t="shared" si="1"/>
        <v>3.3592081259673567</v>
      </c>
      <c r="C18" s="4">
        <f t="shared" si="2"/>
        <v>8.904783016662444</v>
      </c>
      <c r="D18" s="4">
        <f t="shared" si="0"/>
        <v>183.91258880614126</v>
      </c>
      <c r="E18" s="4">
        <f t="shared" si="3"/>
        <v>170.17992798846012</v>
      </c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</row>
    <row r="19" spans="1:19" ht="16.8" x14ac:dyDescent="0.75">
      <c r="A19" s="25">
        <v>30.5</v>
      </c>
      <c r="B19" s="4">
        <f t="shared" si="1"/>
        <v>3.3544216868767442</v>
      </c>
      <c r="C19" s="4">
        <f t="shared" si="2"/>
        <v>8.8518766171078997</v>
      </c>
      <c r="D19" s="4">
        <f t="shared" si="0"/>
        <v>183.98307641075414</v>
      </c>
      <c r="E19" s="4">
        <f t="shared" si="3"/>
        <v>170.33200608649747</v>
      </c>
      <c r="F19" s="25"/>
      <c r="G19" s="25"/>
      <c r="H19" s="25" t="s">
        <v>37</v>
      </c>
      <c r="I19" s="25"/>
      <c r="J19" s="25"/>
      <c r="K19" s="25" t="s">
        <v>38</v>
      </c>
      <c r="L19" s="3" t="s">
        <v>74</v>
      </c>
      <c r="M19" s="25"/>
      <c r="N19" s="25"/>
      <c r="O19" s="25"/>
      <c r="P19" s="25"/>
      <c r="Q19" s="25"/>
      <c r="R19" s="25"/>
      <c r="S19" s="25"/>
    </row>
    <row r="20" spans="1:19" ht="17.7" x14ac:dyDescent="0.75">
      <c r="A20" s="25">
        <v>30.75</v>
      </c>
      <c r="B20" s="4">
        <f t="shared" si="1"/>
        <v>3.3496755710132011</v>
      </c>
      <c r="C20" s="4">
        <f t="shared" si="2"/>
        <v>8.7997270275313451</v>
      </c>
      <c r="D20" s="4">
        <f t="shared" si="0"/>
        <v>184.05188833409886</v>
      </c>
      <c r="E20" s="4">
        <f t="shared" si="3"/>
        <v>170.48124137603719</v>
      </c>
      <c r="F20" s="25"/>
      <c r="G20" s="25"/>
      <c r="H20" s="25" t="s">
        <v>39</v>
      </c>
      <c r="I20" s="13">
        <f>CONVERT(60, "lbm", "kg")</f>
        <v>27.215542200000002</v>
      </c>
      <c r="J20" s="25"/>
      <c r="K20" s="25" t="s">
        <v>40</v>
      </c>
      <c r="L20" s="12">
        <v>400</v>
      </c>
      <c r="M20" s="10" t="s">
        <v>41</v>
      </c>
      <c r="N20" s="25"/>
      <c r="O20" s="25"/>
      <c r="P20" s="25"/>
      <c r="Q20" s="25"/>
      <c r="R20" s="25"/>
      <c r="S20" s="25"/>
    </row>
    <row r="21" spans="1:19" ht="17.7" x14ac:dyDescent="0.75">
      <c r="A21" s="25">
        <v>31</v>
      </c>
      <c r="B21" s="4">
        <f t="shared" si="1"/>
        <v>3.3449691072942636</v>
      </c>
      <c r="C21" s="4">
        <f t="shared" si="2"/>
        <v>8.7483173767541018</v>
      </c>
      <c r="D21" s="4">
        <f t="shared" si="0"/>
        <v>184.11906599242076</v>
      </c>
      <c r="E21" s="4">
        <f t="shared" si="3"/>
        <v>170.62770129149641</v>
      </c>
      <c r="F21" s="25"/>
      <c r="G21" s="25"/>
      <c r="H21" s="25" t="s">
        <v>42</v>
      </c>
      <c r="I21" s="4">
        <f>I20*EXP(E1/H10/9.81)</f>
        <v>36.93677198681101</v>
      </c>
      <c r="J21" s="25"/>
      <c r="K21" s="25" t="s">
        <v>43</v>
      </c>
      <c r="L21" s="20">
        <f>I28/1/L20</f>
        <v>4.1286676394381014E-3</v>
      </c>
      <c r="M21" s="4">
        <f>L21*100^2</f>
        <v>41.286676394381011</v>
      </c>
      <c r="N21" s="25" t="s">
        <v>44</v>
      </c>
      <c r="O21" s="25" t="s">
        <v>67</v>
      </c>
      <c r="P21" s="25"/>
      <c r="Q21" s="25"/>
      <c r="R21" s="25"/>
      <c r="S21" s="25"/>
    </row>
    <row r="22" spans="1:19" ht="16.8" x14ac:dyDescent="0.75">
      <c r="A22" s="25">
        <v>31.25</v>
      </c>
      <c r="B22" s="4">
        <f t="shared" si="1"/>
        <v>3.3403016411372644</v>
      </c>
      <c r="C22" s="4">
        <f t="shared" si="2"/>
        <v>8.6976313021432432</v>
      </c>
      <c r="D22" s="4">
        <f t="shared" si="0"/>
        <v>184.1846494962229</v>
      </c>
      <c r="E22" s="4">
        <f t="shared" si="3"/>
        <v>170.7714511772877</v>
      </c>
      <c r="F22" s="25"/>
      <c r="G22" s="25"/>
      <c r="H22" s="25" t="s">
        <v>45</v>
      </c>
      <c r="I22" s="7">
        <f>I21-I20</f>
        <v>9.7212297868110085</v>
      </c>
      <c r="J22" s="25"/>
      <c r="K22" s="25" t="s">
        <v>46</v>
      </c>
      <c r="L22" s="16">
        <f>2*SQRT(L21/PI())</f>
        <v>7.2503675117892935E-2</v>
      </c>
      <c r="M22" s="4">
        <f>L22*100</f>
        <v>7.2503675117892934</v>
      </c>
      <c r="N22" s="25" t="s">
        <v>47</v>
      </c>
      <c r="O22" s="8">
        <f>CONVERT(L22, "m", "in")</f>
        <v>2.8544753983422413</v>
      </c>
      <c r="P22" s="4"/>
      <c r="Q22" s="25"/>
      <c r="R22" s="25"/>
      <c r="S22" s="25"/>
    </row>
    <row r="23" spans="1:19" ht="16.8" x14ac:dyDescent="0.75">
      <c r="A23" s="25">
        <v>31.5</v>
      </c>
      <c r="B23" s="4">
        <f t="shared" si="1"/>
        <v>3.3356725339249911</v>
      </c>
      <c r="C23" s="4">
        <f t="shared" si="2"/>
        <v>8.6476529303572143</v>
      </c>
      <c r="D23" s="4">
        <f t="shared" si="0"/>
        <v>184.24867770096591</v>
      </c>
      <c r="E23" s="4">
        <f t="shared" si="3"/>
        <v>170.91255436821208</v>
      </c>
      <c r="F23" s="25"/>
      <c r="G23" s="25"/>
      <c r="H23" s="25" t="s">
        <v>48</v>
      </c>
      <c r="I23" s="14">
        <f>I22/(1+B2)</f>
        <v>1.9442459573622017</v>
      </c>
      <c r="J23" s="25"/>
      <c r="K23" s="25" t="s">
        <v>49</v>
      </c>
      <c r="L23" s="17">
        <f>(I27*PI()^(0.5-1)/(0.155/1000*(4*I26)^0.5*900)*L22^(2*0.5-1))^(1/(0+1))</f>
        <v>0.58108654545580174</v>
      </c>
      <c r="M23" s="4">
        <f>L23*100</f>
        <v>58.108654545580173</v>
      </c>
      <c r="N23" s="25" t="s">
        <v>47</v>
      </c>
      <c r="O23" s="8">
        <f>CONVERT(L23, "m", "in")</f>
        <v>22.877423049441013</v>
      </c>
      <c r="P23" s="10" t="s">
        <v>68</v>
      </c>
      <c r="Q23" s="25"/>
      <c r="R23" s="25"/>
      <c r="S23" s="25"/>
    </row>
    <row r="24" spans="1:19" ht="16.8" x14ac:dyDescent="0.75">
      <c r="A24" s="25">
        <v>31.75</v>
      </c>
      <c r="B24" s="4">
        <f t="shared" si="1"/>
        <v>3.3310811624927492</v>
      </c>
      <c r="C24" s="4">
        <f t="shared" si="2"/>
        <v>8.5983668589667648</v>
      </c>
      <c r="D24" s="4">
        <f t="shared" si="0"/>
        <v>184.31118825542529</v>
      </c>
      <c r="E24" s="4">
        <f t="shared" si="3"/>
        <v>171.0510722661603</v>
      </c>
      <c r="F24" s="25"/>
      <c r="G24" s="25"/>
      <c r="H24" s="25" t="s">
        <v>51</v>
      </c>
      <c r="I24" s="14">
        <f>I22-I23</f>
        <v>7.776983829448807</v>
      </c>
      <c r="J24" s="25"/>
      <c r="K24" s="25" t="s">
        <v>52</v>
      </c>
      <c r="L24" s="17">
        <f>SQRT(4*I23/PI()/L23/900/1 + L22^2)</f>
        <v>9.9951163500923826E-2</v>
      </c>
      <c r="M24" s="4">
        <f t="shared" ref="M24:M25" si="4">L24*100</f>
        <v>9.995116350092383</v>
      </c>
      <c r="N24" s="25" t="s">
        <v>47</v>
      </c>
      <c r="O24" s="8">
        <f t="shared" ref="O24:O25" si="5">CONVERT(L24, "m", "in")</f>
        <v>3.9350851772017252</v>
      </c>
      <c r="P24" s="25"/>
      <c r="Q24" s="25"/>
      <c r="R24" s="25"/>
      <c r="S24" s="25"/>
    </row>
    <row r="25" spans="1:19" ht="16.8" x14ac:dyDescent="0.75">
      <c r="A25" s="25">
        <v>32</v>
      </c>
      <c r="B25" s="4">
        <f t="shared" si="1"/>
        <v>3.3265269186357904</v>
      </c>
      <c r="C25" s="4">
        <f t="shared" si="2"/>
        <v>8.5497581389045738</v>
      </c>
      <c r="D25" s="4">
        <f t="shared" si="0"/>
        <v>184.37221764783249</v>
      </c>
      <c r="E25" s="4">
        <f t="shared" si="3"/>
        <v>171.18706441331926</v>
      </c>
      <c r="F25" s="25"/>
      <c r="G25" s="25"/>
      <c r="H25" s="25" t="s">
        <v>53</v>
      </c>
      <c r="I25" s="7">
        <f>I20/I21</f>
        <v>0.7368143109451426</v>
      </c>
      <c r="J25" s="25"/>
      <c r="K25" s="25" t="s">
        <v>54</v>
      </c>
      <c r="L25" s="17">
        <f>(L24-L22)/2</f>
        <v>1.3723744191515445E-2</v>
      </c>
      <c r="M25" s="4">
        <f t="shared" si="4"/>
        <v>1.3723744191515446</v>
      </c>
      <c r="N25" s="25" t="s">
        <v>47</v>
      </c>
      <c r="O25" s="4">
        <f t="shared" si="5"/>
        <v>0.54030488942974197</v>
      </c>
      <c r="P25" s="25"/>
      <c r="Q25" s="25"/>
      <c r="R25" s="25"/>
      <c r="S25" s="25"/>
    </row>
    <row r="26" spans="1:19" ht="16.8" x14ac:dyDescent="0.75">
      <c r="A26" s="25">
        <v>32.25</v>
      </c>
      <c r="B26" s="4">
        <f t="shared" si="1"/>
        <v>3.322009208636183</v>
      </c>
      <c r="C26" s="4">
        <f t="shared" si="2"/>
        <v>8.5018122577004203</v>
      </c>
      <c r="D26" s="4">
        <f t="shared" si="0"/>
        <v>184.4318012499167</v>
      </c>
      <c r="E26" s="4">
        <f t="shared" si="3"/>
        <v>171.32058856206805</v>
      </c>
      <c r="F26" s="25"/>
      <c r="G26" s="25"/>
      <c r="H26" s="25" t="s">
        <v>55</v>
      </c>
      <c r="I26" s="14">
        <f>B4*I21/H10</f>
        <v>2.0643338197190508</v>
      </c>
      <c r="J26" s="25"/>
      <c r="K26" s="25" t="s">
        <v>69</v>
      </c>
      <c r="L26" s="25"/>
      <c r="M26" s="25">
        <v>0</v>
      </c>
      <c r="N26" s="25"/>
      <c r="O26" s="25"/>
      <c r="P26" s="25"/>
      <c r="Q26" s="25"/>
      <c r="R26" s="25"/>
      <c r="S26" s="25"/>
    </row>
    <row r="27" spans="1:19" ht="16.8" x14ac:dyDescent="0.75">
      <c r="A27" s="25">
        <v>32.5</v>
      </c>
      <c r="B27" s="4">
        <f t="shared" si="1"/>
        <v>3.3175274528081737</v>
      </c>
      <c r="C27" s="4">
        <f t="shared" si="2"/>
        <v>8.4545151234606521</v>
      </c>
      <c r="D27" s="4">
        <f t="shared" si="0"/>
        <v>184.48997335895854</v>
      </c>
      <c r="E27" s="4">
        <f t="shared" si="3"/>
        <v>171.45170074173791</v>
      </c>
      <c r="F27" s="25"/>
      <c r="G27" s="25"/>
      <c r="H27" s="25" t="s">
        <v>57</v>
      </c>
      <c r="I27" s="8">
        <f>I26/(1 + B2)</f>
        <v>0.41286676394381017</v>
      </c>
      <c r="J27" s="25"/>
      <c r="K27" s="25"/>
      <c r="L27" s="10" t="s">
        <v>70</v>
      </c>
      <c r="M27" s="19"/>
      <c r="N27" s="25"/>
      <c r="O27" s="25"/>
      <c r="P27" s="25"/>
      <c r="Q27" s="25"/>
      <c r="R27" s="25"/>
      <c r="S27" s="25"/>
    </row>
    <row r="28" spans="1:19" ht="16.8" x14ac:dyDescent="0.75">
      <c r="A28" s="25">
        <v>32.75</v>
      </c>
      <c r="B28" s="4">
        <f t="shared" si="1"/>
        <v>3.3130810850612122</v>
      </c>
      <c r="C28" s="4">
        <f t="shared" si="2"/>
        <v>8.4078530495536921</v>
      </c>
      <c r="D28" s="4">
        <f t="shared" si="0"/>
        <v>184.54676723795913</v>
      </c>
      <c r="E28" s="4">
        <f t="shared" si="3"/>
        <v>171.58045532239908</v>
      </c>
      <c r="F28" s="25"/>
      <c r="G28" s="25"/>
      <c r="H28" s="25" t="s">
        <v>58</v>
      </c>
      <c r="I28" s="7">
        <f>I26-I27</f>
        <v>1.6514670557752407</v>
      </c>
      <c r="J28" s="25"/>
      <c r="K28" s="25"/>
      <c r="L28" s="25"/>
      <c r="M28" s="25"/>
      <c r="N28" s="25"/>
      <c r="O28" s="25"/>
      <c r="P28" s="25"/>
      <c r="Q28" s="25"/>
      <c r="R28" s="25"/>
      <c r="S28" s="25"/>
    </row>
    <row r="29" spans="1:19" x14ac:dyDescent="0.55000000000000004">
      <c r="A29" s="25">
        <v>33</v>
      </c>
      <c r="B29" s="4">
        <f t="shared" si="1"/>
        <v>3.3086695524798015</v>
      </c>
      <c r="C29" s="4">
        <f t="shared" si="2"/>
        <v>8.3618127399651385</v>
      </c>
      <c r="D29" s="4">
        <f t="shared" si="0"/>
        <v>184.6022151540229</v>
      </c>
      <c r="E29" s="4">
        <f t="shared" si="3"/>
        <v>171.70690507582799</v>
      </c>
      <c r="F29" s="25"/>
      <c r="G29" s="25"/>
      <c r="H29" s="1"/>
      <c r="I29" s="7"/>
      <c r="J29" s="25"/>
      <c r="K29" s="25"/>
      <c r="L29" s="25"/>
      <c r="M29" s="25"/>
      <c r="N29" s="25"/>
      <c r="O29" s="25"/>
      <c r="P29" s="25"/>
      <c r="Q29" s="25"/>
      <c r="R29" s="25"/>
      <c r="S29" s="7"/>
    </row>
    <row r="30" spans="1:19" x14ac:dyDescent="0.55000000000000004">
      <c r="A30" s="25">
        <v>33.25</v>
      </c>
      <c r="B30" s="4">
        <f t="shared" si="1"/>
        <v>3.3042923149194174</v>
      </c>
      <c r="C30" s="4">
        <f t="shared" si="2"/>
        <v>8.3163812752884994</v>
      </c>
      <c r="D30" s="4">
        <f t="shared" si="0"/>
        <v>184.65634841504598</v>
      </c>
      <c r="E30" s="4">
        <f t="shared" si="3"/>
        <v>171.83110123380061</v>
      </c>
      <c r="F30" s="25"/>
      <c r="G30" s="25"/>
      <c r="H30" s="25"/>
      <c r="I30" s="25"/>
      <c r="J30" s="25"/>
      <c r="K30" s="4"/>
      <c r="L30" s="25"/>
      <c r="M30" s="4"/>
      <c r="N30" s="4"/>
      <c r="O30" s="25"/>
      <c r="P30" s="25"/>
      <c r="Q30" s="25"/>
      <c r="R30" s="25"/>
      <c r="S30" s="25"/>
    </row>
    <row r="31" spans="1:19" x14ac:dyDescent="0.55000000000000004">
      <c r="A31" s="25">
        <v>33.5</v>
      </c>
      <c r="B31" s="4">
        <f t="shared" si="1"/>
        <v>3.2999488446177572</v>
      </c>
      <c r="C31" s="4">
        <f t="shared" si="2"/>
        <v>8.2715460993194387</v>
      </c>
      <c r="D31" s="4">
        <f t="shared" si="0"/>
        <v>184.70919740479644</v>
      </c>
      <c r="E31" s="4">
        <f t="shared" si="3"/>
        <v>171.95309354384668</v>
      </c>
      <c r="F31" s="25"/>
      <c r="G31" s="25"/>
      <c r="H31" s="21" t="s">
        <v>75</v>
      </c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</row>
    <row r="32" spans="1:19" x14ac:dyDescent="0.55000000000000004">
      <c r="A32" s="25">
        <v>33.75</v>
      </c>
      <c r="B32" s="4">
        <f t="shared" si="1"/>
        <v>3.2956386258206369</v>
      </c>
      <c r="C32" s="4">
        <f t="shared" si="2"/>
        <v>8.2272950062231249</v>
      </c>
      <c r="D32" s="4">
        <f t="shared" si="0"/>
        <v>184.76079161646899</v>
      </c>
      <c r="E32" s="4">
        <f t="shared" si="3"/>
        <v>172.07293032259432</v>
      </c>
      <c r="F32" s="25"/>
      <c r="G32" s="25"/>
      <c r="H32" s="25" t="s">
        <v>37</v>
      </c>
      <c r="I32" s="25"/>
      <c r="J32" s="25"/>
      <c r="K32" s="25" t="s">
        <v>38</v>
      </c>
      <c r="L32" s="25" t="s">
        <v>76</v>
      </c>
      <c r="M32" s="25"/>
      <c r="N32" s="25"/>
      <c r="O32" s="25"/>
      <c r="P32" s="25"/>
      <c r="Q32" s="25"/>
      <c r="R32" s="25"/>
      <c r="S32" s="25"/>
    </row>
    <row r="33" spans="1:15" ht="17.7" x14ac:dyDescent="0.75">
      <c r="A33" s="25">
        <v>34</v>
      </c>
      <c r="B33" s="4">
        <f t="shared" si="1"/>
        <v>3.291361154421871</v>
      </c>
      <c r="C33" s="4">
        <f t="shared" si="2"/>
        <v>8.1836161282462747</v>
      </c>
      <c r="D33" s="4">
        <f t="shared" si="0"/>
        <v>184.81115968479034</v>
      </c>
      <c r="E33" s="4">
        <f t="shared" si="3"/>
        <v>172.19065850682534</v>
      </c>
      <c r="F33" s="25"/>
      <c r="G33" s="25"/>
      <c r="H33" s="25" t="s">
        <v>39</v>
      </c>
      <c r="I33" s="13">
        <f>I20</f>
        <v>27.215542200000002</v>
      </c>
      <c r="J33" s="25"/>
      <c r="K33" s="25" t="s">
        <v>40</v>
      </c>
      <c r="L33" s="12">
        <v>694.28255734229344</v>
      </c>
      <c r="M33" s="10" t="s">
        <v>41</v>
      </c>
      <c r="N33" s="25"/>
      <c r="O33" s="25"/>
    </row>
    <row r="34" spans="1:15" ht="17.7" x14ac:dyDescent="0.75">
      <c r="A34" s="25">
        <v>34.25</v>
      </c>
      <c r="B34" s="4">
        <f t="shared" si="1"/>
        <v>3.2871159376165124</v>
      </c>
      <c r="C34" s="4">
        <f t="shared" si="2"/>
        <v>8.1404979239467963</v>
      </c>
      <c r="D34" s="4">
        <f t="shared" si="0"/>
        <v>184.86032941674756</v>
      </c>
      <c r="E34" s="4">
        <f t="shared" si="3"/>
        <v>172.30632370235583</v>
      </c>
      <c r="F34" s="25"/>
      <c r="G34" s="25"/>
      <c r="H34" s="25" t="s">
        <v>42</v>
      </c>
      <c r="I34" s="4">
        <f>I33+I35</f>
        <v>37.215542200000002</v>
      </c>
      <c r="J34" s="25"/>
      <c r="K34" s="25" t="s">
        <v>43</v>
      </c>
      <c r="L34" s="20">
        <f>I41/1/L33</f>
        <v>2.3966194100580466E-3</v>
      </c>
      <c r="M34" s="4">
        <f>L34*100^2</f>
        <v>23.966194100580466</v>
      </c>
      <c r="N34" s="25" t="s">
        <v>44</v>
      </c>
      <c r="O34" s="25" t="s">
        <v>67</v>
      </c>
    </row>
    <row r="35" spans="1:15" ht="16.8" x14ac:dyDescent="0.75">
      <c r="A35" s="25">
        <v>34.5</v>
      </c>
      <c r="B35" s="4">
        <f t="shared" si="1"/>
        <v>3.2829024935668807</v>
      </c>
      <c r="C35" s="4">
        <f t="shared" si="2"/>
        <v>8.0979291669159164</v>
      </c>
      <c r="D35" s="4">
        <f t="shared" si="0"/>
        <v>184.90832782100873</v>
      </c>
      <c r="E35" s="4">
        <f t="shared" si="3"/>
        <v>172.4199702308488</v>
      </c>
      <c r="F35" s="25"/>
      <c r="G35" s="25"/>
      <c r="H35" s="25" t="s">
        <v>45</v>
      </c>
      <c r="I35" s="7">
        <f>I36+I37</f>
        <v>10</v>
      </c>
      <c r="J35" s="25"/>
      <c r="K35" s="25" t="s">
        <v>46</v>
      </c>
      <c r="L35" s="16">
        <f>2*SQRT(L34/PI())</f>
        <v>5.5240117727660222E-2</v>
      </c>
      <c r="M35" s="4">
        <f>L35*100</f>
        <v>5.5240117727660225</v>
      </c>
      <c r="N35" s="25" t="s">
        <v>47</v>
      </c>
      <c r="O35" s="8">
        <f>CONVERT(L35, "m", "in")</f>
        <v>2.1748077845535523</v>
      </c>
    </row>
    <row r="36" spans="1:15" ht="16.8" x14ac:dyDescent="0.75">
      <c r="A36" s="25">
        <v>34.75</v>
      </c>
      <c r="B36" s="4">
        <f t="shared" si="1"/>
        <v>3.2787203510807905</v>
      </c>
      <c r="C36" s="4">
        <f t="shared" si="2"/>
        <v>8.0558989349683667</v>
      </c>
      <c r="D36" s="4">
        <f t="shared" si="0"/>
        <v>184.95518113609927</v>
      </c>
      <c r="E36" s="4">
        <f t="shared" si="3"/>
        <v>172.53164117466139</v>
      </c>
      <c r="F36" s="25"/>
      <c r="G36" s="25"/>
      <c r="H36" s="25" t="s">
        <v>48</v>
      </c>
      <c r="I36" s="14">
        <f>I37/B2</f>
        <v>2</v>
      </c>
      <c r="J36" s="25"/>
      <c r="K36" s="25" t="s">
        <v>49</v>
      </c>
      <c r="L36" s="17">
        <f>(I40*PI()^(0.5-1)/(0.155/1000*(4*I39)^0.5*900)*L35^(2*0.5-1))^(1/(0+1))</f>
        <v>0.58327521972683338</v>
      </c>
      <c r="M36" s="4">
        <f>L36*100</f>
        <v>58.327521972683336</v>
      </c>
      <c r="N36" s="25" t="s">
        <v>47</v>
      </c>
      <c r="O36" s="8">
        <f t="shared" ref="O36:O38" si="6">CONVERT(L36, "m", "in")</f>
        <v>22.963591327828084</v>
      </c>
    </row>
    <row r="37" spans="1:15" ht="16.8" x14ac:dyDescent="0.75">
      <c r="A37" s="25">
        <v>35</v>
      </c>
      <c r="B37" s="4">
        <f t="shared" si="1"/>
        <v>3.2745690493014741</v>
      </c>
      <c r="C37" s="4">
        <f t="shared" si="2"/>
        <v>8.0143965997783599</v>
      </c>
      <c r="D37" s="4">
        <f t="shared" si="0"/>
        <v>185.00091485739662</v>
      </c>
      <c r="E37" s="4">
        <f t="shared" si="3"/>
        <v>172.64137841982219</v>
      </c>
      <c r="F37" s="25"/>
      <c r="G37" s="25"/>
      <c r="H37" s="25" t="s">
        <v>51</v>
      </c>
      <c r="I37" s="22">
        <v>8</v>
      </c>
      <c r="J37" s="25"/>
      <c r="K37" s="25" t="s">
        <v>52</v>
      </c>
      <c r="L37" s="17">
        <f>SQRT(4*I36/PI()/L36/900/1 + L35^2)</f>
        <v>8.8895389262920219E-2</v>
      </c>
      <c r="M37" s="4">
        <f t="shared" ref="M37:M38" si="7">L37*100</f>
        <v>8.8895389262920226</v>
      </c>
      <c r="N37" s="25" t="s">
        <v>47</v>
      </c>
      <c r="O37" s="8">
        <f t="shared" si="6"/>
        <v>3.4998184749181185</v>
      </c>
    </row>
    <row r="38" spans="1:15" ht="16.8" x14ac:dyDescent="0.75">
      <c r="A38" s="25">
        <v>35.25</v>
      </c>
      <c r="B38" s="4">
        <f t="shared" si="1"/>
        <v>3.2704481374086809</v>
      </c>
      <c r="C38" s="4">
        <f t="shared" si="2"/>
        <v>7.9734118169398442</v>
      </c>
      <c r="D38" s="4">
        <f t="shared" si="0"/>
        <v>185.04555376299803</v>
      </c>
      <c r="E38" s="4">
        <f t="shared" si="3"/>
        <v>172.74922269722822</v>
      </c>
      <c r="F38" s="25"/>
      <c r="G38" s="25"/>
      <c r="H38" s="25" t="s">
        <v>53</v>
      </c>
      <c r="I38" s="7">
        <f>I33/I34</f>
        <v>0.73129506091140595</v>
      </c>
      <c r="J38" s="25"/>
      <c r="K38" s="25" t="s">
        <v>54</v>
      </c>
      <c r="L38" s="17">
        <f>(L37-L35)/2</f>
        <v>1.6827635767629998E-2</v>
      </c>
      <c r="M38" s="4">
        <f t="shared" si="7"/>
        <v>1.6827635767629998</v>
      </c>
      <c r="N38" s="25" t="s">
        <v>47</v>
      </c>
      <c r="O38" s="4">
        <f t="shared" si="6"/>
        <v>0.66250534518228343</v>
      </c>
    </row>
    <row r="39" spans="1:15" ht="16.8" x14ac:dyDescent="0.75">
      <c r="A39" s="25">
        <v>35.5</v>
      </c>
      <c r="B39" s="4">
        <f t="shared" si="1"/>
        <v>3.2663571743304733</v>
      </c>
      <c r="C39" s="4">
        <f t="shared" si="2"/>
        <v>7.9329345164305733</v>
      </c>
      <c r="D39" s="4">
        <f t="shared" si="0"/>
        <v>185.08912193851887</v>
      </c>
      <c r="E39" s="4">
        <f t="shared" si="3"/>
        <v>172.85521362214891</v>
      </c>
      <c r="F39" s="25"/>
      <c r="G39" s="25"/>
      <c r="H39" s="25" t="s">
        <v>55</v>
      </c>
      <c r="I39" s="14">
        <f>B4*I34/H10</f>
        <v>2.0799138162390989</v>
      </c>
      <c r="J39" s="25"/>
      <c r="K39" s="25"/>
      <c r="L39" s="10" t="s">
        <v>70</v>
      </c>
      <c r="M39" s="25"/>
      <c r="N39" s="25"/>
      <c r="O39" s="25"/>
    </row>
    <row r="40" spans="1:15" ht="16.8" x14ac:dyDescent="0.75">
      <c r="A40" s="25">
        <v>35.75</v>
      </c>
      <c r="B40" s="4">
        <f t="shared" si="1"/>
        <v>3.2622957284652796</v>
      </c>
      <c r="C40" s="4">
        <f t="shared" si="2"/>
        <v>7.8929548934612601</v>
      </c>
      <c r="D40" s="4">
        <f t="shared" si="0"/>
        <v>185.13164280087125</v>
      </c>
      <c r="E40" s="4">
        <f t="shared" si="3"/>
        <v>172.95938973211699</v>
      </c>
      <c r="F40" s="25"/>
      <c r="G40" s="25"/>
      <c r="H40" s="25" t="s">
        <v>57</v>
      </c>
      <c r="I40" s="8">
        <f>I39/(1 + B2)</f>
        <v>0.4159827632478198</v>
      </c>
      <c r="J40" s="25"/>
      <c r="K40" s="25"/>
      <c r="L40" s="25"/>
      <c r="M40" s="19"/>
      <c r="N40" s="25"/>
      <c r="O40" s="25"/>
    </row>
    <row r="41" spans="1:15" ht="16.8" x14ac:dyDescent="0.75">
      <c r="A41" s="25">
        <v>36</v>
      </c>
      <c r="B41" s="4">
        <f t="shared" si="1"/>
        <v>3.2582633774137344</v>
      </c>
      <c r="C41" s="4">
        <f t="shared" si="2"/>
        <v>7.8534633996912433</v>
      </c>
      <c r="D41" s="4">
        <f t="shared" si="0"/>
        <v>185.17313912107073</v>
      </c>
      <c r="E41" s="4">
        <f t="shared" si="3"/>
        <v>173.06178852328208</v>
      </c>
      <c r="F41" s="25"/>
      <c r="G41" s="25"/>
      <c r="H41" s="25" t="s">
        <v>58</v>
      </c>
      <c r="I41" s="7">
        <f>I39-I40</f>
        <v>1.6639310529912792</v>
      </c>
      <c r="J41" s="25"/>
      <c r="K41" s="25"/>
      <c r="L41" s="25"/>
      <c r="M41" s="25"/>
      <c r="N41" s="25"/>
      <c r="O41" s="25"/>
    </row>
    <row r="42" spans="1:15" x14ac:dyDescent="0.55000000000000004">
      <c r="A42" s="25">
        <v>36.25</v>
      </c>
      <c r="B42" s="4">
        <f t="shared" si="1"/>
        <v>3.2542597077199487</v>
      </c>
      <c r="C42" s="4">
        <f t="shared" si="2"/>
        <v>7.8144507347940566</v>
      </c>
      <c r="D42" s="4">
        <f t="shared" si="0"/>
        <v>185.21363304611927</v>
      </c>
      <c r="E42" s="4">
        <f t="shared" si="3"/>
        <v>173.1624464853009</v>
      </c>
      <c r="F42" s="25"/>
      <c r="G42" s="25"/>
      <c r="H42" s="25"/>
      <c r="I42" s="25"/>
      <c r="J42" s="25"/>
      <c r="K42" s="25"/>
      <c r="L42" s="25"/>
      <c r="M42" s="25"/>
      <c r="N42" s="25"/>
      <c r="O42" s="25"/>
    </row>
    <row r="43" spans="1:15" x14ac:dyDescent="0.55000000000000004">
      <c r="A43" s="25">
        <v>36.5</v>
      </c>
      <c r="B43" s="4">
        <f t="shared" si="1"/>
        <v>3.2502843146217644</v>
      </c>
      <c r="C43" s="4">
        <f t="shared" si="2"/>
        <v>7.77590783835615</v>
      </c>
      <c r="D43" s="4">
        <f t="shared" si="0"/>
        <v>185.25314612000599</v>
      </c>
      <c r="E43" s="4">
        <f t="shared" si="3"/>
        <v>173.26139913483172</v>
      </c>
      <c r="F43" s="25"/>
      <c r="G43" s="25"/>
      <c r="H43" s="25"/>
      <c r="I43" s="25"/>
      <c r="J43" s="25"/>
      <c r="K43" s="25"/>
      <c r="L43" s="25"/>
      <c r="M43" s="25"/>
      <c r="N43" s="25"/>
      <c r="O43" s="25"/>
    </row>
    <row r="44" spans="1:15" x14ac:dyDescent="0.55000000000000004">
      <c r="A44" s="25">
        <v>36.75</v>
      </c>
      <c r="B44" s="4">
        <f t="shared" si="1"/>
        <v>3.2463368018096523</v>
      </c>
      <c r="C44" s="4">
        <f t="shared" si="2"/>
        <v>7.737825882093853</v>
      </c>
      <c r="D44" s="4">
        <f t="shared" si="0"/>
        <v>185.29169930386769</v>
      </c>
      <c r="E44" s="4">
        <f t="shared" si="3"/>
        <v>173.35868104769727</v>
      </c>
      <c r="F44" s="25"/>
      <c r="G44" s="25"/>
      <c r="H44" s="25"/>
      <c r="I44" s="25"/>
      <c r="J44" s="25"/>
      <c r="K44" s="25"/>
      <c r="L44" s="25"/>
      <c r="M44" s="25"/>
      <c r="N44" s="25"/>
      <c r="O44" s="25"/>
    </row>
    <row r="45" spans="1:15" x14ac:dyDescent="0.55000000000000004">
      <c r="A45" s="25">
        <v>37</v>
      </c>
      <c r="B45" s="4">
        <f t="shared" si="1"/>
        <v>3.2424167811938904</v>
      </c>
      <c r="C45" s="4">
        <f t="shared" si="2"/>
        <v>7.7001962623736748</v>
      </c>
      <c r="D45" s="4">
        <f t="shared" si="0"/>
        <v>185.32931299534798</v>
      </c>
      <c r="E45" s="4">
        <f t="shared" si="3"/>
        <v>173.45432588977926</v>
      </c>
      <c r="F45" s="25"/>
      <c r="G45" s="25"/>
      <c r="H45" s="25"/>
      <c r="I45" s="25"/>
      <c r="J45" s="25"/>
      <c r="K45" s="25"/>
      <c r="L45" s="25"/>
      <c r="M45" s="25"/>
      <c r="N45" s="25"/>
      <c r="O45" s="25"/>
    </row>
    <row r="46" spans="1:15" x14ac:dyDescent="0.55000000000000004">
      <c r="A46" s="25">
        <v>37.25</v>
      </c>
      <c r="B46" s="4">
        <f t="shared" si="1"/>
        <v>3.2385238726796817</v>
      </c>
      <c r="C46" s="4">
        <f t="shared" si="2"/>
        <v>7.6630105930224417</v>
      </c>
      <c r="D46" s="4">
        <f t="shared" si="0"/>
        <v>185.36600704719206</v>
      </c>
      <c r="E46" s="4">
        <f t="shared" si="3"/>
        <v>173.54836644670084</v>
      </c>
      <c r="F46" s="25"/>
      <c r="G46" s="25"/>
      <c r="H46" s="25"/>
      <c r="I46" s="25"/>
      <c r="J46" s="25"/>
      <c r="K46" s="25"/>
      <c r="L46" s="25"/>
      <c r="M46" s="25"/>
      <c r="N46" s="25"/>
      <c r="O46" s="25"/>
    </row>
    <row r="47" spans="1:15" x14ac:dyDescent="0.55000000000000004">
      <c r="A47" s="25">
        <v>37.5</v>
      </c>
      <c r="B47" s="4">
        <f t="shared" si="1"/>
        <v>3.2346577039498907</v>
      </c>
      <c r="C47" s="4">
        <f t="shared" si="2"/>
        <v>7.6262606984139625</v>
      </c>
      <c r="D47" s="4">
        <f t="shared" si="0"/>
        <v>185.40180078511199</v>
      </c>
      <c r="E47" s="4">
        <f t="shared" si="3"/>
        <v>173.64083465235336</v>
      </c>
      <c r="F47" s="25"/>
      <c r="G47" s="25"/>
      <c r="H47" s="25"/>
      <c r="I47" s="25"/>
      <c r="J47" s="25"/>
      <c r="K47" s="25"/>
      <c r="L47" s="25"/>
      <c r="M47" s="25"/>
      <c r="N47" s="25"/>
      <c r="O47" s="25"/>
    </row>
    <row r="48" spans="1:15" x14ac:dyDescent="0.55000000000000004">
      <c r="A48" s="25">
        <v>37.75</v>
      </c>
      <c r="B48" s="4">
        <f t="shared" si="1"/>
        <v>3.2308179102550896</v>
      </c>
      <c r="C48" s="4">
        <f t="shared" si="2"/>
        <v>7.5899386068198531</v>
      </c>
      <c r="D48" s="4">
        <f t="shared" si="0"/>
        <v>185.43671302495542</v>
      </c>
      <c r="E48" s="4">
        <f t="shared" si="3"/>
        <v>173.73176161631949</v>
      </c>
      <c r="F48" s="25"/>
      <c r="G48" s="25"/>
      <c r="H48" s="25"/>
      <c r="I48" s="25"/>
      <c r="J48" s="25"/>
      <c r="K48" s="25"/>
      <c r="L48" s="25"/>
      <c r="M48" s="25"/>
      <c r="N48" s="25"/>
      <c r="O48" s="25"/>
    </row>
    <row r="49" spans="1:5" x14ac:dyDescent="0.55000000000000004">
      <c r="A49" s="25">
        <v>38</v>
      </c>
      <c r="B49" s="4">
        <f t="shared" si="1"/>
        <v>3.2270041342106328</v>
      </c>
      <c r="C49" s="4">
        <f t="shared" si="2"/>
        <v>7.5540365440129937</v>
      </c>
      <c r="D49" s="4">
        <f t="shared" si="0"/>
        <v>185.47076208920973</v>
      </c>
      <c r="E49" s="4">
        <f t="shared" si="3"/>
        <v>173.82117765024157</v>
      </c>
    </row>
    <row r="50" spans="1:5" x14ac:dyDescent="0.55000000000000004">
      <c r="A50" s="25">
        <v>38.25</v>
      </c>
      <c r="B50" s="4">
        <f t="shared" si="1"/>
        <v>3.2232160256004554</v>
      </c>
      <c r="C50" s="4">
        <f t="shared" si="2"/>
        <v>7.5185469271119896</v>
      </c>
      <c r="D50" s="4">
        <f t="shared" si="0"/>
        <v>185.50396582287104</v>
      </c>
      <c r="E50" s="4">
        <f t="shared" si="3"/>
        <v>173.90911229318377</v>
      </c>
    </row>
    <row r="51" spans="1:5" x14ac:dyDescent="0.55000000000000004">
      <c r="A51" s="25">
        <v>38.5</v>
      </c>
      <c r="B51" s="4">
        <f t="shared" si="1"/>
        <v>3.2194532411873618</v>
      </c>
      <c r="C51" s="4">
        <f t="shared" si="2"/>
        <v>7.4834623586564941</v>
      </c>
      <c r="D51" s="4">
        <f t="shared" si="0"/>
        <v>185.53634160870644</v>
      </c>
      <c r="E51" s="4">
        <f t="shared" si="3"/>
        <v>173.99559433603099</v>
      </c>
    </row>
    <row r="52" spans="1:5" x14ac:dyDescent="0.55000000000000004">
      <c r="A52" s="25">
        <v>38.75</v>
      </c>
      <c r="B52" s="4">
        <f t="shared" si="1"/>
        <v>3.2157154445295215</v>
      </c>
      <c r="C52" s="4">
        <f t="shared" si="2"/>
        <v>7.4487756209030245</v>
      </c>
      <c r="D52" s="4">
        <f t="shared" si="0"/>
        <v>185.56790638193644</v>
      </c>
      <c r="E52" s="4">
        <f t="shared" si="3"/>
        <v>174.08065184496817</v>
      </c>
    </row>
    <row r="53" spans="1:5" x14ac:dyDescent="0.55000000000000004">
      <c r="A53" s="25">
        <v>39</v>
      </c>
      <c r="B53" s="4">
        <f t="shared" si="1"/>
        <v>3.2120023058029497</v>
      </c>
      <c r="C53" s="4">
        <f t="shared" si="2"/>
        <v>7.4144796703317288</v>
      </c>
      <c r="D53" s="4">
        <f t="shared" si="0"/>
        <v>185.59867664436311</v>
      </c>
      <c r="E53" s="4">
        <f t="shared" si="3"/>
        <v>174.16431218407996</v>
      </c>
    </row>
    <row r="54" spans="1:5" x14ac:dyDescent="0.55000000000000004">
      <c r="A54" s="25">
        <v>39.25</v>
      </c>
      <c r="B54" s="4">
        <f t="shared" si="1"/>
        <v>3.2083135016297248</v>
      </c>
      <c r="C54" s="4">
        <f t="shared" si="2"/>
        <v>7.3805676323551515</v>
      </c>
      <c r="D54" s="4">
        <f t="shared" si="0"/>
        <v>185.62866847796829</v>
      </c>
      <c r="E54" s="4">
        <f t="shared" si="3"/>
        <v>174.2466020371088</v>
      </c>
    </row>
    <row r="55" spans="1:5" x14ac:dyDescent="0.55000000000000004">
      <c r="A55" s="25">
        <v>39.5</v>
      </c>
      <c r="B55" s="4">
        <f t="shared" si="1"/>
        <v>3.2046487149117366</v>
      </c>
      <c r="C55" s="4">
        <f t="shared" si="2"/>
        <v>7.3470327962201427</v>
      </c>
      <c r="D55" s="4">
        <f t="shared" si="0"/>
        <v>185.65789755800446</v>
      </c>
      <c r="E55" s="4">
        <f t="shared" si="3"/>
        <v>174.32754742840785</v>
      </c>
    </row>
    <row r="56" spans="1:5" x14ac:dyDescent="0.55000000000000004">
      <c r="A56" s="25">
        <v>39.75</v>
      </c>
      <c r="B56" s="4">
        <f t="shared" si="1"/>
        <v>3.2010076346697449</v>
      </c>
      <c r="C56" s="4">
        <f t="shared" si="2"/>
        <v>7.3138686100948691</v>
      </c>
      <c r="D56" s="4">
        <f t="shared" si="0"/>
        <v>185.68637916560098</v>
      </c>
      <c r="E56" s="4">
        <f t="shared" si="3"/>
        <v>174.40717374312425</v>
      </c>
    </row>
    <row r="57" spans="1:5" x14ac:dyDescent="0.55000000000000004">
      <c r="A57" s="25">
        <v>40</v>
      </c>
      <c r="B57" s="4">
        <f t="shared" si="1"/>
        <v>3.1973899558875449</v>
      </c>
      <c r="C57" s="4">
        <f t="shared" si="2"/>
        <v>7.2810686763329233</v>
      </c>
      <c r="D57" s="4">
        <f t="shared" si="0"/>
        <v>185.7141281999057</v>
      </c>
      <c r="E57" s="4">
        <f t="shared" si="3"/>
        <v>174.48550574664361</v>
      </c>
    </row>
    <row r="58" spans="1:5" x14ac:dyDescent="0.55000000000000004">
      <c r="A58" s="25">
        <v>40.25</v>
      </c>
      <c r="B58" s="4">
        <f t="shared" si="1"/>
        <v>3.1937953793610556</v>
      </c>
      <c r="C58" s="4">
        <f t="shared" si="2"/>
        <v>7.2486267469072629</v>
      </c>
      <c r="D58" s="4">
        <f t="shared" si="0"/>
        <v>185.74115918978208</v>
      </c>
      <c r="E58" s="4">
        <f t="shared" si="3"/>
        <v>174.56256760332946</v>
      </c>
    </row>
    <row r="59" spans="1:5" x14ac:dyDescent="0.55000000000000004">
      <c r="A59" s="25">
        <v>40.5</v>
      </c>
      <c r="B59" s="4">
        <f t="shared" si="1"/>
        <v>3.1902236115521356</v>
      </c>
      <c r="C59" s="4">
        <f t="shared" si="2"/>
        <v>7.2165367190066458</v>
      </c>
      <c r="D59" s="4">
        <f t="shared" si="0"/>
        <v>185.76748630508095</v>
      </c>
      <c r="E59" s="4">
        <f t="shared" si="3"/>
        <v>174.6383828945855</v>
      </c>
    </row>
    <row r="60" spans="1:5" x14ac:dyDescent="0.55000000000000004">
      <c r="A60" s="25">
        <v>40.75</v>
      </c>
      <c r="B60" s="4">
        <f t="shared" si="1"/>
        <v>3.1866743644469562</v>
      </c>
      <c r="C60" s="4">
        <f t="shared" si="2"/>
        <v>7.1847926307880892</v>
      </c>
      <c r="D60" s="4">
        <f t="shared" si="0"/>
        <v>185.79312336750473</v>
      </c>
      <c r="E60" s="4">
        <f t="shared" si="3"/>
        <v>174.71297463627059</v>
      </c>
    </row>
    <row r="61" spans="1:5" x14ac:dyDescent="0.55000000000000004">
      <c r="A61" s="25">
        <v>41</v>
      </c>
      <c r="B61" s="4">
        <f t="shared" si="1"/>
        <v>3.1831473554187637</v>
      </c>
      <c r="C61" s="4">
        <f t="shared" si="2"/>
        <v>7.1533886572786827</v>
      </c>
      <c r="D61" s="4">
        <f t="shared" si="0"/>
        <v>185.81808386108057</v>
      </c>
      <c r="E61" s="4">
        <f t="shared" si="3"/>
        <v>174.78636529549166</v>
      </c>
    </row>
    <row r="62" spans="1:5" x14ac:dyDescent="0.55000000000000004">
      <c r="A62" s="25">
        <v>41.25</v>
      </c>
      <c r="B62" s="4">
        <f t="shared" si="1"/>
        <v>3.1796423070948601</v>
      </c>
      <c r="C62" s="4">
        <f t="shared" si="2"/>
        <v>7.1223191064206883</v>
      </c>
      <c r="D62" s="4">
        <f t="shared" si="0"/>
        <v>185.84238094225944</v>
      </c>
      <c r="E62" s="4">
        <f t="shared" si="3"/>
        <v>174.85857680680232</v>
      </c>
    </row>
    <row r="63" spans="1:5" x14ac:dyDescent="0.55000000000000004">
      <c r="A63" s="25">
        <v>41.5</v>
      </c>
      <c r="B63" s="4">
        <f t="shared" si="1"/>
        <v>3.1761589472276639</v>
      </c>
      <c r="C63" s="4">
        <f t="shared" si="2"/>
        <v>7.0915784152542063</v>
      </c>
      <c r="D63" s="4">
        <f t="shared" si="0"/>
        <v>185.8660274496568</v>
      </c>
      <c r="E63" s="4">
        <f t="shared" si="3"/>
        <v>174.92963058783013</v>
      </c>
    </row>
    <row r="64" spans="1:5" x14ac:dyDescent="0.55000000000000004">
      <c r="A64" s="25">
        <v>41.75</v>
      </c>
      <c r="B64" s="4">
        <f t="shared" si="1"/>
        <v>3.172697008569684</v>
      </c>
      <c r="C64" s="4">
        <f t="shared" si="2"/>
        <v>7.0611611462316244</v>
      </c>
      <c r="D64" s="4">
        <f t="shared" si="0"/>
        <v>185.88903591344868</v>
      </c>
      <c r="E64" s="4">
        <f t="shared" si="3"/>
        <v>174.9995475543565</v>
      </c>
    </row>
    <row r="65" spans="1:5" x14ac:dyDescent="0.55000000000000004">
      <c r="A65" s="25">
        <v>42</v>
      </c>
      <c r="B65" s="4">
        <f t="shared" si="1"/>
        <v>3.1692562287522761</v>
      </c>
      <c r="C65" s="4">
        <f t="shared" si="2"/>
        <v>7.0310619836587005</v>
      </c>
      <c r="D65" s="4">
        <f t="shared" si="0"/>
        <v>185.91141856443792</v>
      </c>
      <c r="E65" s="4">
        <f t="shared" si="3"/>
        <v>175.06834813487157</v>
      </c>
    </row>
    <row r="66" spans="1:5" x14ac:dyDescent="0.55000000000000004">
      <c r="A66" s="25">
        <v>42.25</v>
      </c>
      <c r="B66" s="4">
        <f t="shared" si="1"/>
        <v>3.1658363501680453</v>
      </c>
      <c r="C66" s="4">
        <f t="shared" si="2"/>
        <v>7.0012757302571167</v>
      </c>
      <c r="D66" s="4">
        <f t="shared" si="0"/>
        <v>185.93318734280425</v>
      </c>
      <c r="E66" s="4">
        <f t="shared" si="3"/>
        <v>175.13605228462512</v>
      </c>
    </row>
    <row r="67" spans="1:5" x14ac:dyDescent="0.55000000000000004">
      <c r="A67" s="25">
        <v>42.5</v>
      </c>
      <c r="B67" s="4">
        <f t="shared" si="1"/>
        <v>3.1624371198567598</v>
      </c>
      <c r="C67" s="4">
        <f t="shared" si="2"/>
        <v>6.9717973038437009</v>
      </c>
      <c r="D67" s="4">
        <f t="shared" si="0"/>
        <v>185.95435390655027</v>
      </c>
      <c r="E67" s="4">
        <f t="shared" si="3"/>
        <v>175.20267949919409</v>
      </c>
    </row>
    <row r="68" spans="1:5" x14ac:dyDescent="0.55000000000000004">
      <c r="A68" s="25">
        <v>42.75</v>
      </c>
      <c r="B68" s="4">
        <f t="shared" si="1"/>
        <v>3.1590582893946499</v>
      </c>
      <c r="C68" s="4">
        <f t="shared" si="2"/>
        <v>6.9426217341216976</v>
      </c>
      <c r="D68" s="4">
        <f t="shared" si="0"/>
        <v>185.97492963965593</v>
      </c>
      <c r="E68" s="4">
        <f t="shared" si="3"/>
        <v>175.26824882758501</v>
      </c>
    </row>
    <row r="69" spans="1:5" x14ac:dyDescent="0.55000000000000004">
      <c r="A69" s="25">
        <v>43</v>
      </c>
      <c r="B69" s="4">
        <f t="shared" si="1"/>
        <v>3.1556996147869838</v>
      </c>
      <c r="C69" s="4">
        <f t="shared" si="2"/>
        <v>6.9137441595796663</v>
      </c>
      <c r="D69" s="4">
        <f t="shared" si="0"/>
        <v>185.99492565995357</v>
      </c>
      <c r="E69" s="4">
        <f t="shared" si="3"/>
        <v>175.33277888489189</v>
      </c>
    </row>
    <row r="70" spans="1:5" x14ac:dyDescent="0.55000000000000004">
      <c r="A70" s="25">
        <v>43.25</v>
      </c>
      <c r="B70" s="4">
        <f t="shared" si="1"/>
        <v>3.1523608563637904</v>
      </c>
      <c r="C70" s="4">
        <f t="shared" si="2"/>
        <v>6.8851598244938117</v>
      </c>
      <c r="D70" s="4">
        <f t="shared" si="0"/>
        <v>186.01435282673378</v>
      </c>
      <c r="E70" s="4">
        <f t="shared" si="3"/>
        <v>175.39628786452465</v>
      </c>
    </row>
    <row r="71" spans="1:5" x14ac:dyDescent="0.55000000000000004">
      <c r="A71" s="25">
        <v>43.5</v>
      </c>
      <c r="B71" s="4">
        <f t="shared" si="1"/>
        <v>3.1490417786786229</v>
      </c>
      <c r="C71" s="4">
        <f t="shared" si="2"/>
        <v>6.8568640760296438</v>
      </c>
      <c r="D71" s="4">
        <f t="shared" si="0"/>
        <v>186.03322174809344</v>
      </c>
      <c r="E71" s="4">
        <f t="shared" si="3"/>
        <v>175.45879355002708</v>
      </c>
    </row>
    <row r="72" spans="1:5" x14ac:dyDescent="0.55000000000000004">
      <c r="A72" s="25">
        <v>43.75</v>
      </c>
      <c r="B72" s="4">
        <f t="shared" si="1"/>
        <v>3.1457421504102734</v>
      </c>
      <c r="C72" s="4">
        <f t="shared" si="2"/>
        <v>6.8288523614393064</v>
      </c>
      <c r="D72" s="4">
        <f t="shared" si="0"/>
        <v>186.0515427880355</v>
      </c>
      <c r="E72" s="4">
        <f t="shared" si="3"/>
        <v>175.52031332649884</v>
      </c>
    </row>
    <row r="73" spans="1:5" x14ac:dyDescent="0.55000000000000004">
      <c r="A73" s="25">
        <v>44</v>
      </c>
      <c r="B73" s="4">
        <f t="shared" si="1"/>
        <v>3.1424617442673037</v>
      </c>
      <c r="C73" s="4">
        <f t="shared" si="2"/>
        <v>6.8011202253506369</v>
      </c>
      <c r="D73" s="4">
        <f t="shared" si="0"/>
        <v>186.06932607333107</v>
      </c>
      <c r="E73" s="4">
        <f t="shared" si="3"/>
        <v>175.58086419163803</v>
      </c>
    </row>
    <row r="74" spans="1:5" x14ac:dyDescent="0.55000000000000004">
      <c r="A74" s="25">
        <v>44.25</v>
      </c>
      <c r="B74" s="4">
        <f t="shared" si="1"/>
        <v>3.1392003368953318</v>
      </c>
      <c r="C74" s="4">
        <f t="shared" si="2"/>
        <v>6.773663307144691</v>
      </c>
      <c r="D74" s="4">
        <f t="shared" si="0"/>
        <v>186.08658150015185</v>
      </c>
      <c r="E74" s="4">
        <f t="shared" si="3"/>
        <v>175.64046276641824</v>
      </c>
    </row>
    <row r="75" spans="1:5" x14ac:dyDescent="0.55000000000000004">
      <c r="A75" s="25">
        <v>44.5</v>
      </c>
      <c r="B75" s="4">
        <f t="shared" si="1"/>
        <v>3.135957708786957</v>
      </c>
      <c r="C75" s="4">
        <f t="shared" si="2"/>
        <v>6.7464773384182282</v>
      </c>
      <c r="D75" s="4">
        <f t="shared" si="0"/>
        <v>186.10331874048305</v>
      </c>
      <c r="E75" s="4">
        <f t="shared" si="3"/>
        <v>175.69912530541447</v>
      </c>
    </row>
    <row r="76" spans="1:5" x14ac:dyDescent="0.55000000000000004">
      <c r="A76" s="25">
        <v>44.75</v>
      </c>
      <c r="B76" s="4">
        <f t="shared" si="1"/>
        <v>3.1327336441942366</v>
      </c>
      <c r="C76" s="4">
        <f t="shared" si="2"/>
        <v>6.7195581405279494</v>
      </c>
      <c r="D76" s="4">
        <f t="shared" si="0"/>
        <v>186.11954724832407</v>
      </c>
      <c r="E76" s="4">
        <f t="shared" si="3"/>
        <v>175.75686770679104</v>
      </c>
    </row>
    <row r="77" spans="1:5" x14ac:dyDescent="0.55000000000000004">
      <c r="A77" s="25">
        <v>45</v>
      </c>
      <c r="B77" s="4">
        <f t="shared" si="1"/>
        <v>3.1295279310436372</v>
      </c>
      <c r="C77" s="4">
        <f t="shared" si="2"/>
        <v>6.6929016222134772</v>
      </c>
      <c r="D77" s="4">
        <f t="shared" si="0"/>
        <v>186.13527626568612</v>
      </c>
      <c r="E77" s="4">
        <f t="shared" si="3"/>
        <v>175.81370552196526</v>
      </c>
    </row>
    <row r="78" spans="1:5" x14ac:dyDescent="0.55000000000000004">
      <c r="A78" s="25">
        <v>45.25</v>
      </c>
      <c r="B78" s="4">
        <f t="shared" si="1"/>
        <v>3.1263403608533675</v>
      </c>
      <c r="C78" s="4">
        <f t="shared" si="2"/>
        <v>6.6665037772961036</v>
      </c>
      <c r="D78" s="4">
        <f t="shared" si="0"/>
        <v>186.15051482839357</v>
      </c>
      <c r="E78" s="4">
        <f t="shared" si="3"/>
        <v>175.86965396495722</v>
      </c>
    </row>
    <row r="79" spans="1:5" x14ac:dyDescent="0.55000000000000004">
      <c r="A79" s="25">
        <v>45.5</v>
      </c>
      <c r="B79" s="4">
        <f t="shared" si="1"/>
        <v>3.1231707286530237</v>
      </c>
      <c r="C79" s="4">
        <f t="shared" si="2"/>
        <v>6.6403606824504493</v>
      </c>
      <c r="D79" s="4">
        <f t="shared" ref="D79:D142" si="8">$B$6*$B$12/9.81*($B$9*SQRT(2/($B$9-1)*(2/($B$9+1))^(($B$9+1)/($B$9-1))*(1 - (A79/$B$3)^(($B$9-1)/$B$9))) + C79/$B$3*(A79 - $E$5))</f>
        <v>186.16527177169701</v>
      </c>
      <c r="E79" s="4">
        <f t="shared" si="3"/>
        <v>175.92472792143977</v>
      </c>
    </row>
    <row r="80" spans="1:5" x14ac:dyDescent="0.55000000000000004">
      <c r="A80" s="25">
        <v>45.75</v>
      </c>
      <c r="B80" s="4">
        <f t="shared" ref="B80:B143" si="9">SQRT(2/($B$9-1)*((A80/$B$3)^((1-$B$9)/$B$9) - 1))</f>
        <v>3.1200188329054539</v>
      </c>
      <c r="C80" s="4">
        <f t="shared" ref="C80:C143" si="10">1/B80*(2/($B$9+1)*(1 + ($B$9-1)/2*B80^2))^(($B$9+1)/(2*$B$9-2))</f>
        <v>6.6144684950463928</v>
      </c>
      <c r="D80" s="4">
        <f t="shared" si="8"/>
        <v>186.17955573570541</v>
      </c>
      <c r="E80" s="4">
        <f t="shared" ref="E80:E143" si="11">$B$6*$B$12/9.81*($B$9*SQRT(2/($B$9-1)*(2/($B$9+1))^(($B$9+1)/($B$9-1))*(1 - (A80/$B$3)^(($B$9-1)/$B$9))) + C80/$B$3*(A80 - $E$4))</f>
        <v>175.97894195749848</v>
      </c>
    </row>
    <row r="81" spans="1:5" x14ac:dyDescent="0.55000000000000004">
      <c r="A81" s="25">
        <v>46</v>
      </c>
      <c r="B81" s="4">
        <f t="shared" si="9"/>
        <v>3.1168844754307852</v>
      </c>
      <c r="C81" s="4">
        <f t="shared" si="10"/>
        <v>6.5888234510585928</v>
      </c>
      <c r="D81" s="4">
        <f t="shared" si="8"/>
        <v>186.1933751706429</v>
      </c>
      <c r="E81" s="4">
        <f t="shared" si="11"/>
        <v>176.03231032811246</v>
      </c>
    </row>
    <row r="82" spans="1:5" x14ac:dyDescent="0.55000000000000004">
      <c r="A82" s="25">
        <v>46.25</v>
      </c>
      <c r="B82" s="4">
        <f t="shared" si="9"/>
        <v>3.1137674613325403</v>
      </c>
      <c r="C82" s="4">
        <f t="shared" si="10"/>
        <v>6.5634218630413406</v>
      </c>
      <c r="D82" s="4">
        <f t="shared" si="8"/>
        <v>186.20673834193823</v>
      </c>
      <c r="E82" s="4">
        <f t="shared" si="11"/>
        <v>176.08484698536682</v>
      </c>
    </row>
    <row r="83" spans="1:5" x14ac:dyDescent="0.55000000000000004">
      <c r="A83" s="25">
        <v>46.5</v>
      </c>
      <c r="B83" s="4">
        <f t="shared" si="9"/>
        <v>3.1106675989257595</v>
      </c>
      <c r="C83" s="4">
        <f t="shared" si="10"/>
        <v>6.5382601181660691</v>
      </c>
      <c r="D83" s="4">
        <f t="shared" si="8"/>
        <v>186.21965333515192</v>
      </c>
      <c r="E83" s="4">
        <f t="shared" si="11"/>
        <v>176.13656558640639</v>
      </c>
    </row>
    <row r="84" spans="1:5" x14ac:dyDescent="0.55000000000000004">
      <c r="A84" s="25">
        <v>46.75</v>
      </c>
      <c r="B84" s="4">
        <f t="shared" si="9"/>
        <v>3.10758469966708</v>
      </c>
      <c r="C84" s="4">
        <f t="shared" si="10"/>
        <v>6.5133346763194435</v>
      </c>
      <c r="D84" s="4">
        <f t="shared" si="8"/>
        <v>186.23212806074798</v>
      </c>
      <c r="E84" s="4">
        <f t="shared" si="11"/>
        <v>176.18747950114047</v>
      </c>
    </row>
    <row r="85" spans="1:5" x14ac:dyDescent="0.55000000000000004">
      <c r="A85" s="25">
        <v>47</v>
      </c>
      <c r="B85" s="4">
        <f t="shared" si="9"/>
        <v>3.1045185780867044</v>
      </c>
      <c r="C85" s="4">
        <f t="shared" si="10"/>
        <v>6.4886420682598844</v>
      </c>
      <c r="D85" s="4">
        <f t="shared" si="8"/>
        <v>186.24417025871509</v>
      </c>
      <c r="E85" s="4">
        <f t="shared" si="11"/>
        <v>176.23760181970695</v>
      </c>
    </row>
    <row r="86" spans="1:5" x14ac:dyDescent="0.55000000000000004">
      <c r="A86" s="25">
        <v>47.25</v>
      </c>
      <c r="B86" s="4">
        <f t="shared" si="9"/>
        <v>3.1014690517221961</v>
      </c>
      <c r="C86" s="4">
        <f t="shared" si="10"/>
        <v>6.4641788938302511</v>
      </c>
      <c r="D86" s="4">
        <f t="shared" si="8"/>
        <v>186.25578750304319</v>
      </c>
      <c r="E86" s="4">
        <f t="shared" si="11"/>
        <v>176.2869453597053</v>
      </c>
    </row>
    <row r="87" spans="1:5" x14ac:dyDescent="0.55000000000000004">
      <c r="A87" s="25">
        <v>47.5</v>
      </c>
      <c r="B87" s="4">
        <f t="shared" si="9"/>
        <v>3.0984359410540412</v>
      </c>
      <c r="C87" s="4">
        <f t="shared" si="10"/>
        <v>6.4399418202248562</v>
      </c>
      <c r="D87" s="4">
        <f t="shared" si="8"/>
        <v>186.26698720606075</v>
      </c>
      <c r="E87" s="4">
        <f t="shared" si="11"/>
        <v>176.33552267320627</v>
      </c>
    </row>
    <row r="88" spans="1:5" x14ac:dyDescent="0.55000000000000004">
      <c r="A88" s="25">
        <v>47.75</v>
      </c>
      <c r="B88" s="4">
        <f t="shared" si="9"/>
        <v>3.09541906944292</v>
      </c>
      <c r="C88" s="4">
        <f t="shared" si="10"/>
        <v>6.4159275803087628</v>
      </c>
      <c r="D88" s="4">
        <f t="shared" si="8"/>
        <v>186.27777662263767</v>
      </c>
      <c r="E88" s="4">
        <f t="shared" si="11"/>
        <v>176.38334605354683</v>
      </c>
    </row>
    <row r="89" spans="1:5" x14ac:dyDescent="0.55000000000000004">
      <c r="A89" s="25">
        <v>48</v>
      </c>
      <c r="B89" s="4">
        <f t="shared" si="9"/>
        <v>3.0924182630686485</v>
      </c>
      <c r="C89" s="4">
        <f t="shared" si="10"/>
        <v>6.3921329709876478</v>
      </c>
      <c r="D89" s="4">
        <f t="shared" si="8"/>
        <v>186.28816285425833</v>
      </c>
      <c r="E89" s="4">
        <f t="shared" si="11"/>
        <v>176.43042754191711</v>
      </c>
    </row>
    <row r="90" spans="1:5" x14ac:dyDescent="0.55000000000000004">
      <c r="A90" s="25">
        <v>48.25</v>
      </c>
      <c r="B90" s="4">
        <f t="shared" si="9"/>
        <v>3.0894333508707139</v>
      </c>
      <c r="C90" s="4">
        <f t="shared" si="10"/>
        <v>6.3685548516263042</v>
      </c>
      <c r="D90" s="4">
        <f t="shared" si="8"/>
        <v>186.29815285296996</v>
      </c>
      <c r="E90" s="4">
        <f t="shared" si="11"/>
        <v>176.47677893374774</v>
      </c>
    </row>
    <row r="91" spans="1:5" x14ac:dyDescent="0.55000000000000004">
      <c r="A91" s="25">
        <v>48.5</v>
      </c>
      <c r="B91" s="4">
        <f t="shared" si="9"/>
        <v>3.0864641644903679</v>
      </c>
      <c r="C91" s="4">
        <f t="shared" si="10"/>
        <v>6.3451901425142303</v>
      </c>
      <c r="D91" s="4">
        <f t="shared" si="8"/>
        <v>186.30775342521045</v>
      </c>
      <c r="E91" s="4">
        <f t="shared" si="11"/>
        <v>176.52241178490388</v>
      </c>
    </row>
    <row r="92" spans="1:5" x14ac:dyDescent="0.55000000000000004">
      <c r="A92" s="25">
        <v>48.75</v>
      </c>
      <c r="B92" s="4">
        <f t="shared" si="9"/>
        <v>3.0835105382142349</v>
      </c>
      <c r="C92" s="4">
        <f t="shared" si="10"/>
        <v>6.3220358233765506</v>
      </c>
      <c r="D92" s="4">
        <f t="shared" si="8"/>
        <v>186.31697123551967</v>
      </c>
      <c r="E92" s="4">
        <f t="shared" si="11"/>
        <v>176.5673374176931</v>
      </c>
    </row>
    <row r="93" spans="1:5" x14ac:dyDescent="0.55000000000000004">
      <c r="A93" s="25">
        <v>49</v>
      </c>
      <c r="B93" s="4">
        <f t="shared" si="9"/>
        <v>3.0805723089193733</v>
      </c>
      <c r="C93" s="4">
        <f t="shared" si="10"/>
        <v>6.2990889319288526</v>
      </c>
      <c r="D93" s="4">
        <f t="shared" si="8"/>
        <v>186.32581281013893</v>
      </c>
      <c r="E93" s="4">
        <f t="shared" si="11"/>
        <v>176.61156692669346</v>
      </c>
    </row>
    <row r="94" spans="1:5" x14ac:dyDescent="0.55000000000000004">
      <c r="A94" s="25">
        <v>49.25</v>
      </c>
      <c r="B94" s="4">
        <f t="shared" si="9"/>
        <v>3.0776493160197487</v>
      </c>
      <c r="C94" s="4">
        <f t="shared" si="10"/>
        <v>6.2763465624741643</v>
      </c>
      <c r="D94" s="4">
        <f t="shared" si="8"/>
        <v>186.3342845405021</v>
      </c>
      <c r="E94" s="4">
        <f t="shared" si="11"/>
        <v>176.65511118440821</v>
      </c>
    </row>
    <row r="95" spans="1:5" x14ac:dyDescent="0.55000000000000004">
      <c r="A95" s="25">
        <v>49.5</v>
      </c>
      <c r="B95" s="4">
        <f t="shared" si="9"/>
        <v>3.0747414014140926</v>
      </c>
      <c r="C95" s="4">
        <f t="shared" si="10"/>
        <v>6.2538058645410155</v>
      </c>
      <c r="D95" s="4">
        <f t="shared" si="8"/>
        <v>186.34239268662213</v>
      </c>
      <c r="E95" s="4">
        <f t="shared" si="11"/>
        <v>176.69798084675278</v>
      </c>
    </row>
    <row r="96" spans="1:5" x14ac:dyDescent="0.55000000000000004">
      <c r="A96" s="25">
        <v>49.75</v>
      </c>
      <c r="B96" s="4">
        <f t="shared" si="9"/>
        <v>3.0718484094350802</v>
      </c>
      <c r="C96" s="4">
        <f t="shared" si="10"/>
        <v>6.2314640415608284</v>
      </c>
      <c r="D96" s="4">
        <f t="shared" si="8"/>
        <v>186.35014338037701</v>
      </c>
      <c r="E96" s="4">
        <f t="shared" si="11"/>
        <v>176.74018635838041</v>
      </c>
    </row>
    <row r="97" spans="1:5" x14ac:dyDescent="0.55000000000000004">
      <c r="A97" s="25">
        <v>50</v>
      </c>
      <c r="B97" s="4">
        <f t="shared" si="9"/>
        <v>3.0689701867997967</v>
      </c>
      <c r="C97" s="4">
        <f t="shared" si="10"/>
        <v>6.2093183495834685</v>
      </c>
      <c r="D97" s="4">
        <f t="shared" si="8"/>
        <v>186.35754262869796</v>
      </c>
      <c r="E97" s="4">
        <f t="shared" si="11"/>
        <v>176.78173795785113</v>
      </c>
    </row>
    <row r="98" spans="1:5" x14ac:dyDescent="0.55000000000000004">
      <c r="A98" s="25">
        <v>50.25</v>
      </c>
      <c r="B98" s="4">
        <f t="shared" si="9"/>
        <v>3.0661065825614613</v>
      </c>
      <c r="C98" s="4">
        <f t="shared" si="10"/>
        <v>6.1873660960297023</v>
      </c>
      <c r="D98" s="4">
        <f t="shared" si="8"/>
        <v>186.36459631666398</v>
      </c>
      <c r="E98" s="4">
        <f t="shared" si="11"/>
        <v>176.82264568265035</v>
      </c>
    </row>
    <row r="99" spans="1:5" x14ac:dyDescent="0.55000000000000004">
      <c r="A99" s="25">
        <v>50.5</v>
      </c>
      <c r="B99" s="4">
        <f t="shared" si="9"/>
        <v>3.0632574480623611</v>
      </c>
      <c r="C99" s="4">
        <f t="shared" si="10"/>
        <v>6.1656046384792749</v>
      </c>
      <c r="D99" s="4">
        <f t="shared" si="8"/>
        <v>186.37131021050527</v>
      </c>
      <c r="E99" s="4">
        <f t="shared" si="11"/>
        <v>176.86291937406099</v>
      </c>
    </row>
    <row r="100" spans="1:5" x14ac:dyDescent="0.55000000000000004">
      <c r="A100" s="25">
        <v>50.75</v>
      </c>
      <c r="B100" s="4">
        <f t="shared" si="9"/>
        <v>3.0604226368879588</v>
      </c>
      <c r="C100" s="4">
        <f t="shared" si="10"/>
        <v>6.1440313834933242</v>
      </c>
      <c r="D100" s="4">
        <f t="shared" si="8"/>
        <v>186.37768996051923</v>
      </c>
      <c r="E100" s="4">
        <f t="shared" si="11"/>
        <v>176.90256868189587</v>
      </c>
    </row>
    <row r="101" spans="1:5" x14ac:dyDescent="0.55000000000000004">
      <c r="A101" s="25">
        <v>51</v>
      </c>
      <c r="B101" s="4">
        <f t="shared" si="9"/>
        <v>3.0576020048221477</v>
      </c>
      <c r="C101" s="4">
        <f t="shared" si="10"/>
        <v>6.1226437854702525</v>
      </c>
      <c r="D101" s="4">
        <f t="shared" si="8"/>
        <v>186.3837411039014</v>
      </c>
      <c r="E101" s="4">
        <f t="shared" si="11"/>
        <v>176.94160306909276</v>
      </c>
    </row>
    <row r="102" spans="1:5" x14ac:dyDescent="0.55000000000000004">
      <c r="A102" s="25">
        <v>51.25</v>
      </c>
      <c r="B102" s="4">
        <f t="shared" si="9"/>
        <v>3.054795409803607</v>
      </c>
      <c r="C102" s="4">
        <f t="shared" si="10"/>
        <v>6.1014393455336116</v>
      </c>
      <c r="D102" s="4">
        <f t="shared" si="8"/>
        <v>186.38946906749464</v>
      </c>
      <c r="E102" s="4">
        <f t="shared" si="11"/>
        <v>176.98003181617889</v>
      </c>
    </row>
    <row r="103" spans="1:5" x14ac:dyDescent="0.55000000000000004">
      <c r="A103" s="25">
        <v>51.5</v>
      </c>
      <c r="B103" s="4">
        <f t="shared" si="9"/>
        <v>3.0520027118832385</v>
      </c>
      <c r="C103" s="4">
        <f t="shared" si="10"/>
        <v>6.0804156104512543</v>
      </c>
      <c r="D103" s="4">
        <f t="shared" si="8"/>
        <v>186.39487917045921</v>
      </c>
      <c r="E103" s="4">
        <f t="shared" si="11"/>
        <v>177.01786402560762</v>
      </c>
    </row>
    <row r="104" spans="1:5" x14ac:dyDescent="0.55000000000000004">
      <c r="A104" s="25">
        <v>51.75</v>
      </c>
      <c r="B104" s="4">
        <f t="shared" si="9"/>
        <v>3.0492237731826459</v>
      </c>
      <c r="C104" s="4">
        <f t="shared" si="10"/>
        <v>6.0595701715845625</v>
      </c>
      <c r="D104" s="4">
        <f t="shared" si="8"/>
        <v>186.39997662686588</v>
      </c>
      <c r="E104" s="4">
        <f t="shared" si="11"/>
        <v>177.05510862597237</v>
      </c>
    </row>
    <row r="105" spans="1:5" x14ac:dyDescent="0.55000000000000004">
      <c r="A105" s="25">
        <v>52</v>
      </c>
      <c r="B105" s="4">
        <f t="shared" si="9"/>
        <v>3.0464584578536216</v>
      </c>
      <c r="C105" s="4">
        <f t="shared" si="10"/>
        <v>6.0389006638667651</v>
      </c>
      <c r="D105" s="4">
        <f t="shared" si="8"/>
        <v>186.404766548216</v>
      </c>
      <c r="E105" s="4">
        <f t="shared" si="11"/>
        <v>177.09177437610191</v>
      </c>
    </row>
    <row r="106" spans="1:5" x14ac:dyDescent="0.55000000000000004">
      <c r="A106" s="25">
        <v>52.25</v>
      </c>
      <c r="B106" s="4">
        <f t="shared" si="9"/>
        <v>3.0437066320386239</v>
      </c>
      <c r="C106" s="4">
        <f t="shared" si="10"/>
        <v>6.0184047648095209</v>
      </c>
      <c r="D106" s="4">
        <f t="shared" si="8"/>
        <v>186.40925394588893</v>
      </c>
      <c r="E106" s="4">
        <f t="shared" si="11"/>
        <v>177.12786986904007</v>
      </c>
    </row>
    <row r="107" spans="1:5" x14ac:dyDescent="0.55000000000000004">
      <c r="A107" s="25">
        <v>52.5</v>
      </c>
      <c r="B107" s="4">
        <f t="shared" si="9"/>
        <v>3.0409681638322068</v>
      </c>
      <c r="C107" s="4">
        <f t="shared" si="10"/>
        <v>5.9980801935367563</v>
      </c>
      <c r="D107" s="4">
        <f t="shared" si="8"/>
        <v>186.41344373352092</v>
      </c>
      <c r="E107" s="4">
        <f t="shared" si="11"/>
        <v>177.1634035359144</v>
      </c>
    </row>
    <row r="108" spans="1:5" x14ac:dyDescent="0.55000000000000004">
      <c r="A108" s="25">
        <v>52.75</v>
      </c>
      <c r="B108" s="4">
        <f t="shared" si="9"/>
        <v>3.0382429232433719</v>
      </c>
      <c r="C108" s="4">
        <f t="shared" si="10"/>
        <v>5.977924709844844</v>
      </c>
      <c r="D108" s="4">
        <f t="shared" si="8"/>
        <v>186.41734072931698</v>
      </c>
      <c r="E108" s="4">
        <f t="shared" si="11"/>
        <v>177.19838364969766</v>
      </c>
    </row>
    <row r="109" spans="1:5" x14ac:dyDescent="0.55000000000000004">
      <c r="A109" s="25">
        <v>53</v>
      </c>
      <c r="B109" s="4">
        <f t="shared" si="9"/>
        <v>3.0355307821588329</v>
      </c>
      <c r="C109" s="4">
        <f t="shared" si="10"/>
        <v>5.9579361132885085</v>
      </c>
      <c r="D109" s="4">
        <f t="shared" si="8"/>
        <v>186.42094965829787</v>
      </c>
      <c r="E109" s="4">
        <f t="shared" si="11"/>
        <v>177.23281832886425</v>
      </c>
    </row>
    <row r="110" spans="1:5" x14ac:dyDescent="0.55000000000000004">
      <c r="A110" s="25">
        <v>53.25</v>
      </c>
      <c r="B110" s="4">
        <f t="shared" si="9"/>
        <v>3.0328316143071437</v>
      </c>
      <c r="C110" s="4">
        <f t="shared" si="10"/>
        <v>5.9381122422912958</v>
      </c>
      <c r="D110" s="4">
        <f t="shared" si="8"/>
        <v>186.4242751544846</v>
      </c>
      <c r="E110" s="4">
        <f t="shared" si="11"/>
        <v>177.26671554094668</v>
      </c>
    </row>
    <row r="111" spans="1:5" x14ac:dyDescent="0.55000000000000004">
      <c r="A111" s="25">
        <v>53.5</v>
      </c>
      <c r="B111" s="4">
        <f t="shared" si="9"/>
        <v>3.0301452952236825</v>
      </c>
      <c r="C111" s="4">
        <f t="shared" si="10"/>
        <v>5.9184509732801596</v>
      </c>
      <c r="D111" s="4">
        <f t="shared" si="8"/>
        <v>186.42732176302201</v>
      </c>
      <c r="E111" s="4">
        <f t="shared" si="11"/>
        <v>177.30008310599359</v>
      </c>
    </row>
    <row r="112" spans="1:5" x14ac:dyDescent="0.55000000000000004">
      <c r="A112" s="25">
        <v>53.75</v>
      </c>
      <c r="B112" s="4">
        <f t="shared" si="9"/>
        <v>3.0274717022164617</v>
      </c>
      <c r="C112" s="4">
        <f t="shared" si="10"/>
        <v>5.89895021984315</v>
      </c>
      <c r="D112" s="4">
        <f t="shared" si="8"/>
        <v>186.43009394224413</v>
      </c>
      <c r="E112" s="4">
        <f t="shared" si="11"/>
        <v>177.33292869993443</v>
      </c>
    </row>
    <row r="113" spans="1:5" x14ac:dyDescent="0.55000000000000004">
      <c r="A113" s="25">
        <v>54</v>
      </c>
      <c r="B113" s="4">
        <f t="shared" si="9"/>
        <v>3.0248107143327414</v>
      </c>
      <c r="C113" s="4">
        <f t="shared" si="10"/>
        <v>5.8796079319097156</v>
      </c>
      <c r="D113" s="4">
        <f t="shared" si="8"/>
        <v>186.43259606568236</v>
      </c>
      <c r="E113" s="4">
        <f t="shared" si="11"/>
        <v>177.36525985785113</v>
      </c>
    </row>
    <row r="114" spans="1:5" x14ac:dyDescent="0.55000000000000004">
      <c r="A114" s="25">
        <v>54.25</v>
      </c>
      <c r="B114" s="4">
        <f t="shared" si="9"/>
        <v>3.0221622123264207</v>
      </c>
      <c r="C114" s="4">
        <f t="shared" si="10"/>
        <v>5.8604220949526633</v>
      </c>
      <c r="D114" s="4">
        <f t="shared" si="8"/>
        <v>186.43483242401871</v>
      </c>
      <c r="E114" s="4">
        <f t="shared" si="11"/>
        <v>177.39708397716288</v>
      </c>
    </row>
    <row r="115" spans="1:5" x14ac:dyDescent="0.55000000000000004">
      <c r="A115" s="25">
        <v>54.5</v>
      </c>
      <c r="B115" s="4">
        <f t="shared" si="9"/>
        <v>3.0195260786261908</v>
      </c>
      <c r="C115" s="4">
        <f t="shared" si="10"/>
        <v>5.8413907292112937</v>
      </c>
      <c r="D115" s="4">
        <f t="shared" si="8"/>
        <v>186.43680722698591</v>
      </c>
      <c r="E115" s="4">
        <f t="shared" si="11"/>
        <v>177.42840832072352</v>
      </c>
    </row>
    <row r="116" spans="1:5" x14ac:dyDescent="0.55000000000000004">
      <c r="A116" s="25">
        <v>54.75</v>
      </c>
      <c r="B116" s="4">
        <f t="shared" si="9"/>
        <v>3.0169021973044252</v>
      </c>
      <c r="C116" s="4">
        <f t="shared" si="10"/>
        <v>5.8225118889350247</v>
      </c>
      <c r="D116" s="4">
        <f t="shared" si="8"/>
        <v>186.43852460521603</v>
      </c>
      <c r="E116" s="4">
        <f t="shared" si="11"/>
        <v>177.45924001983715</v>
      </c>
    </row>
    <row r="117" spans="1:5" x14ac:dyDescent="0.55000000000000004">
      <c r="A117" s="25">
        <v>55</v>
      </c>
      <c r="B117" s="4">
        <f t="shared" si="9"/>
        <v>3.0142904540467854</v>
      </c>
      <c r="C117" s="4">
        <f t="shared" si="10"/>
        <v>5.8037836616467349</v>
      </c>
      <c r="D117" s="4">
        <f t="shared" si="8"/>
        <v>186.43998861203889</v>
      </c>
      <c r="E117" s="4">
        <f t="shared" si="11"/>
        <v>177.48958607719231</v>
      </c>
    </row>
    <row r="118" spans="1:5" x14ac:dyDescent="0.55000000000000004">
      <c r="A118" s="25">
        <v>55.25</v>
      </c>
      <c r="B118" s="4">
        <f t="shared" si="9"/>
        <v>3.0116907361225249</v>
      </c>
      <c r="C118" s="4">
        <f t="shared" si="10"/>
        <v>5.7852041674254604</v>
      </c>
      <c r="D118" s="4">
        <f t="shared" si="8"/>
        <v>186.44120322523202</v>
      </c>
      <c r="E118" s="4">
        <f t="shared" si="11"/>
        <v>177.51945336971829</v>
      </c>
    </row>
    <row r="119" spans="1:5" x14ac:dyDescent="0.55000000000000004">
      <c r="A119" s="25">
        <v>55.5</v>
      </c>
      <c r="B119" s="4">
        <f t="shared" si="9"/>
        <v>3.0091029323554772</v>
      </c>
      <c r="C119" s="4">
        <f t="shared" si="10"/>
        <v>5.7667715582076422</v>
      </c>
      <c r="D119" s="4">
        <f t="shared" si="8"/>
        <v>186.44217234872437</v>
      </c>
      <c r="E119" s="4">
        <f t="shared" si="11"/>
        <v>177.54884865136626</v>
      </c>
    </row>
    <row r="120" spans="1:5" x14ac:dyDescent="0.55000000000000004">
      <c r="A120" s="25">
        <v>55.75</v>
      </c>
      <c r="B120" s="4">
        <f t="shared" si="9"/>
        <v>3.0065269330956919</v>
      </c>
      <c r="C120" s="4">
        <f t="shared" si="10"/>
        <v>5.7484840171064295</v>
      </c>
      <c r="D120" s="4">
        <f t="shared" si="8"/>
        <v>186.44289981425379</v>
      </c>
      <c r="E120" s="4">
        <f t="shared" si="11"/>
        <v>177.57777855581671</v>
      </c>
    </row>
    <row r="121" spans="1:5" x14ac:dyDescent="0.55000000000000004">
      <c r="A121" s="25">
        <v>56</v>
      </c>
      <c r="B121" s="4">
        <f t="shared" si="9"/>
        <v>3.0039626301917273</v>
      </c>
      <c r="C121" s="4">
        <f t="shared" si="10"/>
        <v>5.7303397577485953</v>
      </c>
      <c r="D121" s="4">
        <f t="shared" si="8"/>
        <v>186.44338938298088</v>
      </c>
      <c r="E121" s="4">
        <f t="shared" si="11"/>
        <v>177.60624959911573</v>
      </c>
    </row>
    <row r="122" spans="1:5" x14ac:dyDescent="0.55000000000000004">
      <c r="A122" s="25">
        <v>56.25</v>
      </c>
      <c r="B122" s="4">
        <f t="shared" si="9"/>
        <v>3.0014099169635537</v>
      </c>
      <c r="C122" s="4">
        <f t="shared" si="10"/>
        <v>5.7123370236283266</v>
      </c>
      <c r="D122" s="4">
        <f t="shared" si="8"/>
        <v>186.44364474706038</v>
      </c>
      <c r="E122" s="4">
        <f t="shared" si="11"/>
        <v>177.63426818224298</v>
      </c>
    </row>
    <row r="123" spans="1:5" x14ac:dyDescent="0.55000000000000004">
      <c r="A123" s="25">
        <v>56.5</v>
      </c>
      <c r="B123" s="4">
        <f t="shared" si="9"/>
        <v>2.99886868817608</v>
      </c>
      <c r="C123" s="4">
        <f t="shared" si="10"/>
        <v>5.6944740874776532</v>
      </c>
      <c r="D123" s="4">
        <f t="shared" si="8"/>
        <v>186.44366953117054</v>
      </c>
      <c r="E123" s="4">
        <f t="shared" si="11"/>
        <v>177.66184059361214</v>
      </c>
    </row>
    <row r="124" spans="1:5" x14ac:dyDescent="0.55000000000000004">
      <c r="A124" s="25">
        <v>56.75</v>
      </c>
      <c r="B124" s="4">
        <f t="shared" si="9"/>
        <v>2.9963388400132556</v>
      </c>
      <c r="C124" s="4">
        <f t="shared" si="10"/>
        <v>5.6767492506526915</v>
      </c>
      <c r="D124" s="4">
        <f t="shared" si="8"/>
        <v>186.44346729400314</v>
      </c>
      <c r="E124" s="4">
        <f t="shared" si="11"/>
        <v>177.6889730115071</v>
      </c>
    </row>
    <row r="125" spans="1:5" x14ac:dyDescent="0.55000000000000004">
      <c r="A125" s="25">
        <v>57</v>
      </c>
      <c r="B125" s="4">
        <f t="shared" si="9"/>
        <v>2.9938202700527601</v>
      </c>
      <c r="C125" s="4">
        <f t="shared" si="10"/>
        <v>5.6591608425355471</v>
      </c>
      <c r="D125" s="4">
        <f t="shared" si="8"/>
        <v>186.44304152971409</v>
      </c>
      <c r="E125" s="4">
        <f t="shared" si="11"/>
        <v>177.71567150645535</v>
      </c>
    </row>
    <row r="126" spans="1:5" x14ac:dyDescent="0.55000000000000004">
      <c r="A126" s="25">
        <v>57.25</v>
      </c>
      <c r="B126" s="4">
        <f t="shared" si="9"/>
        <v>2.9913128772412509</v>
      </c>
      <c r="C126" s="4">
        <f t="shared" si="10"/>
        <v>5.6417072199512459</v>
      </c>
      <c r="D126" s="4">
        <f t="shared" si="8"/>
        <v>186.44239566933655</v>
      </c>
      <c r="E126" s="4">
        <f t="shared" si="11"/>
        <v>177.74194204353989</v>
      </c>
    </row>
    <row r="127" spans="1:5" x14ac:dyDescent="0.55000000000000004">
      <c r="A127" s="25">
        <v>57.5</v>
      </c>
      <c r="B127" s="4">
        <f t="shared" si="9"/>
        <v>2.9888165618701543</v>
      </c>
      <c r="C127" s="4">
        <f t="shared" si="10"/>
        <v>5.6243867665992475</v>
      </c>
      <c r="D127" s="4">
        <f t="shared" si="8"/>
        <v>186.44153308215726</v>
      </c>
      <c r="E127" s="4">
        <f t="shared" si="11"/>
        <v>177.76779048465249</v>
      </c>
    </row>
    <row r="128" spans="1:5" x14ac:dyDescent="0.55000000000000004">
      <c r="A128" s="25">
        <v>57.75</v>
      </c>
      <c r="B128" s="4">
        <f t="shared" si="9"/>
        <v>2.9863312255519885</v>
      </c>
      <c r="C128" s="4">
        <f t="shared" si="10"/>
        <v>5.607197892499185</v>
      </c>
      <c r="D128" s="4">
        <f t="shared" si="8"/>
        <v>186.4404570770578</v>
      </c>
      <c r="E128" s="4">
        <f t="shared" si="11"/>
        <v>177.79322259068974</v>
      </c>
    </row>
    <row r="129" spans="1:5" x14ac:dyDescent="0.55000000000000004">
      <c r="A129" s="25">
        <v>58</v>
      </c>
      <c r="B129" s="4">
        <f t="shared" si="9"/>
        <v>2.9838567711972086</v>
      </c>
      <c r="C129" s="4">
        <f t="shared" si="10"/>
        <v>5.5901390334503773</v>
      </c>
      <c r="D129" s="4">
        <f t="shared" si="8"/>
        <v>186.43917090382078</v>
      </c>
      <c r="E129" s="4">
        <f t="shared" si="11"/>
        <v>177.81824402369261</v>
      </c>
    </row>
    <row r="130" spans="1:5" x14ac:dyDescent="0.55000000000000004">
      <c r="A130" s="25">
        <v>58.25</v>
      </c>
      <c r="B130" s="4">
        <f t="shared" si="9"/>
        <v>2.9813931029915479</v>
      </c>
      <c r="C130" s="4">
        <f t="shared" si="10"/>
        <v>5.5732086505046876</v>
      </c>
      <c r="D130" s="4">
        <f t="shared" si="8"/>
        <v>186.43767775440344</v>
      </c>
      <c r="E130" s="4">
        <f t="shared" si="11"/>
        <v>177.84286034893304</v>
      </c>
    </row>
    <row r="131" spans="1:5" x14ac:dyDescent="0.55000000000000004">
      <c r="A131" s="25">
        <v>58.5</v>
      </c>
      <c r="B131" s="4">
        <f t="shared" si="9"/>
        <v>2.9789401263738577</v>
      </c>
      <c r="C131" s="4">
        <f t="shared" si="10"/>
        <v>5.5564052294523991</v>
      </c>
      <c r="D131" s="4">
        <f t="shared" si="8"/>
        <v>186.435980764178</v>
      </c>
      <c r="E131" s="4">
        <f t="shared" si="11"/>
        <v>177.86707703694728</v>
      </c>
    </row>
    <row r="132" spans="1:5" x14ac:dyDescent="0.55000000000000004">
      <c r="A132" s="25">
        <v>58.75</v>
      </c>
      <c r="B132" s="4">
        <f t="shared" si="9"/>
        <v>2.9764977480144226</v>
      </c>
      <c r="C132" s="4">
        <f t="shared" si="10"/>
        <v>5.5397272803207178</v>
      </c>
      <c r="D132" s="4">
        <f t="shared" si="8"/>
        <v>186.43408301314113</v>
      </c>
      <c r="E132" s="4">
        <f t="shared" si="11"/>
        <v>177.89089946551852</v>
      </c>
    </row>
    <row r="133" spans="1:5" x14ac:dyDescent="0.55000000000000004">
      <c r="A133" s="25">
        <v>59</v>
      </c>
      <c r="B133" s="4">
        <f t="shared" si="9"/>
        <v>2.9740658757937388</v>
      </c>
      <c r="C133" s="4">
        <f t="shared" si="10"/>
        <v>5.5231733368845086</v>
      </c>
      <c r="D133" s="4">
        <f t="shared" si="8"/>
        <v>186.43198752709267</v>
      </c>
      <c r="E133" s="4">
        <f t="shared" si="11"/>
        <v>177.91433292161037</v>
      </c>
    </row>
    <row r="134" spans="1:5" x14ac:dyDescent="0.55000000000000004">
      <c r="A134" s="25">
        <v>59.25</v>
      </c>
      <c r="B134" s="4">
        <f t="shared" si="9"/>
        <v>2.9716444187817506</v>
      </c>
      <c r="C134" s="4">
        <f t="shared" si="10"/>
        <v>5.5067419561889004</v>
      </c>
      <c r="D134" s="4">
        <f t="shared" si="8"/>
        <v>186.42969727878463</v>
      </c>
      <c r="E134" s="4">
        <f t="shared" si="11"/>
        <v>177.93738260325202</v>
      </c>
    </row>
    <row r="135" spans="1:5" x14ac:dyDescent="0.55000000000000004">
      <c r="A135" s="25">
        <v>59.5</v>
      </c>
      <c r="B135" s="4">
        <f t="shared" si="9"/>
        <v>2.9692332872175298</v>
      </c>
      <c r="C135" s="4">
        <f t="shared" si="10"/>
        <v>5.4904317180835482</v>
      </c>
      <c r="D135" s="4">
        <f t="shared" si="8"/>
        <v>186.4272151890417</v>
      </c>
      <c r="E135" s="4">
        <f t="shared" si="11"/>
        <v>177.96005362137677</v>
      </c>
    </row>
    <row r="136" spans="1:5" x14ac:dyDescent="0.55000000000000004">
      <c r="A136" s="25">
        <v>59.75</v>
      </c>
      <c r="B136" s="4">
        <f t="shared" si="9"/>
        <v>2.9668323924893829</v>
      </c>
      <c r="C136" s="4">
        <f t="shared" si="10"/>
        <v>5.4742412247680541</v>
      </c>
      <c r="D136" s="4">
        <f t="shared" si="8"/>
        <v>186.42454412785344</v>
      </c>
      <c r="E136" s="4">
        <f t="shared" si="11"/>
        <v>177.98235100161557</v>
      </c>
    </row>
    <row r="137" spans="1:5" x14ac:dyDescent="0.55000000000000004">
      <c r="A137" s="25">
        <v>60</v>
      </c>
      <c r="B137" s="4">
        <f t="shared" si="9"/>
        <v>2.9644416471153767</v>
      </c>
      <c r="C137" s="4">
        <f t="shared" si="10"/>
        <v>5.458169100348286</v>
      </c>
      <c r="D137" s="4">
        <f t="shared" si="8"/>
        <v>186.42168691543935</v>
      </c>
      <c r="E137" s="4">
        <f t="shared" si="11"/>
        <v>178.00427968604632</v>
      </c>
    </row>
    <row r="138" spans="1:5" x14ac:dyDescent="0.55000000000000004">
      <c r="A138" s="25">
        <v>60.25</v>
      </c>
      <c r="B138" s="4">
        <f t="shared" si="9"/>
        <v>2.9620609647242837</v>
      </c>
      <c r="C138" s="4">
        <f t="shared" si="10"/>
        <v>5.4422139904034372</v>
      </c>
      <c r="D138" s="4">
        <f t="shared" si="8"/>
        <v>186.41864632328813</v>
      </c>
      <c r="E138" s="4">
        <f t="shared" si="11"/>
        <v>178.02584453490039</v>
      </c>
    </row>
    <row r="139" spans="1:5" x14ac:dyDescent="0.55000000000000004">
      <c r="A139" s="25">
        <v>60.5</v>
      </c>
      <c r="B139" s="4">
        <f t="shared" si="9"/>
        <v>2.9596902600369157</v>
      </c>
      <c r="C139" s="4">
        <f t="shared" si="10"/>
        <v>5.4263745615632768</v>
      </c>
      <c r="D139" s="4">
        <f t="shared" si="8"/>
        <v>186.41542507517065</v>
      </c>
      <c r="E139" s="4">
        <f t="shared" si="11"/>
        <v>178.04705032822798</v>
      </c>
    </row>
    <row r="140" spans="1:5" x14ac:dyDescent="0.55000000000000004">
      <c r="A140" s="25">
        <v>60.75</v>
      </c>
      <c r="B140" s="4">
        <f t="shared" si="9"/>
        <v>2.957329448847851</v>
      </c>
      <c r="C140" s="4">
        <f t="shared" si="10"/>
        <v>5.4106495010954667</v>
      </c>
      <c r="D140" s="4">
        <f t="shared" si="8"/>
        <v>186.41202584812805</v>
      </c>
      <c r="E140" s="4">
        <f t="shared" si="11"/>
        <v>178.06790176752256</v>
      </c>
    </row>
    <row r="141" spans="1:5" x14ac:dyDescent="0.55000000000000004">
      <c r="A141" s="25">
        <v>61</v>
      </c>
      <c r="B141" s="4">
        <f t="shared" si="9"/>
        <v>2.9549784480075449</v>
      </c>
      <c r="C141" s="4">
        <f t="shared" si="10"/>
        <v>5.3950375165026605</v>
      </c>
      <c r="D141" s="4">
        <f t="shared" si="8"/>
        <v>186.40845127343664</v>
      </c>
      <c r="E141" s="4">
        <f t="shared" si="11"/>
        <v>178.08840347730691</v>
      </c>
    </row>
    <row r="142" spans="1:5" x14ac:dyDescent="0.55000000000000004">
      <c r="A142" s="25">
        <v>61.25</v>
      </c>
      <c r="B142" s="4">
        <f t="shared" si="9"/>
        <v>2.9526371754048069</v>
      </c>
      <c r="C142" s="4">
        <f t="shared" si="10"/>
        <v>5.3795373351290907</v>
      </c>
      <c r="D142" s="4">
        <f t="shared" si="8"/>
        <v>186.40470393754791</v>
      </c>
      <c r="E142" s="4">
        <f t="shared" si="11"/>
        <v>178.10856000667997</v>
      </c>
    </row>
    <row r="143" spans="1:5" x14ac:dyDescent="0.55000000000000004">
      <c r="A143" s="25">
        <v>61.5</v>
      </c>
      <c r="B143" s="4">
        <f t="shared" si="9"/>
        <v>2.9503055499496336</v>
      </c>
      <c r="C143" s="4">
        <f t="shared" si="10"/>
        <v>5.364147703776263</v>
      </c>
      <c r="D143" s="4">
        <f t="shared" ref="D143:D206" si="12">$B$6*$B$12/9.81*($B$9*SQRT(2/($B$9-1)*(2/($B$9+1))^(($B$9+1)/($B$9-1))*(1 - (A143/$B$3)^(($B$9-1)/$B$9))) + C143/$B$3*(A143 - $E$5))</f>
        <v>186.40078638300668</v>
      </c>
      <c r="E143" s="4">
        <f t="shared" si="11"/>
        <v>178.12837583082771</v>
      </c>
    </row>
    <row r="144" spans="1:5" x14ac:dyDescent="0.55000000000000004">
      <c r="A144" s="25">
        <v>61.75</v>
      </c>
      <c r="B144" s="4">
        <f t="shared" ref="B144:B207" si="13">SQRT(2/($B$9-1)*((A144/$B$3)^((1-$B$9)/$B$9) - 1))</f>
        <v>2.9479834915564092</v>
      </c>
      <c r="C144" s="4">
        <f t="shared" ref="C144:C207" si="14">1/B144*(2/($B$9+1)*(1 + ($B$9-1)/2*B144^2))^(($B$9+1)/(2*$B$9-2))</f>
        <v>5.3488673883277915</v>
      </c>
      <c r="D144" s="4">
        <f t="shared" si="12"/>
        <v>186.39670110934691</v>
      </c>
      <c r="E144" s="4">
        <f t="shared" ref="E144:E207" si="15">$B$6*$B$12/9.81*($B$9*SQRT(2/($B$9-1)*(2/($B$9+1))^(($B$9+1)/($B$9-1))*(1 - (A144/$B$3)^(($B$9-1)/$B$9))) + C144/$B$3*(A144 - $E$4))</f>
        <v>178.14785535249737</v>
      </c>
    </row>
    <row r="145" spans="1:5" x14ac:dyDescent="0.55000000000000004">
      <c r="A145" s="25">
        <v>62</v>
      </c>
      <c r="B145" s="4">
        <f t="shared" si="13"/>
        <v>2.9456709211274328</v>
      </c>
      <c r="C145" s="4">
        <f t="shared" si="14"/>
        <v>5.3336951733828357</v>
      </c>
      <c r="D145" s="4">
        <f t="shared" si="12"/>
        <v>186.39245057396542</v>
      </c>
      <c r="E145" s="4">
        <f t="shared" si="15"/>
        <v>178.16700290343672</v>
      </c>
    </row>
    <row r="146" spans="1:5" x14ac:dyDescent="0.55000000000000004">
      <c r="A146" s="25">
        <v>62.25</v>
      </c>
      <c r="B146" s="4">
        <f t="shared" si="13"/>
        <v>2.9433677605367921</v>
      </c>
      <c r="C146" s="4">
        <f t="shared" si="14"/>
        <v>5.3186298618980672</v>
      </c>
      <c r="D146" s="4">
        <f t="shared" si="12"/>
        <v>186.38803719297556</v>
      </c>
      <c r="E146" s="4">
        <f t="shared" si="15"/>
        <v>178.1858227457995</v>
      </c>
    </row>
    <row r="147" spans="1:5" x14ac:dyDescent="0.55000000000000004">
      <c r="A147" s="25">
        <v>62.5</v>
      </c>
      <c r="B147" s="4">
        <f t="shared" si="13"/>
        <v>2.9410739326145596</v>
      </c>
      <c r="C147" s="4">
        <f t="shared" si="14"/>
        <v>5.3036702748378781</v>
      </c>
      <c r="D147" s="4">
        <f t="shared" si="12"/>
        <v>186.38346334203951</v>
      </c>
      <c r="E147" s="4">
        <f t="shared" si="15"/>
        <v>178.20431907351755</v>
      </c>
    </row>
    <row r="148" spans="1:5" x14ac:dyDescent="0.55000000000000004">
      <c r="A148" s="25">
        <v>62.75</v>
      </c>
      <c r="B148" s="4">
        <f t="shared" si="13"/>
        <v>2.9387893611313074</v>
      </c>
      <c r="C148" s="4">
        <f t="shared" si="14"/>
        <v>5.2888152508326511</v>
      </c>
      <c r="D148" s="4">
        <f t="shared" si="12"/>
        <v>186.37873135718144</v>
      </c>
      <c r="E148" s="4">
        <f t="shared" si="15"/>
        <v>178.22249601364064</v>
      </c>
    </row>
    <row r="149" spans="1:5" x14ac:dyDescent="0.55000000000000004">
      <c r="A149" s="25">
        <v>63</v>
      </c>
      <c r="B149" s="4">
        <f t="shared" si="13"/>
        <v>2.9365139707829391</v>
      </c>
      <c r="C149" s="4">
        <f t="shared" si="14"/>
        <v>5.2740636458448114</v>
      </c>
      <c r="D149" s="4">
        <f t="shared" si="12"/>
        <v>186.37384353558124</v>
      </c>
      <c r="E149" s="4">
        <f t="shared" si="15"/>
        <v>178.24035762764549</v>
      </c>
    </row>
    <row r="150" spans="1:5" x14ac:dyDescent="0.55000000000000004">
      <c r="A150" s="25">
        <v>63.25</v>
      </c>
      <c r="B150" s="4">
        <f t="shared" si="13"/>
        <v>2.9342476871758185</v>
      </c>
      <c r="C150" s="4">
        <f t="shared" si="14"/>
        <v>5.2594143328425424</v>
      </c>
      <c r="D150" s="4">
        <f t="shared" si="12"/>
        <v>186.36880213634925</v>
      </c>
      <c r="E150" s="4">
        <f t="shared" si="15"/>
        <v>178.25790791271348</v>
      </c>
    </row>
    <row r="151" spans="1:5" x14ac:dyDescent="0.55000000000000004">
      <c r="A151" s="25">
        <v>63.5</v>
      </c>
      <c r="B151" s="4">
        <f t="shared" si="13"/>
        <v>2.9319904368121965</v>
      </c>
      <c r="C151" s="4">
        <f t="shared" si="14"/>
        <v>5.2448662014808054</v>
      </c>
      <c r="D151" s="4">
        <f t="shared" si="12"/>
        <v>186.36360938128303</v>
      </c>
      <c r="E151" s="4">
        <f t="shared" si="15"/>
        <v>178.27515080297943</v>
      </c>
    </row>
    <row r="152" spans="1:5" x14ac:dyDescent="0.55000000000000004">
      <c r="A152" s="25">
        <v>63.75</v>
      </c>
      <c r="B152" s="4">
        <f t="shared" si="13"/>
        <v>2.9297421470759364</v>
      </c>
      <c r="C152" s="4">
        <f t="shared" si="14"/>
        <v>5.2304181577897291</v>
      </c>
      <c r="D152" s="4">
        <f t="shared" si="12"/>
        <v>186.35826745560638</v>
      </c>
      <c r="E152" s="4">
        <f t="shared" si="15"/>
        <v>178.29209017075121</v>
      </c>
    </row>
    <row r="153" spans="1:5" x14ac:dyDescent="0.55000000000000004">
      <c r="A153" s="25">
        <v>64</v>
      </c>
      <c r="B153" s="4">
        <f t="shared" si="13"/>
        <v>2.9275027462185075</v>
      </c>
      <c r="C153" s="4">
        <f t="shared" si="14"/>
        <v>5.2160691238698442</v>
      </c>
      <c r="D153" s="4">
        <f t="shared" si="12"/>
        <v>186.3527785086909</v>
      </c>
      <c r="E153" s="4">
        <f t="shared" si="15"/>
        <v>178.30872982770111</v>
      </c>
    </row>
    <row r="154" spans="1:5" x14ac:dyDescent="0.55000000000000004">
      <c r="A154" s="25">
        <v>64.25</v>
      </c>
      <c r="B154" s="4">
        <f t="shared" si="13"/>
        <v>2.9252721633452685</v>
      </c>
      <c r="C154" s="4">
        <f t="shared" si="14"/>
        <v>5.2018180375942835</v>
      </c>
      <c r="D154" s="4">
        <f t="shared" si="12"/>
        <v>186.34714465476085</v>
      </c>
      <c r="E154" s="4">
        <f t="shared" si="15"/>
        <v>178.32507352603028</v>
      </c>
    </row>
    <row r="155" spans="1:5" x14ac:dyDescent="0.55000000000000004">
      <c r="A155" s="25">
        <v>64.5</v>
      </c>
      <c r="B155" s="4">
        <f t="shared" si="13"/>
        <v>2.9230503284020086</v>
      </c>
      <c r="C155" s="4">
        <f t="shared" si="14"/>
        <v>5.1876638523175735</v>
      </c>
      <c r="D155" s="4">
        <f t="shared" si="12"/>
        <v>186.3413679735819</v>
      </c>
      <c r="E155" s="4">
        <f t="shared" si="15"/>
        <v>178.34112495960628</v>
      </c>
    </row>
    <row r="156" spans="1:5" x14ac:dyDescent="0.55000000000000004">
      <c r="A156" s="25">
        <v>64.75</v>
      </c>
      <c r="B156" s="4">
        <f t="shared" si="13"/>
        <v>2.920837172161765</v>
      </c>
      <c r="C156" s="4">
        <f t="shared" si="14"/>
        <v>5.1736055365909435</v>
      </c>
      <c r="D156" s="4">
        <f t="shared" si="12"/>
        <v>186.3354505111335</v>
      </c>
      <c r="E156" s="4">
        <f t="shared" si="15"/>
        <v>178.35688776507462</v>
      </c>
    </row>
    <row r="157" spans="1:5" x14ac:dyDescent="0.55000000000000004">
      <c r="A157" s="25">
        <v>65</v>
      </c>
      <c r="B157" s="4">
        <f t="shared" si="13"/>
        <v>2.9186326262118829</v>
      </c>
      <c r="C157" s="4">
        <f t="shared" si="14"/>
        <v>5.1596420738839033</v>
      </c>
      <c r="D157" s="4">
        <f t="shared" si="12"/>
        <v>186.32939428026623</v>
      </c>
      <c r="E157" s="4">
        <f t="shared" si="15"/>
        <v>178.37236552294547</v>
      </c>
    </row>
    <row r="158" spans="1:5" x14ac:dyDescent="0.55000000000000004">
      <c r="A158" s="25">
        <v>65.25</v>
      </c>
      <c r="B158" s="4">
        <f t="shared" si="13"/>
        <v>2.9164366229413408</v>
      </c>
      <c r="C158" s="4">
        <f t="shared" si="14"/>
        <v>5.1457724623119949</v>
      </c>
      <c r="D158" s="4">
        <f t="shared" si="12"/>
        <v>186.32320126134385</v>
      </c>
      <c r="E158" s="4">
        <f t="shared" si="15"/>
        <v>178.38756175865552</v>
      </c>
    </row>
    <row r="159" spans="1:5" x14ac:dyDescent="0.55000000000000004">
      <c r="A159" s="25">
        <v>65.5</v>
      </c>
      <c r="B159" s="4">
        <f t="shared" si="13"/>
        <v>2.9142490955283109</v>
      </c>
      <c r="C159" s="4">
        <f t="shared" si="14"/>
        <v>5.1319957143705865</v>
      </c>
      <c r="D159" s="4">
        <f t="shared" si="12"/>
        <v>186.31687340287075</v>
      </c>
      <c r="E159" s="4">
        <f t="shared" si="15"/>
        <v>178.40247994360607</v>
      </c>
    </row>
    <row r="160" spans="1:5" x14ac:dyDescent="0.55000000000000004">
      <c r="A160" s="25">
        <v>65.75</v>
      </c>
      <c r="B160" s="4">
        <f t="shared" si="13"/>
        <v>2.9120699779279628</v>
      </c>
      <c r="C160" s="4">
        <f t="shared" si="14"/>
        <v>5.1183108566743671</v>
      </c>
      <c r="D160" s="4">
        <f t="shared" si="12"/>
        <v>186.31041262210499</v>
      </c>
      <c r="E160" s="4">
        <f t="shared" si="15"/>
        <v>178.41712349617762</v>
      </c>
    </row>
    <row r="161" spans="1:6" x14ac:dyDescent="0.55000000000000004">
      <c r="A161" s="25">
        <v>66</v>
      </c>
      <c r="B161" s="4">
        <f t="shared" si="13"/>
        <v>2.9098992048605035</v>
      </c>
      <c r="C161" s="4">
        <f t="shared" si="14"/>
        <v>5.1047169297026924</v>
      </c>
      <c r="D161" s="4">
        <f t="shared" si="12"/>
        <v>186.30382080565758</v>
      </c>
      <c r="E161" s="4">
        <f t="shared" si="15"/>
        <v>178.43149578272218</v>
      </c>
      <c r="F161" s="25"/>
    </row>
    <row r="162" spans="1:6" x14ac:dyDescent="0.55000000000000004">
      <c r="A162" s="25">
        <v>66.25</v>
      </c>
      <c r="B162" s="4">
        <f t="shared" si="13"/>
        <v>2.9077367117994406</v>
      </c>
      <c r="C162" s="4">
        <f t="shared" si="14"/>
        <v>5.0912129875503354</v>
      </c>
      <c r="D162" s="4">
        <f t="shared" si="12"/>
        <v>186.29709981007832</v>
      </c>
      <c r="E162" s="4">
        <f t="shared" si="15"/>
        <v>178.44560011853315</v>
      </c>
      <c r="F162" s="25"/>
    </row>
    <row r="163" spans="1:6" x14ac:dyDescent="0.55000000000000004">
      <c r="A163" s="25">
        <v>66.5</v>
      </c>
      <c r="B163" s="4">
        <f t="shared" si="13"/>
        <v>2.9055824349600798</v>
      </c>
      <c r="C163" s="4">
        <f t="shared" si="14"/>
        <v>5.0777980976837584</v>
      </c>
      <c r="D163" s="4">
        <f t="shared" si="12"/>
        <v>186.29025146242807</v>
      </c>
      <c r="E163" s="4">
        <f t="shared" si="15"/>
        <v>178.45943976879366</v>
      </c>
      <c r="F163" s="25"/>
    </row>
    <row r="164" spans="1:6" x14ac:dyDescent="0.55000000000000004">
      <c r="A164" s="25">
        <v>66.75</v>
      </c>
      <c r="B164" s="4">
        <f t="shared" si="13"/>
        <v>2.9034363112882247</v>
      </c>
      <c r="C164" s="4">
        <f t="shared" si="14"/>
        <v>5.0644713407025028</v>
      </c>
      <c r="D164" s="4">
        <f t="shared" si="12"/>
        <v>186.2832775608386</v>
      </c>
      <c r="E164" s="4">
        <f t="shared" si="15"/>
        <v>178.47301794950431</v>
      </c>
      <c r="F164" s="25"/>
    </row>
    <row r="165" spans="1:6" x14ac:dyDescent="0.55000000000000004">
      <c r="A165" s="25">
        <v>67</v>
      </c>
      <c r="B165" s="4">
        <f t="shared" si="13"/>
        <v>2.9012982784491039</v>
      </c>
      <c r="C165" s="4">
        <f t="shared" si="14"/>
        <v>5.0512318101058513</v>
      </c>
      <c r="D165" s="4">
        <f t="shared" si="12"/>
        <v>186.2761798750596</v>
      </c>
      <c r="E165" s="4">
        <f t="shared" si="15"/>
        <v>178.48633782839013</v>
      </c>
      <c r="F165" s="25"/>
    </row>
    <row r="166" spans="1:6" x14ac:dyDescent="0.55000000000000004">
      <c r="A166" s="25">
        <v>67.25</v>
      </c>
      <c r="B166" s="4">
        <f t="shared" si="13"/>
        <v>2.8991682748165046</v>
      </c>
      <c r="C166" s="4">
        <f t="shared" si="14"/>
        <v>5.0380786120644281</v>
      </c>
      <c r="D166" s="4">
        <f t="shared" si="12"/>
        <v>186.26896014699392</v>
      </c>
      <c r="E166" s="4">
        <f t="shared" si="15"/>
        <v>178.49940252578801</v>
      </c>
      <c r="F166" s="25"/>
    </row>
    <row r="167" spans="1:6" x14ac:dyDescent="0.55000000000000004">
      <c r="A167" s="25">
        <v>67.5</v>
      </c>
      <c r="B167" s="4">
        <f t="shared" si="13"/>
        <v>2.8970462394621035</v>
      </c>
      <c r="C167" s="4">
        <f t="shared" si="14"/>
        <v>5.0250108651966761</v>
      </c>
      <c r="D167" s="4">
        <f t="shared" si="12"/>
        <v>186.26162009122004</v>
      </c>
      <c r="E167" s="4">
        <f t="shared" si="15"/>
        <v>178.51221511551381</v>
      </c>
      <c r="F167" s="25"/>
    </row>
    <row r="168" spans="1:6" x14ac:dyDescent="0.55000000000000004">
      <c r="A168" s="25">
        <v>67.75</v>
      </c>
      <c r="B168" s="4">
        <f t="shared" si="13"/>
        <v>2.8949321121450025</v>
      </c>
      <c r="C168" s="4">
        <f t="shared" si="14"/>
        <v>5.0120277003500648</v>
      </c>
      <c r="D168" s="4">
        <f t="shared" si="12"/>
        <v>186.2541613955045</v>
      </c>
      <c r="E168" s="4">
        <f t="shared" si="15"/>
        <v>178.52477862571217</v>
      </c>
      <c r="F168" s="25"/>
    </row>
    <row r="169" spans="1:6" x14ac:dyDescent="0.55000000000000004">
      <c r="A169" s="25">
        <v>68</v>
      </c>
      <c r="B169" s="4">
        <f t="shared" si="13"/>
        <v>2.8928258333014591</v>
      </c>
      <c r="C169" s="4">
        <f t="shared" si="14"/>
        <v>4.9991282603869935</v>
      </c>
      <c r="D169" s="4">
        <f t="shared" si="12"/>
        <v>186.24658572130124</v>
      </c>
      <c r="E169" s="4">
        <f t="shared" si="15"/>
        <v>178.53709603968633</v>
      </c>
      <c r="F169" s="25"/>
    </row>
    <row r="170" spans="1:6" x14ac:dyDescent="0.55000000000000004">
      <c r="A170" s="25">
        <v>68.25</v>
      </c>
      <c r="B170" s="4">
        <f t="shared" si="13"/>
        <v>2.8907273440348069</v>
      </c>
      <c r="C170" s="4">
        <f t="shared" si="14"/>
        <v>4.9863116999751913</v>
      </c>
      <c r="D170" s="4">
        <f t="shared" si="12"/>
        <v>186.23889470424152</v>
      </c>
      <c r="E170" s="4">
        <f t="shared" si="15"/>
        <v>178.54917029671074</v>
      </c>
      <c r="F170" s="25"/>
    </row>
    <row r="171" spans="1:6" x14ac:dyDescent="0.55000000000000004">
      <c r="A171" s="25">
        <v>68.5</v>
      </c>
      <c r="B171" s="4">
        <f t="shared" si="13"/>
        <v>2.8886365861055618</v>
      </c>
      <c r="C171" s="4">
        <f t="shared" si="14"/>
        <v>4.9735771853824939</v>
      </c>
      <c r="D171" s="4">
        <f t="shared" si="12"/>
        <v>186.23108995461192</v>
      </c>
      <c r="E171" s="4">
        <f t="shared" si="15"/>
        <v>178.56100429282625</v>
      </c>
      <c r="F171" s="25"/>
    </row>
    <row r="172" spans="1:6" x14ac:dyDescent="0.55000000000000004">
      <c r="A172" s="25">
        <v>68.75</v>
      </c>
      <c r="B172" s="4">
        <f t="shared" si="13"/>
        <v>2.8865535019217128</v>
      </c>
      <c r="C172" s="4">
        <f t="shared" si="14"/>
        <v>4.9609238942759779</v>
      </c>
      <c r="D172" s="4">
        <f t="shared" si="12"/>
        <v>186.22317305782312</v>
      </c>
      <c r="E172" s="4">
        <f t="shared" si="15"/>
        <v>178.57260088161794</v>
      </c>
      <c r="F172" s="25"/>
    </row>
    <row r="173" spans="1:6" x14ac:dyDescent="0.55000000000000004">
      <c r="A173" s="25">
        <v>69</v>
      </c>
      <c r="B173" s="4">
        <f t="shared" si="13"/>
        <v>2.8844780345291858</v>
      </c>
      <c r="C173" s="4">
        <f t="shared" si="14"/>
        <v>4.9483510155252288</v>
      </c>
      <c r="D173" s="4">
        <f t="shared" si="12"/>
        <v>186.21514557486708</v>
      </c>
      <c r="E173" s="4">
        <f t="shared" si="15"/>
        <v>178.58396287497624</v>
      </c>
      <c r="F173" s="25"/>
    </row>
    <row r="174" spans="1:6" x14ac:dyDescent="0.55000000000000004">
      <c r="A174" s="25">
        <v>69.25</v>
      </c>
      <c r="B174" s="4">
        <f t="shared" si="13"/>
        <v>2.8824101276024896</v>
      </c>
      <c r="C174" s="4">
        <f t="shared" si="14"/>
        <v>4.9358577490097808</v>
      </c>
      <c r="D174" s="4">
        <f t="shared" si="12"/>
        <v>186.20700904276555</v>
      </c>
      <c r="E174" s="4">
        <f t="shared" si="15"/>
        <v>178.5950930438421</v>
      </c>
      <c r="F174" s="25"/>
    </row>
    <row r="175" spans="1:6" x14ac:dyDescent="0.55000000000000004">
      <c r="A175" s="25">
        <v>69.5</v>
      </c>
      <c r="B175" s="4">
        <f t="shared" si="13"/>
        <v>2.8803497254355248</v>
      </c>
      <c r="C175" s="4">
        <f t="shared" si="14"/>
        <v>4.9234433054304425</v>
      </c>
      <c r="D175" s="4">
        <f t="shared" si="12"/>
        <v>186.19876497500826</v>
      </c>
      <c r="E175" s="4">
        <f t="shared" si="15"/>
        <v>178.60599411893631</v>
      </c>
      <c r="F175" s="25"/>
    </row>
    <row r="176" spans="1:6" x14ac:dyDescent="0.55000000000000004">
      <c r="A176" s="11">
        <f>E5</f>
        <v>56.401942621880451</v>
      </c>
      <c r="B176" s="11">
        <f t="shared" si="13"/>
        <v>2.9998640709051281</v>
      </c>
      <c r="C176" s="11">
        <f t="shared" si="14"/>
        <v>5.7014639044452053</v>
      </c>
      <c r="D176" s="11">
        <f t="shared" si="12"/>
        <v>186.44368706480131</v>
      </c>
      <c r="E176" s="11">
        <f t="shared" si="15"/>
        <v>177.65107866350823</v>
      </c>
      <c r="F176" s="2" t="s">
        <v>61</v>
      </c>
    </row>
    <row r="177" spans="1:5" x14ac:dyDescent="0.55000000000000004">
      <c r="A177" s="25">
        <v>69.75</v>
      </c>
      <c r="B177" s="4">
        <f t="shared" si="13"/>
        <v>2.8782967729325679</v>
      </c>
      <c r="C177" s="4">
        <f t="shared" si="14"/>
        <v>4.9111069061246626</v>
      </c>
      <c r="D177" s="4">
        <f t="shared" si="12"/>
        <v>186.19041486198188</v>
      </c>
      <c r="E177" s="4">
        <f t="shared" si="15"/>
        <v>178.61666879147299</v>
      </c>
    </row>
    <row r="178" spans="1:5" x14ac:dyDescent="0.55000000000000004">
      <c r="A178" s="25">
        <v>70</v>
      </c>
      <c r="B178" s="4">
        <f t="shared" si="13"/>
        <v>2.8762512155994076</v>
      </c>
      <c r="C178" s="4">
        <f t="shared" si="14"/>
        <v>4.8988477828855395</v>
      </c>
      <c r="D178" s="4">
        <f t="shared" si="12"/>
        <v>186.18196017138956</v>
      </c>
      <c r="E178" s="4">
        <f t="shared" si="15"/>
        <v>178.62711971385855</v>
      </c>
    </row>
    <row r="179" spans="1:5" x14ac:dyDescent="0.55000000000000004">
      <c r="A179" s="25">
        <v>70.25</v>
      </c>
      <c r="B179" s="4">
        <f t="shared" si="13"/>
        <v>2.8742129995346524</v>
      </c>
      <c r="C179" s="4">
        <f t="shared" si="14"/>
        <v>4.8866651777846677</v>
      </c>
      <c r="D179" s="4">
        <f t="shared" si="12"/>
        <v>186.17340234866182</v>
      </c>
      <c r="E179" s="4">
        <f t="shared" si="15"/>
        <v>178.63734950037556</v>
      </c>
    </row>
    <row r="180" spans="1:5" x14ac:dyDescent="0.55000000000000004">
      <c r="A180" s="25">
        <v>70.5</v>
      </c>
      <c r="B180" s="4">
        <f t="shared" si="13"/>
        <v>2.8721820714211863</v>
      </c>
      <c r="C180" s="4">
        <f t="shared" si="14"/>
        <v>4.8745583429985535</v>
      </c>
      <c r="D180" s="4">
        <f t="shared" si="12"/>
        <v>186.1647428173587</v>
      </c>
      <c r="E180" s="4">
        <f t="shared" si="15"/>
        <v>178.64736072785252</v>
      </c>
    </row>
    <row r="181" spans="1:5" x14ac:dyDescent="0.55000000000000004">
      <c r="A181" s="25">
        <v>70.75</v>
      </c>
      <c r="B181" s="4">
        <f t="shared" si="13"/>
        <v>2.8701583785177842</v>
      </c>
      <c r="C181" s="4">
        <f t="shared" si="14"/>
        <v>4.8625265406385694</v>
      </c>
      <c r="D181" s="4">
        <f t="shared" si="12"/>
        <v>186.15598297956274</v>
      </c>
      <c r="E181" s="4">
        <f t="shared" si="15"/>
        <v>178.65715593631944</v>
      </c>
    </row>
    <row r="182" spans="1:5" x14ac:dyDescent="0.55000000000000004">
      <c r="A182" s="25">
        <v>71</v>
      </c>
      <c r="B182" s="4">
        <f t="shared" si="13"/>
        <v>2.8681418686508682</v>
      </c>
      <c r="C182" s="4">
        <f t="shared" si="14"/>
        <v>4.8505690425843468</v>
      </c>
      <c r="D182" s="4">
        <f t="shared" si="12"/>
        <v>186.14712421626464</v>
      </c>
      <c r="E182" s="4">
        <f t="shared" si="15"/>
        <v>178.66673762965002</v>
      </c>
    </row>
    <row r="183" spans="1:5" x14ac:dyDescent="0.55000000000000004">
      <c r="A183" s="25">
        <v>71.25</v>
      </c>
      <c r="B183" s="4">
        <f t="shared" si="13"/>
        <v>2.866132490206418</v>
      </c>
      <c r="C183" s="4">
        <f t="shared" si="14"/>
        <v>4.8386851303205773</v>
      </c>
      <c r="D183" s="4">
        <f t="shared" si="12"/>
        <v>186.13816788774</v>
      </c>
      <c r="E183" s="4">
        <f t="shared" si="15"/>
        <v>178.67610827619038</v>
      </c>
    </row>
    <row r="184" spans="1:5" x14ac:dyDescent="0.55000000000000004">
      <c r="A184" s="25">
        <v>71.5</v>
      </c>
      <c r="B184" s="4">
        <f t="shared" si="13"/>
        <v>2.8641301921220226</v>
      </c>
      <c r="C184" s="4">
        <f t="shared" si="14"/>
        <v>4.8268740947770565</v>
      </c>
      <c r="D184" s="4">
        <f t="shared" si="12"/>
        <v>186.12911533391843</v>
      </c>
      <c r="E184" s="4">
        <f t="shared" si="15"/>
        <v>178.6852703093746</v>
      </c>
    </row>
    <row r="185" spans="1:5" x14ac:dyDescent="0.55000000000000004">
      <c r="A185" s="25">
        <v>71.75</v>
      </c>
      <c r="B185" s="4">
        <f t="shared" si="13"/>
        <v>2.8621349238790716</v>
      </c>
      <c r="C185" s="4">
        <f t="shared" si="14"/>
        <v>4.8151352361719919</v>
      </c>
      <c r="D185" s="4">
        <f t="shared" si="12"/>
        <v>186.11996787474499</v>
      </c>
      <c r="E185" s="4">
        <f t="shared" si="15"/>
        <v>178.69422612832804</v>
      </c>
    </row>
    <row r="186" spans="1:5" x14ac:dyDescent="0.55000000000000004">
      <c r="A186" s="25">
        <v>72</v>
      </c>
      <c r="B186" s="4">
        <f t="shared" si="13"/>
        <v>2.8601466354950826</v>
      </c>
      <c r="C186" s="4">
        <f t="shared" si="14"/>
        <v>4.8034678638583985</v>
      </c>
      <c r="D186" s="4">
        <f t="shared" si="12"/>
        <v>186.11072681053392</v>
      </c>
      <c r="E186" s="4">
        <f t="shared" si="15"/>
        <v>178.70297809845778</v>
      </c>
    </row>
    <row r="187" spans="1:5" x14ac:dyDescent="0.55000000000000004">
      <c r="A187" s="25">
        <v>72.25</v>
      </c>
      <c r="B187" s="4">
        <f t="shared" si="13"/>
        <v>2.8581652775161666</v>
      </c>
      <c r="C187" s="4">
        <f t="shared" si="14"/>
        <v>4.7918712961735785</v>
      </c>
      <c r="D187" s="4">
        <f t="shared" si="12"/>
        <v>186.10139342231531</v>
      </c>
      <c r="E187" s="4">
        <f t="shared" si="15"/>
        <v>178.7115285520315</v>
      </c>
    </row>
    <row r="188" spans="1:5" x14ac:dyDescent="0.55000000000000004">
      <c r="A188" s="25">
        <v>72.5</v>
      </c>
      <c r="B188" s="4">
        <f t="shared" si="13"/>
        <v>2.856190801009622</v>
      </c>
      <c r="C188" s="4">
        <f t="shared" si="14"/>
        <v>4.7803448602916072</v>
      </c>
      <c r="D188" s="4">
        <f t="shared" si="12"/>
        <v>186.09196897217402</v>
      </c>
      <c r="E188" s="4">
        <f t="shared" si="15"/>
        <v>178.71987978874381</v>
      </c>
    </row>
    <row r="189" spans="1:5" x14ac:dyDescent="0.55000000000000004">
      <c r="A189" s="25">
        <v>72.75</v>
      </c>
      <c r="B189" s="4">
        <f t="shared" si="13"/>
        <v>2.8542231575566595</v>
      </c>
      <c r="C189" s="4">
        <f t="shared" si="14"/>
        <v>4.7688878920787081</v>
      </c>
      <c r="D189" s="4">
        <f t="shared" si="12"/>
        <v>186.08245470358216</v>
      </c>
      <c r="E189" s="4">
        <f t="shared" si="15"/>
        <v>178.72803407627202</v>
      </c>
    </row>
    <row r="190" spans="1:5" x14ac:dyDescent="0.55000000000000004">
      <c r="A190" s="25">
        <v>73</v>
      </c>
      <c r="B190" s="4">
        <f t="shared" si="13"/>
        <v>2.8522622992452513</v>
      </c>
      <c r="C190" s="4">
        <f t="shared" si="14"/>
        <v>4.7574997359515185</v>
      </c>
      <c r="D190" s="4">
        <f t="shared" si="12"/>
        <v>186.07285184172468</v>
      </c>
      <c r="E190" s="4">
        <f t="shared" si="15"/>
        <v>178.73599365081986</v>
      </c>
    </row>
    <row r="191" spans="1:5" x14ac:dyDescent="0.55000000000000004">
      <c r="A191" s="25">
        <v>73.25</v>
      </c>
      <c r="B191" s="4">
        <f t="shared" si="13"/>
        <v>2.8503081786631053</v>
      </c>
      <c r="C191" s="4">
        <f t="shared" si="14"/>
        <v>4.7461797447381002</v>
      </c>
      <c r="D191" s="4">
        <f t="shared" si="12"/>
        <v>186.06316159381763</v>
      </c>
      <c r="E191" s="4">
        <f t="shared" si="15"/>
        <v>178.74376071765056</v>
      </c>
    </row>
    <row r="192" spans="1:5" x14ac:dyDescent="0.55000000000000004">
      <c r="A192" s="25">
        <v>73.5</v>
      </c>
      <c r="B192" s="4">
        <f t="shared" si="13"/>
        <v>2.8483607488907623</v>
      </c>
      <c r="C192" s="4">
        <f t="shared" si="14"/>
        <v>4.7349272795417621</v>
      </c>
      <c r="D192" s="4">
        <f t="shared" si="12"/>
        <v>186.05338514942096</v>
      </c>
      <c r="E192" s="4">
        <f t="shared" si="15"/>
        <v>178.75133745160926</v>
      </c>
    </row>
    <row r="193" spans="1:5" x14ac:dyDescent="0.55000000000000004">
      <c r="A193" s="25">
        <v>73.75</v>
      </c>
      <c r="B193" s="4">
        <f t="shared" si="13"/>
        <v>2.8464199634948062</v>
      </c>
      <c r="C193" s="4">
        <f t="shared" si="14"/>
        <v>4.7237417096073706</v>
      </c>
      <c r="D193" s="4">
        <f t="shared" si="12"/>
        <v>186.04352368074373</v>
      </c>
      <c r="E193" s="4">
        <f t="shared" si="15"/>
        <v>178.75872599763471</v>
      </c>
    </row>
    <row r="194" spans="1:5" x14ac:dyDescent="0.55000000000000004">
      <c r="A194" s="25">
        <v>74</v>
      </c>
      <c r="B194" s="4">
        <f t="shared" si="13"/>
        <v>2.8444857765211951</v>
      </c>
      <c r="C194" s="4">
        <f t="shared" si="14"/>
        <v>4.7126224121904974</v>
      </c>
      <c r="D194" s="4">
        <f t="shared" si="12"/>
        <v>186.0335783429442</v>
      </c>
      <c r="E194" s="4">
        <f t="shared" si="15"/>
        <v>178.76592847126088</v>
      </c>
    </row>
    <row r="195" spans="1:5" x14ac:dyDescent="0.55000000000000004">
      <c r="A195" s="25">
        <v>74.25</v>
      </c>
      <c r="B195" s="4">
        <f t="shared" si="13"/>
        <v>2.8425581424887083</v>
      </c>
      <c r="C195" s="4">
        <f t="shared" si="14"/>
        <v>4.701568772428911</v>
      </c>
      <c r="D195" s="4">
        <f t="shared" si="12"/>
        <v>186.02355027442312</v>
      </c>
      <c r="E195" s="4">
        <f t="shared" si="15"/>
        <v>178.77294695910876</v>
      </c>
    </row>
    <row r="196" spans="1:5" x14ac:dyDescent="0.55000000000000004">
      <c r="A196" s="25">
        <v>74.5</v>
      </c>
      <c r="B196" s="4">
        <f t="shared" si="13"/>
        <v>2.8406370163824954</v>
      </c>
      <c r="C196" s="4">
        <f t="shared" si="14"/>
        <v>4.6905801832166416</v>
      </c>
      <c r="D196" s="4">
        <f t="shared" si="12"/>
        <v>186.0134405971115</v>
      </c>
      <c r="E196" s="4">
        <f t="shared" si="15"/>
        <v>178.77978351936795</v>
      </c>
    </row>
    <row r="197" spans="1:5" x14ac:dyDescent="0.55000000000000004">
      <c r="A197" s="25">
        <v>74.75</v>
      </c>
      <c r="B197" s="4">
        <f t="shared" si="13"/>
        <v>2.8387223536477459</v>
      </c>
      <c r="C197" s="4">
        <f t="shared" si="14"/>
        <v>4.6796560450804705</v>
      </c>
      <c r="D197" s="4">
        <f t="shared" si="12"/>
        <v>186.00325041675234</v>
      </c>
      <c r="E197" s="4">
        <f t="shared" si="15"/>
        <v>178.78644018226919</v>
      </c>
    </row>
    <row r="198" spans="1:5" x14ac:dyDescent="0.55000000000000004">
      <c r="A198" s="25">
        <v>75</v>
      </c>
      <c r="B198" s="4">
        <f t="shared" si="13"/>
        <v>2.8368141101834548</v>
      </c>
      <c r="C198" s="4">
        <f t="shared" si="14"/>
        <v>4.6687957660587509</v>
      </c>
      <c r="D198" s="4">
        <f t="shared" si="12"/>
        <v>185.99298082317668</v>
      </c>
      <c r="E198" s="4">
        <f t="shared" si="15"/>
        <v>178.79291895054712</v>
      </c>
    </row>
    <row r="199" spans="1:5" x14ac:dyDescent="0.55000000000000004">
      <c r="A199" s="25">
        <v>75.25</v>
      </c>
      <c r="B199" s="4">
        <f t="shared" si="13"/>
        <v>2.834912242336308</v>
      </c>
      <c r="C199" s="4">
        <f t="shared" si="14"/>
        <v>4.6579987615826512</v>
      </c>
      <c r="D199" s="4">
        <f t="shared" si="12"/>
        <v>185.98263289057448</v>
      </c>
      <c r="E199" s="4">
        <f t="shared" si="15"/>
        <v>178.7992217998943</v>
      </c>
    </row>
    <row r="200" spans="1:5" x14ac:dyDescent="0.55000000000000004">
      <c r="A200" s="25">
        <v>75.5</v>
      </c>
      <c r="B200" s="4">
        <f t="shared" si="13"/>
        <v>2.8330167068946501</v>
      </c>
      <c r="C200" s="4">
        <f t="shared" si="14"/>
        <v>4.6472644543594912</v>
      </c>
      <c r="D200" s="4">
        <f t="shared" si="12"/>
        <v>185.97220767775966</v>
      </c>
      <c r="E200" s="4">
        <f t="shared" si="15"/>
        <v>178.80535067940633</v>
      </c>
    </row>
    <row r="201" spans="1:5" x14ac:dyDescent="0.55000000000000004">
      <c r="A201" s="25">
        <v>75.75</v>
      </c>
      <c r="B201" s="4">
        <f t="shared" si="13"/>
        <v>2.8311274610825707</v>
      </c>
      <c r="C201" s="4">
        <f t="shared" si="14"/>
        <v>4.636592274258466</v>
      </c>
      <c r="D201" s="4">
        <f t="shared" si="12"/>
        <v>185.96170622843002</v>
      </c>
      <c r="E201" s="4">
        <f t="shared" si="15"/>
        <v>178.81130751201781</v>
      </c>
    </row>
    <row r="202" spans="1:5" x14ac:dyDescent="0.55000000000000004">
      <c r="A202" s="25">
        <v>76</v>
      </c>
      <c r="B202" s="4">
        <f t="shared" si="13"/>
        <v>2.829244462554084</v>
      </c>
      <c r="C202" s="4">
        <f t="shared" si="14"/>
        <v>4.6259816581984659</v>
      </c>
      <c r="D202" s="4">
        <f t="shared" si="12"/>
        <v>185.95112957142217</v>
      </c>
      <c r="E202" s="4">
        <f t="shared" si="15"/>
        <v>178.81709419493029</v>
      </c>
    </row>
    <row r="203" spans="1:5" x14ac:dyDescent="0.55000000000000004">
      <c r="A203" s="25">
        <v>76.25</v>
      </c>
      <c r="B203" s="4">
        <f t="shared" si="13"/>
        <v>2.8273676693873964</v>
      </c>
      <c r="C203" s="4">
        <f t="shared" si="14"/>
        <v>4.6154320500380033</v>
      </c>
      <c r="D203" s="4">
        <f t="shared" si="12"/>
        <v>185.94047872096112</v>
      </c>
      <c r="E203" s="4">
        <f t="shared" si="15"/>
        <v>178.82271260003182</v>
      </c>
    </row>
    <row r="204" spans="1:5" x14ac:dyDescent="0.55000000000000004">
      <c r="A204" s="25">
        <v>76.5</v>
      </c>
      <c r="B204" s="4">
        <f t="shared" si="13"/>
        <v>2.8254970400792851</v>
      </c>
      <c r="C204" s="4">
        <f t="shared" si="14"/>
        <v>4.6049429004672309</v>
      </c>
      <c r="D204" s="4">
        <f t="shared" si="12"/>
        <v>185.92975467690542</v>
      </c>
      <c r="E204" s="4">
        <f t="shared" si="15"/>
        <v>178.82816457430826</v>
      </c>
    </row>
    <row r="205" spans="1:5" x14ac:dyDescent="0.55000000000000004">
      <c r="A205" s="25">
        <v>76.75</v>
      </c>
      <c r="B205" s="4">
        <f t="shared" si="13"/>
        <v>2.8236325335395538</v>
      </c>
      <c r="C205" s="4">
        <f t="shared" si="14"/>
        <v>4.5945136669019879</v>
      </c>
      <c r="D205" s="4">
        <f t="shared" si="12"/>
        <v>185.91895842498681</v>
      </c>
      <c r="E205" s="4">
        <f t="shared" si="15"/>
        <v>178.83345194024668</v>
      </c>
    </row>
    <row r="206" spans="1:5" x14ac:dyDescent="0.55000000000000004">
      <c r="A206" s="25">
        <v>77</v>
      </c>
      <c r="B206" s="4">
        <f t="shared" si="13"/>
        <v>2.8217741090855895</v>
      </c>
      <c r="C206" s="4">
        <f t="shared" si="14"/>
        <v>4.5841438133798285</v>
      </c>
      <c r="D206" s="4">
        <f t="shared" si="12"/>
        <v>185.90809093704556</v>
      </c>
      <c r="E206" s="4">
        <f t="shared" si="15"/>
        <v>178.83857649623087</v>
      </c>
    </row>
    <row r="207" spans="1:5" x14ac:dyDescent="0.55000000000000004">
      <c r="A207" s="25">
        <v>77.25</v>
      </c>
      <c r="B207" s="4">
        <f t="shared" si="13"/>
        <v>2.8199217264370047</v>
      </c>
      <c r="C207" s="4">
        <f t="shared" si="14"/>
        <v>4.573832810457982</v>
      </c>
      <c r="D207" s="4">
        <f t="shared" ref="D207:D270" si="16">$B$6*$B$12/9.81*($B$9*SQRT(2/($B$9-1)*(2/($B$9+1))^(($B$9+1)/($B$9-1))*(1 - (A207/$B$3)^(($B$9-1)/$B$9))) + C207/$B$3*(A207 - $E$5))</f>
        <v>185.89715317126166</v>
      </c>
      <c r="E207" s="4">
        <f t="shared" si="15"/>
        <v>178.84354001692984</v>
      </c>
    </row>
    <row r="208" spans="1:5" x14ac:dyDescent="0.55000000000000004">
      <c r="A208" s="25">
        <v>77.5</v>
      </c>
      <c r="B208" s="4">
        <f t="shared" ref="B208:B271" si="17">SQRT(2/($B$9-1)*((A208/$B$3)^((1-$B$9)/$B$9) - 1))</f>
        <v>2.8180753457103696</v>
      </c>
      <c r="C208" s="4">
        <f t="shared" ref="C208:C271" si="18">1/B208*(2/($B$9+1)*(1 + ($B$9-1)/2*B208^2))^(($B$9+1)/(2*$B$9-2))</f>
        <v>4.5635801351132308</v>
      </c>
      <c r="D208" s="4">
        <f t="shared" si="16"/>
        <v>185.88614607238054</v>
      </c>
      <c r="E208" s="4">
        <f t="shared" ref="E208:E271" si="19">$B$6*$B$12/9.81*($B$9*SQRT(2/($B$9-1)*(2/($B$9+1))^(($B$9+1)/($B$9-1))*(1 - (A208/$B$3)^(($B$9-1)/$B$9))) + C208/$B$3*(A208 - $E$4))</f>
        <v>178.84834425367811</v>
      </c>
    </row>
    <row r="209" spans="1:5" x14ac:dyDescent="0.55000000000000004">
      <c r="A209" s="25">
        <v>77.75</v>
      </c>
      <c r="B209" s="4">
        <f t="shared" si="17"/>
        <v>2.8162349274140261</v>
      </c>
      <c r="C209" s="4">
        <f t="shared" si="18"/>
        <v>4.5533852706436111</v>
      </c>
      <c r="D209" s="4">
        <f t="shared" si="16"/>
        <v>185.87507057193503</v>
      </c>
      <c r="E209" s="4">
        <f t="shared" si="19"/>
        <v>178.85299093484909</v>
      </c>
    </row>
    <row r="210" spans="1:5" x14ac:dyDescent="0.55000000000000004">
      <c r="A210" s="25">
        <v>78</v>
      </c>
      <c r="B210" s="4">
        <f t="shared" si="17"/>
        <v>2.814400432442989</v>
      </c>
      <c r="C210" s="4">
        <f t="shared" si="18"/>
        <v>4.5432477065719405</v>
      </c>
      <c r="D210" s="4">
        <f t="shared" si="16"/>
        <v>185.86392758846307</v>
      </c>
      <c r="E210" s="4">
        <f t="shared" si="19"/>
        <v>178.85748176622172</v>
      </c>
    </row>
    <row r="211" spans="1:5" x14ac:dyDescent="0.55000000000000004">
      <c r="A211" s="25">
        <v>78.25</v>
      </c>
      <c r="B211" s="4">
        <f t="shared" si="17"/>
        <v>2.8125718220739304</v>
      </c>
      <c r="C211" s="4">
        <f t="shared" si="18"/>
        <v>4.5331669385511733</v>
      </c>
      <c r="D211" s="4">
        <f t="shared" si="16"/>
        <v>185.85271802772101</v>
      </c>
      <c r="E211" s="4">
        <f t="shared" si="19"/>
        <v>178.86181843133963</v>
      </c>
    </row>
    <row r="212" spans="1:5" x14ac:dyDescent="0.55000000000000004">
      <c r="A212" s="25">
        <v>78.5</v>
      </c>
      <c r="B212" s="4">
        <f t="shared" si="17"/>
        <v>2.8107490579602419</v>
      </c>
      <c r="C212" s="4">
        <f t="shared" si="18"/>
        <v>4.5231424682713808</v>
      </c>
      <c r="D212" s="4">
        <f t="shared" si="16"/>
        <v>185.8414427828927</v>
      </c>
      <c r="E212" s="4">
        <f t="shared" si="19"/>
        <v>178.86600259186363</v>
      </c>
    </row>
    <row r="213" spans="1:5" x14ac:dyDescent="0.55000000000000004">
      <c r="A213" s="25">
        <v>78.75</v>
      </c>
      <c r="B213" s="4">
        <f t="shared" si="17"/>
        <v>2.8089321021271796</v>
      </c>
      <c r="C213" s="4">
        <f t="shared" si="18"/>
        <v>4.51317380336857</v>
      </c>
      <c r="D213" s="4">
        <f t="shared" si="16"/>
        <v>185.83010273479482</v>
      </c>
      <c r="E213" s="4">
        <f t="shared" si="19"/>
        <v>178.87003588791796</v>
      </c>
    </row>
    <row r="214" spans="1:5" x14ac:dyDescent="0.55000000000000004">
      <c r="A214" s="25">
        <v>79</v>
      </c>
      <c r="B214" s="4">
        <f t="shared" si="17"/>
        <v>2.8071209169670843</v>
      </c>
      <c r="C214" s="4">
        <f t="shared" si="18"/>
        <v>4.5032604573350348</v>
      </c>
      <c r="D214" s="4">
        <f t="shared" si="16"/>
        <v>185.81869875207829</v>
      </c>
      <c r="E214" s="4">
        <f t="shared" si="19"/>
        <v>178.8739199384294</v>
      </c>
    </row>
    <row r="215" spans="1:5" x14ac:dyDescent="0.55000000000000004">
      <c r="A215" s="25">
        <v>79.25</v>
      </c>
      <c r="B215" s="4">
        <f t="shared" si="17"/>
        <v>2.8053154652346795</v>
      </c>
      <c r="C215" s="4">
        <f t="shared" si="18"/>
        <v>4.4934019494314361</v>
      </c>
      <c r="D215" s="4">
        <f t="shared" si="16"/>
        <v>185.80723169142561</v>
      </c>
      <c r="E215" s="4">
        <f t="shared" si="19"/>
        <v>178.87765634146081</v>
      </c>
    </row>
    <row r="216" spans="1:5" x14ac:dyDescent="0.55000000000000004">
      <c r="A216" s="25">
        <v>79.5</v>
      </c>
      <c r="B216" s="4">
        <f t="shared" si="17"/>
        <v>2.8035157100424435</v>
      </c>
      <c r="C216" s="4">
        <f t="shared" si="18"/>
        <v>4.4835978046004312</v>
      </c>
      <c r="D216" s="4">
        <f t="shared" si="16"/>
        <v>185.79570239774455</v>
      </c>
      <c r="E216" s="4">
        <f t="shared" si="19"/>
        <v>178.88124667453761</v>
      </c>
    </row>
    <row r="217" spans="1:5" x14ac:dyDescent="0.55000000000000004">
      <c r="A217" s="25">
        <v>79.75</v>
      </c>
      <c r="B217" s="4">
        <f t="shared" si="17"/>
        <v>2.8017216148560546</v>
      </c>
      <c r="C217" s="4">
        <f t="shared" si="18"/>
        <v>4.4738475533818534</v>
      </c>
      <c r="D217" s="4">
        <f t="shared" si="16"/>
        <v>185.78411170435831</v>
      </c>
      <c r="E217" s="4">
        <f t="shared" si="19"/>
        <v>178.88469249496887</v>
      </c>
    </row>
    <row r="218" spans="1:5" x14ac:dyDescent="0.55000000000000004">
      <c r="A218" s="25">
        <v>80</v>
      </c>
      <c r="B218" s="4">
        <f t="shared" si="17"/>
        <v>2.7999331434899131</v>
      </c>
      <c r="C218" s="4">
        <f t="shared" si="18"/>
        <v>4.4641507318294682</v>
      </c>
      <c r="D218" s="4">
        <f t="shared" si="16"/>
        <v>185.77246043319201</v>
      </c>
      <c r="E218" s="4">
        <f t="shared" si="19"/>
        <v>178.88799534016218</v>
      </c>
    </row>
    <row r="219" spans="1:5" x14ac:dyDescent="0.55000000000000004">
      <c r="A219" s="25">
        <v>80.25</v>
      </c>
      <c r="B219" s="4">
        <f t="shared" si="17"/>
        <v>2.7981502601027248</v>
      </c>
      <c r="C219" s="4">
        <f t="shared" si="18"/>
        <v>4.454506881429154</v>
      </c>
      <c r="D219" s="4">
        <f t="shared" si="16"/>
        <v>185.76074939495524</v>
      </c>
      <c r="E219" s="4">
        <f t="shared" si="19"/>
        <v>178.89115672793247</v>
      </c>
    </row>
    <row r="220" spans="1:5" x14ac:dyDescent="0.55000000000000004">
      <c r="A220" s="25">
        <v>80.5</v>
      </c>
      <c r="B220" s="4">
        <f t="shared" si="17"/>
        <v>2.7963729291931618</v>
      </c>
      <c r="C220" s="4">
        <f t="shared" si="18"/>
        <v>4.4449155490186092</v>
      </c>
      <c r="D220" s="4">
        <f t="shared" si="16"/>
        <v>185.74897938932233</v>
      </c>
      <c r="E220" s="4">
        <f t="shared" si="19"/>
        <v>178.89417815680582</v>
      </c>
    </row>
    <row r="221" spans="1:5" x14ac:dyDescent="0.55000000000000004">
      <c r="A221" s="4">
        <v>80.75</v>
      </c>
      <c r="B221" s="4">
        <f t="shared" si="17"/>
        <v>2.7946011155955905</v>
      </c>
      <c r="C221" s="4">
        <f t="shared" si="18"/>
        <v>4.4353762867084585</v>
      </c>
      <c r="D221" s="4">
        <f t="shared" si="16"/>
        <v>185.73715120510755</v>
      </c>
      <c r="E221" s="4">
        <f t="shared" si="19"/>
        <v>178.89706110631676</v>
      </c>
    </row>
    <row r="222" spans="1:5" x14ac:dyDescent="0.55000000000000004">
      <c r="A222" s="26">
        <v>81</v>
      </c>
      <c r="B222" s="4">
        <f t="shared" si="17"/>
        <v>2.7928347844758603</v>
      </c>
      <c r="C222" s="4">
        <f t="shared" si="18"/>
        <v>4.4258886518047689</v>
      </c>
      <c r="D222" s="4">
        <f t="shared" si="16"/>
        <v>185.72526562043882</v>
      </c>
      <c r="E222" s="4">
        <f t="shared" si="19"/>
        <v>178.89980703730095</v>
      </c>
    </row>
    <row r="223" spans="1:5" x14ac:dyDescent="0.55000000000000004">
      <c r="A223" s="25">
        <v>81.25</v>
      </c>
      <c r="B223" s="4">
        <f t="shared" si="17"/>
        <v>2.7910739013271662</v>
      </c>
      <c r="C223" s="4">
        <f t="shared" si="18"/>
        <v>4.4164522067329557</v>
      </c>
      <c r="D223" s="4">
        <f t="shared" si="16"/>
        <v>185.71332340292673</v>
      </c>
      <c r="E223" s="4">
        <f t="shared" si="19"/>
        <v>178.90241739218212</v>
      </c>
    </row>
    <row r="224" spans="1:5" x14ac:dyDescent="0.55000000000000004">
      <c r="A224" s="25">
        <v>81.5</v>
      </c>
      <c r="B224" s="4">
        <f t="shared" si="17"/>
        <v>2.7893184319659698</v>
      </c>
      <c r="C224" s="4">
        <f t="shared" si="18"/>
        <v>4.4070665189630054</v>
      </c>
      <c r="D224" s="4">
        <f t="shared" si="16"/>
        <v>185.70132530983142</v>
      </c>
      <c r="E224" s="4">
        <f t="shared" si="19"/>
        <v>178.9048935952537</v>
      </c>
    </row>
    <row r="225" spans="1:5" x14ac:dyDescent="0.55000000000000004">
      <c r="A225" s="25">
        <v>81.75</v>
      </c>
      <c r="B225" s="4">
        <f t="shared" si="17"/>
        <v>2.7875683425279858</v>
      </c>
      <c r="C225" s="4">
        <f t="shared" si="18"/>
        <v>4.3977311609360239</v>
      </c>
      <c r="D225" s="4">
        <f t="shared" si="16"/>
        <v>185.68927208822558</v>
      </c>
      <c r="E225" s="4">
        <f t="shared" si="19"/>
        <v>178.90723705295562</v>
      </c>
    </row>
    <row r="226" spans="1:5" x14ac:dyDescent="0.55000000000000004">
      <c r="A226" s="25">
        <v>82</v>
      </c>
      <c r="B226" s="4">
        <f t="shared" si="17"/>
        <v>2.7858235994642304</v>
      </c>
      <c r="C226" s="4">
        <f t="shared" si="18"/>
        <v>4.388445709992121</v>
      </c>
      <c r="D226" s="4">
        <f t="shared" si="16"/>
        <v>185.67716447515537</v>
      </c>
      <c r="E226" s="4">
        <f t="shared" si="19"/>
        <v>178.90944915414607</v>
      </c>
    </row>
    <row r="227" spans="1:5" x14ac:dyDescent="0.55000000000000004">
      <c r="A227" s="25">
        <v>82.25</v>
      </c>
      <c r="B227" s="4">
        <f t="shared" si="17"/>
        <v>2.7840841695371306</v>
      </c>
      <c r="C227" s="4">
        <f t="shared" si="18"/>
        <v>4.3792097482994699</v>
      </c>
      <c r="D227" s="4">
        <f t="shared" si="16"/>
        <v>185.66500319779732</v>
      </c>
      <c r="E227" s="4">
        <f t="shared" si="19"/>
        <v>178.91153127036799</v>
      </c>
    </row>
    <row r="228" spans="1:5" x14ac:dyDescent="0.55000000000000004">
      <c r="A228" s="25">
        <v>82.5</v>
      </c>
      <c r="B228" s="4">
        <f t="shared" si="17"/>
        <v>2.7823500198166919</v>
      </c>
      <c r="C228" s="4">
        <f t="shared" si="18"/>
        <v>4.3700228627846887</v>
      </c>
      <c r="D228" s="4">
        <f t="shared" si="16"/>
        <v>185.65278897361321</v>
      </c>
      <c r="E228" s="4">
        <f t="shared" si="19"/>
        <v>178.9134847561111</v>
      </c>
    </row>
    <row r="229" spans="1:5" x14ac:dyDescent="0.55000000000000004">
      <c r="A229" s="25">
        <v>82.75</v>
      </c>
      <c r="B229" s="4">
        <f t="shared" si="17"/>
        <v>2.7806211176767257</v>
      </c>
      <c r="C229" s="4">
        <f t="shared" si="18"/>
        <v>4.3608846450643908</v>
      </c>
      <c r="D229" s="4">
        <f t="shared" si="16"/>
        <v>185.64052251050163</v>
      </c>
      <c r="E229" s="4">
        <f t="shared" si="19"/>
        <v>178.91531094906946</v>
      </c>
    </row>
    <row r="230" spans="1:5" x14ac:dyDescent="0.55000000000000004">
      <c r="A230" s="25">
        <v>83</v>
      </c>
      <c r="B230" s="4">
        <f t="shared" si="17"/>
        <v>2.7788974307911349</v>
      </c>
      <c r="C230" s="4">
        <f t="shared" si="18"/>
        <v>4.3517946913779246</v>
      </c>
      <c r="D230" s="4">
        <f t="shared" si="16"/>
        <v>185.62820450694701</v>
      </c>
      <c r="E230" s="4">
        <f t="shared" si="19"/>
        <v>178.91701117039369</v>
      </c>
    </row>
    <row r="231" spans="1:5" x14ac:dyDescent="0.55000000000000004">
      <c r="A231" s="25">
        <v>83.25</v>
      </c>
      <c r="B231" s="4">
        <f t="shared" si="17"/>
        <v>2.7771789271302554</v>
      </c>
      <c r="C231" s="4">
        <f t="shared" si="18"/>
        <v>4.3427526025213004</v>
      </c>
      <c r="D231" s="4">
        <f t="shared" si="16"/>
        <v>185.6158356521658</v>
      </c>
      <c r="E231" s="4">
        <f t="shared" si="19"/>
        <v>178.91858672493933</v>
      </c>
    </row>
    <row r="232" spans="1:5" x14ac:dyDescent="0.55000000000000004">
      <c r="A232" s="25">
        <v>83.5</v>
      </c>
      <c r="B232" s="4">
        <f t="shared" si="17"/>
        <v>2.7754655749572517</v>
      </c>
      <c r="C232" s="4">
        <f t="shared" si="18"/>
        <v>4.3337579837822346</v>
      </c>
      <c r="D232" s="4">
        <f t="shared" si="16"/>
        <v>185.60341662625001</v>
      </c>
      <c r="E232" s="4">
        <f t="shared" si="19"/>
        <v>178.92003890151065</v>
      </c>
    </row>
    <row r="233" spans="1:5" x14ac:dyDescent="0.55000000000000004">
      <c r="A233" s="25">
        <v>83.75</v>
      </c>
      <c r="B233" s="4">
        <f t="shared" si="17"/>
        <v>2.7737573428245677</v>
      </c>
      <c r="C233" s="4">
        <f t="shared" si="18"/>
        <v>4.3248104448763138</v>
      </c>
      <c r="D233" s="4">
        <f t="shared" si="16"/>
        <v>185.59094810030831</v>
      </c>
      <c r="E233" s="4">
        <f t="shared" si="19"/>
        <v>178.92136897309999</v>
      </c>
    </row>
    <row r="234" spans="1:5" x14ac:dyDescent="0.55000000000000004">
      <c r="A234" s="25">
        <v>84</v>
      </c>
      <c r="B234" s="4">
        <f t="shared" si="17"/>
        <v>2.7720541995704346</v>
      </c>
      <c r="C234" s="4">
        <f t="shared" si="18"/>
        <v>4.3159095998842654</v>
      </c>
      <c r="D234" s="4">
        <f t="shared" si="16"/>
        <v>185.57843073660422</v>
      </c>
      <c r="E234" s="4">
        <f t="shared" si="19"/>
        <v>178.9225781971227</v>
      </c>
    </row>
    <row r="235" spans="1:5" x14ac:dyDescent="0.55000000000000004">
      <c r="A235" s="25">
        <v>84.25</v>
      </c>
      <c r="B235" s="4">
        <f t="shared" si="17"/>
        <v>2.7703561143154269</v>
      </c>
      <c r="C235" s="4">
        <f t="shared" si="18"/>
        <v>4.3070550671903121</v>
      </c>
      <c r="D235" s="4">
        <f t="shared" si="16"/>
        <v>185.56586518869241</v>
      </c>
      <c r="E235" s="4">
        <f t="shared" si="19"/>
        <v>178.92366781564874</v>
      </c>
    </row>
    <row r="236" spans="1:5" x14ac:dyDescent="0.55000000000000004">
      <c r="A236" s="25">
        <v>84.5</v>
      </c>
      <c r="B236" s="4">
        <f t="shared" si="17"/>
        <v>2.7686630564590682</v>
      </c>
      <c r="C236" s="4">
        <f t="shared" si="18"/>
        <v>4.2982464694215201</v>
      </c>
      <c r="D236" s="4">
        <f t="shared" si="16"/>
        <v>185.55325210155195</v>
      </c>
      <c r="E236" s="4">
        <f t="shared" si="19"/>
        <v>178.92463905562906</v>
      </c>
    </row>
    <row r="237" spans="1:5" x14ac:dyDescent="0.55000000000000004">
      <c r="A237" s="25">
        <v>84.75</v>
      </c>
      <c r="B237" s="4">
        <f t="shared" si="17"/>
        <v>2.766974995676494</v>
      </c>
      <c r="C237" s="4">
        <f t="shared" si="18"/>
        <v>4.289483433388245</v>
      </c>
      <c r="D237" s="4">
        <f t="shared" si="16"/>
        <v>185.54059211171736</v>
      </c>
      <c r="E237" s="4">
        <f t="shared" si="19"/>
        <v>178.92549312911896</v>
      </c>
    </row>
    <row r="238" spans="1:5" x14ac:dyDescent="0.55000000000000004">
      <c r="A238" s="25">
        <v>85</v>
      </c>
      <c r="B238" s="4">
        <f t="shared" si="17"/>
        <v>2.7652919019151612</v>
      </c>
      <c r="C238" s="4">
        <f t="shared" si="18"/>
        <v>4.280765590025557</v>
      </c>
      <c r="D238" s="4">
        <f t="shared" si="16"/>
        <v>185.5278858474077</v>
      </c>
      <c r="E238" s="4">
        <f t="shared" si="19"/>
        <v>178.92623123349719</v>
      </c>
    </row>
    <row r="239" spans="1:5" x14ac:dyDescent="0.55000000000000004">
      <c r="A239" s="25">
        <v>85.25</v>
      </c>
      <c r="B239" s="4">
        <f t="shared" si="17"/>
        <v>2.7636137453916034</v>
      </c>
      <c r="C239" s="4">
        <f t="shared" si="18"/>
        <v>4.2720925743356553</v>
      </c>
      <c r="D239" s="4">
        <f t="shared" si="16"/>
        <v>185.51513392865272</v>
      </c>
      <c r="E239" s="4">
        <f t="shared" si="19"/>
        <v>178.92685455168095</v>
      </c>
    </row>
    <row r="240" spans="1:5" x14ac:dyDescent="0.55000000000000004">
      <c r="A240" s="25">
        <v>85.5</v>
      </c>
      <c r="B240" s="4">
        <f t="shared" si="17"/>
        <v>2.7619404965882413</v>
      </c>
      <c r="C240" s="4">
        <f t="shared" si="18"/>
        <v>4.2634640253312677</v>
      </c>
      <c r="D240" s="4">
        <f t="shared" si="16"/>
        <v>185.50233696741714</v>
      </c>
      <c r="E240" s="4">
        <f t="shared" si="19"/>
        <v>178.92736425233753</v>
      </c>
    </row>
    <row r="241" spans="1:6" x14ac:dyDescent="0.55000000000000004">
      <c r="A241" s="25">
        <v>85.75</v>
      </c>
      <c r="B241" s="4">
        <f t="shared" si="17"/>
        <v>2.7602721262502325</v>
      </c>
      <c r="C241" s="4">
        <f t="shared" si="18"/>
        <v>4.2548795859799693</v>
      </c>
      <c r="D241" s="4">
        <f t="shared" si="16"/>
        <v>185.489495567723</v>
      </c>
      <c r="E241" s="4">
        <f t="shared" si="19"/>
        <v>178.92776149009259</v>
      </c>
      <c r="F241" s="25"/>
    </row>
    <row r="242" spans="1:6" x14ac:dyDescent="0.55000000000000004">
      <c r="A242" s="25">
        <v>86</v>
      </c>
      <c r="B242" s="4">
        <f t="shared" si="17"/>
        <v>2.7586086053823728</v>
      </c>
      <c r="C242" s="4">
        <f t="shared" si="18"/>
        <v>4.2463389031494723</v>
      </c>
      <c r="D242" s="4">
        <f t="shared" si="16"/>
        <v>185.47661032576912</v>
      </c>
      <c r="E242" s="4">
        <f t="shared" si="19"/>
        <v>178.92804740573382</v>
      </c>
      <c r="F242" s="25"/>
    </row>
    <row r="243" spans="1:6" x14ac:dyDescent="0.55000000000000004">
      <c r="A243" s="25">
        <v>86.25</v>
      </c>
      <c r="B243" s="4">
        <f t="shared" si="17"/>
        <v>2.7569499052460387</v>
      </c>
      <c r="C243" s="4">
        <f t="shared" si="18"/>
        <v>4.2378416275537925</v>
      </c>
      <c r="D243" s="4">
        <f t="shared" si="16"/>
        <v>185.46368183004904</v>
      </c>
      <c r="E243" s="4">
        <f t="shared" si="19"/>
        <v>178.92822312641198</v>
      </c>
      <c r="F243" s="25"/>
    </row>
    <row r="244" spans="1:6" x14ac:dyDescent="0.55000000000000004">
      <c r="A244" s="3">
        <v>86.5</v>
      </c>
      <c r="B244" s="5">
        <f t="shared" si="17"/>
        <v>2.7552959973561824</v>
      </c>
      <c r="C244" s="5">
        <f>1/B244*(2/($B$9+1)*(1 + ($B$9-1)/2*B244^2))^(($B$9+1)/(2*$B$9-2))</f>
        <v>4.2293874137003593</v>
      </c>
      <c r="D244" s="5">
        <f t="shared" si="16"/>
        <v>185.45071066146676</v>
      </c>
      <c r="E244" s="5">
        <f t="shared" si="19"/>
        <v>178.92828976583829</v>
      </c>
      <c r="F244" s="2" t="s">
        <v>62</v>
      </c>
    </row>
    <row r="245" spans="1:6" x14ac:dyDescent="0.55000000000000004">
      <c r="A245" s="25">
        <v>86.75</v>
      </c>
      <c r="B245" s="4">
        <f t="shared" si="17"/>
        <v>2.7536468534783611</v>
      </c>
      <c r="C245" s="4">
        <f t="shared" si="18"/>
        <v>4.22097591983795</v>
      </c>
      <c r="D245" s="4">
        <f t="shared" si="16"/>
        <v>185.43769739345049</v>
      </c>
      <c r="E245" s="4">
        <f t="shared" si="19"/>
        <v>178.92824842447831</v>
      </c>
      <c r="F245" s="25"/>
    </row>
    <row r="246" spans="1:6" x14ac:dyDescent="0.55000000000000004">
      <c r="A246" s="25">
        <v>87</v>
      </c>
      <c r="B246" s="4">
        <f t="shared" si="17"/>
        <v>2.752002445625815</v>
      </c>
      <c r="C246" s="4">
        <f t="shared" si="18"/>
        <v>4.2126068079055337</v>
      </c>
      <c r="D246" s="4">
        <f t="shared" si="16"/>
        <v>185.42464259206403</v>
      </c>
      <c r="E246" s="4">
        <f t="shared" si="19"/>
        <v>178.92810018974239</v>
      </c>
      <c r="F246" s="25"/>
    </row>
    <row r="247" spans="1:6" x14ac:dyDescent="0.55000000000000004">
      <c r="A247" s="25">
        <v>87.25</v>
      </c>
      <c r="B247" s="4">
        <f t="shared" si="17"/>
        <v>2.7503627460565903</v>
      </c>
      <c r="C247" s="4">
        <f t="shared" si="18"/>
        <v>4.2042797434819255</v>
      </c>
      <c r="D247" s="4">
        <f t="shared" si="16"/>
        <v>185.4115468161169</v>
      </c>
      <c r="E247" s="4">
        <f t="shared" si="19"/>
        <v>178.92784613617326</v>
      </c>
      <c r="F247" s="25"/>
    </row>
    <row r="248" spans="1:6" x14ac:dyDescent="0.55000000000000004">
      <c r="A248" s="25">
        <v>87.5</v>
      </c>
      <c r="B248" s="4">
        <f t="shared" si="17"/>
        <v>2.7487277272706914</v>
      </c>
      <c r="C248" s="4">
        <f t="shared" si="18"/>
        <v>4.1959943957362711</v>
      </c>
      <c r="D248" s="4">
        <f t="shared" si="16"/>
        <v>185.39841061727179</v>
      </c>
      <c r="E248" s="4">
        <f t="shared" si="19"/>
        <v>178.92748732563001</v>
      </c>
      <c r="F248" s="25"/>
    </row>
    <row r="249" spans="1:6" x14ac:dyDescent="0.55000000000000004">
      <c r="A249" s="25">
        <v>87.75</v>
      </c>
      <c r="B249" s="4">
        <f t="shared" si="17"/>
        <v>2.747097362007294</v>
      </c>
      <c r="C249" s="4">
        <f t="shared" si="18"/>
        <v>4.1877504373794006</v>
      </c>
      <c r="D249" s="4">
        <f t="shared" si="16"/>
        <v>185.3852345401508</v>
      </c>
      <c r="E249" s="4">
        <f t="shared" si="19"/>
        <v>178.92702480746922</v>
      </c>
      <c r="F249" s="25"/>
    </row>
    <row r="250" spans="1:6" x14ac:dyDescent="0.55000000000000004">
      <c r="A250" s="25">
        <v>88</v>
      </c>
      <c r="B250" s="4">
        <f t="shared" si="17"/>
        <v>2.7454716232419796</v>
      </c>
      <c r="C250" s="4">
        <f t="shared" si="18"/>
        <v>4.1795475446158736</v>
      </c>
      <c r="D250" s="4">
        <f t="shared" si="16"/>
        <v>185.37201912243958</v>
      </c>
      <c r="E250" s="4">
        <f t="shared" si="19"/>
        <v>178.92645961872304</v>
      </c>
      <c r="F250" s="25"/>
    </row>
    <row r="251" spans="1:6" x14ac:dyDescent="0.55000000000000004">
      <c r="A251" s="25">
        <v>88.25</v>
      </c>
      <c r="B251" s="4">
        <f t="shared" si="17"/>
        <v>2.7438504841840183</v>
      </c>
      <c r="C251" s="4">
        <f t="shared" si="18"/>
        <v>4.1713853970969206</v>
      </c>
      <c r="D251" s="4">
        <f t="shared" si="16"/>
        <v>185.35876489498938</v>
      </c>
      <c r="E251" s="4">
        <f t="shared" si="19"/>
        <v>178.92579278427414</v>
      </c>
      <c r="F251" s="25"/>
    </row>
    <row r="252" spans="1:6" x14ac:dyDescent="0.55000000000000004">
      <c r="A252" s="25">
        <v>88.5</v>
      </c>
      <c r="B252" s="4">
        <f t="shared" si="17"/>
        <v>2.7422339182736932</v>
      </c>
      <c r="C252" s="4">
        <f t="shared" si="18"/>
        <v>4.1632636778740588</v>
      </c>
      <c r="D252" s="4">
        <f t="shared" si="16"/>
        <v>185.34547238191794</v>
      </c>
      <c r="E252" s="4">
        <f t="shared" si="19"/>
        <v>178.92502531702755</v>
      </c>
      <c r="F252" s="25"/>
    </row>
    <row r="253" spans="1:6" x14ac:dyDescent="0.55000000000000004">
      <c r="A253" s="25">
        <v>88.75</v>
      </c>
      <c r="B253" s="4">
        <f t="shared" si="17"/>
        <v>2.7406218991796556</v>
      </c>
      <c r="C253" s="4">
        <f t="shared" si="18"/>
        <v>4.155182073353525</v>
      </c>
      <c r="D253" s="4">
        <f t="shared" si="16"/>
        <v>185.33214210070824</v>
      </c>
      <c r="E253" s="4">
        <f t="shared" si="19"/>
        <v>178.92415821808018</v>
      </c>
      <c r="F253" s="25"/>
    </row>
    <row r="254" spans="1:6" x14ac:dyDescent="0.55000000000000004">
      <c r="A254" s="25">
        <v>89</v>
      </c>
      <c r="B254" s="4">
        <f t="shared" si="17"/>
        <v>2.7390144007963233</v>
      </c>
      <c r="C254" s="4">
        <f t="shared" si="18"/>
        <v>4.1471402732514075</v>
      </c>
      <c r="D254" s="4">
        <f t="shared" si="16"/>
        <v>185.31877456230569</v>
      </c>
      <c r="E254" s="4">
        <f t="shared" si="19"/>
        <v>178.92319247688701</v>
      </c>
      <c r="F254" s="25"/>
    </row>
    <row r="255" spans="1:6" x14ac:dyDescent="0.55000000000000004">
      <c r="A255" s="25">
        <v>89.25</v>
      </c>
      <c r="B255" s="4">
        <f t="shared" si="17"/>
        <v>2.7374113972413121</v>
      </c>
      <c r="C255" s="4">
        <f t="shared" si="18"/>
        <v>4.1391379705495073</v>
      </c>
      <c r="D255" s="4">
        <f t="shared" si="16"/>
        <v>185.30537027121341</v>
      </c>
      <c r="E255" s="4">
        <f t="shared" si="19"/>
        <v>178.92212907142437</v>
      </c>
      <c r="F255" s="25"/>
    </row>
    <row r="256" spans="1:6" x14ac:dyDescent="0.55000000000000004">
      <c r="A256" s="25">
        <v>89.5</v>
      </c>
      <c r="B256" s="4">
        <f t="shared" si="17"/>
        <v>2.7358128628529084</v>
      </c>
      <c r="C256" s="4">
        <f t="shared" si="18"/>
        <v>4.1311748614519512</v>
      </c>
      <c r="D256" s="4">
        <f t="shared" si="16"/>
        <v>185.29192972558656</v>
      </c>
      <c r="E256" s="4">
        <f t="shared" si="19"/>
        <v>178.92096896835139</v>
      </c>
      <c r="F256" s="25"/>
    </row>
    <row r="257" spans="1:5" x14ac:dyDescent="0.55000000000000004">
      <c r="A257" s="25">
        <v>89.75</v>
      </c>
      <c r="B257" s="4">
        <f t="shared" si="17"/>
        <v>2.7342187721875719</v>
      </c>
      <c r="C257" s="4">
        <f t="shared" si="18"/>
        <v>4.1232506453424245</v>
      </c>
      <c r="D257" s="4">
        <f t="shared" si="16"/>
        <v>185.27845341732416</v>
      </c>
      <c r="E257" s="4">
        <f t="shared" si="19"/>
        <v>178.91971312316758</v>
      </c>
    </row>
    <row r="258" spans="1:5" x14ac:dyDescent="0.55000000000000004">
      <c r="A258" s="25">
        <v>90</v>
      </c>
      <c r="B258" s="4">
        <f t="shared" si="17"/>
        <v>2.7326291000174772</v>
      </c>
      <c r="C258" s="4">
        <f t="shared" si="18"/>
        <v>4.1153650247421503</v>
      </c>
      <c r="D258" s="4">
        <f t="shared" si="16"/>
        <v>185.2649418321601</v>
      </c>
      <c r="E258" s="4">
        <f t="shared" si="19"/>
        <v>178.91836248036878</v>
      </c>
    </row>
    <row r="259" spans="1:5" x14ac:dyDescent="0.55000000000000004">
      <c r="A259" s="25">
        <v>90.25</v>
      </c>
      <c r="B259" s="4">
        <f t="shared" si="17"/>
        <v>2.7310438213280892</v>
      </c>
      <c r="C259" s="4">
        <f t="shared" si="18"/>
        <v>4.1075177052685321</v>
      </c>
      <c r="D259" s="4">
        <f t="shared" si="16"/>
        <v>185.25139544975229</v>
      </c>
      <c r="E259" s="4">
        <f t="shared" si="19"/>
        <v>178.91691797359985</v>
      </c>
    </row>
    <row r="260" spans="1:5" x14ac:dyDescent="0.55000000000000004">
      <c r="A260" s="25">
        <v>90.5</v>
      </c>
      <c r="B260" s="4">
        <f t="shared" si="17"/>
        <v>2.7294629113157711</v>
      </c>
      <c r="C260" s="4">
        <f t="shared" si="18"/>
        <v>4.0997083955944182</v>
      </c>
      <c r="D260" s="4">
        <f t="shared" si="16"/>
        <v>185.23781474377026</v>
      </c>
      <c r="E260" s="4">
        <f t="shared" si="19"/>
        <v>178.91538052580552</v>
      </c>
    </row>
    <row r="261" spans="1:5" x14ac:dyDescent="0.55000000000000004">
      <c r="A261" s="25">
        <v>90.75</v>
      </c>
      <c r="B261" s="4">
        <f t="shared" si="17"/>
        <v>2.7278863453854258</v>
      </c>
      <c r="C261" s="4">
        <f t="shared" si="18"/>
        <v>4.0919368074080609</v>
      </c>
      <c r="D261" s="4">
        <f t="shared" si="16"/>
        <v>185.22420018198153</v>
      </c>
      <c r="E261" s="4">
        <f t="shared" si="19"/>
        <v>178.91375104937802</v>
      </c>
    </row>
    <row r="262" spans="1:5" x14ac:dyDescent="0.55000000000000004">
      <c r="A262" s="25">
        <v>91</v>
      </c>
      <c r="B262" s="4">
        <f t="shared" si="17"/>
        <v>2.7263140991481731</v>
      </c>
      <c r="C262" s="4">
        <f t="shared" si="18"/>
        <v>4.084202655373665</v>
      </c>
      <c r="D262" s="4">
        <f t="shared" si="16"/>
        <v>185.21055222633618</v>
      </c>
      <c r="E262" s="4">
        <f t="shared" si="19"/>
        <v>178.91203044630282</v>
      </c>
    </row>
    <row r="263" spans="1:5" x14ac:dyDescent="0.55000000000000004">
      <c r="A263" s="25">
        <v>91.25</v>
      </c>
      <c r="B263" s="4">
        <f t="shared" si="17"/>
        <v>2.7247461484190572</v>
      </c>
      <c r="C263" s="4">
        <f t="shared" si="18"/>
        <v>4.0765056570926017</v>
      </c>
      <c r="D263" s="4">
        <f t="shared" si="16"/>
        <v>185.19687133305038</v>
      </c>
      <c r="E263" s="4">
        <f t="shared" si="19"/>
        <v>178.91021960830199</v>
      </c>
    </row>
    <row r="264" spans="1:5" x14ac:dyDescent="0.55000000000000004">
      <c r="A264" s="25">
        <v>91.5</v>
      </c>
      <c r="B264" s="4">
        <f t="shared" si="17"/>
        <v>2.7231824692147804</v>
      </c>
      <c r="C264" s="4">
        <f t="shared" si="18"/>
        <v>4.0688455330651898</v>
      </c>
      <c r="D264" s="4">
        <f t="shared" si="16"/>
        <v>185.18315795268839</v>
      </c>
      <c r="E264" s="4">
        <f t="shared" si="19"/>
        <v>178.90831941697482</v>
      </c>
    </row>
    <row r="265" spans="1:5" x14ac:dyDescent="0.55000000000000004">
      <c r="A265" s="25">
        <v>91.75</v>
      </c>
      <c r="B265" s="4">
        <f t="shared" si="17"/>
        <v>2.7216230377514821</v>
      </c>
      <c r="C265" s="4">
        <f t="shared" si="18"/>
        <v>4.0612220066531215</v>
      </c>
      <c r="D265" s="4">
        <f t="shared" si="16"/>
        <v>185.16941253024288</v>
      </c>
      <c r="E265" s="4">
        <f t="shared" si="19"/>
        <v>178.90633074393642</v>
      </c>
    </row>
    <row r="266" spans="1:5" x14ac:dyDescent="0.55000000000000004">
      <c r="A266" s="25">
        <v>92</v>
      </c>
      <c r="B266" s="4">
        <f t="shared" si="17"/>
        <v>2.7200678304425301</v>
      </c>
      <c r="C266" s="4">
        <f t="shared" si="18"/>
        <v>4.0536348040424199</v>
      </c>
      <c r="D266" s="4">
        <f t="shared" si="16"/>
        <v>185.1556355052146</v>
      </c>
      <c r="E266" s="4">
        <f t="shared" si="19"/>
        <v>178.90425445095437</v>
      </c>
    </row>
    <row r="267" spans="1:5" x14ac:dyDescent="0.55000000000000004">
      <c r="A267" s="25">
        <v>92.25</v>
      </c>
      <c r="B267" s="4">
        <f t="shared" si="17"/>
        <v>2.7185168238963593</v>
      </c>
      <c r="C267" s="4">
        <f t="shared" si="18"/>
        <v>4.0460836542070506</v>
      </c>
      <c r="D267" s="4">
        <f t="shared" si="16"/>
        <v>185.14182731169007</v>
      </c>
      <c r="E267" s="4">
        <f t="shared" si="19"/>
        <v>178.90209139008255</v>
      </c>
    </row>
    <row r="268" spans="1:5" x14ac:dyDescent="0.55000000000000004">
      <c r="A268" s="25">
        <v>92.5</v>
      </c>
      <c r="B268" s="4">
        <f t="shared" si="17"/>
        <v>2.7169699949143276</v>
      </c>
      <c r="C268" s="4">
        <f t="shared" si="18"/>
        <v>4.0385682888730248</v>
      </c>
      <c r="D268" s="4">
        <f t="shared" si="16"/>
        <v>185.12798837841825</v>
      </c>
      <c r="E268" s="4">
        <f t="shared" si="19"/>
        <v>178.89984240379314</v>
      </c>
    </row>
    <row r="269" spans="1:5" x14ac:dyDescent="0.55000000000000004">
      <c r="A269" s="25">
        <v>92.75</v>
      </c>
      <c r="B269" s="4">
        <f t="shared" si="17"/>
        <v>2.7154273204886086</v>
      </c>
      <c r="C269" s="4">
        <f t="shared" si="18"/>
        <v>4.0310884424831039</v>
      </c>
      <c r="D269" s="4">
        <f t="shared" si="16"/>
        <v>185.11411912888605</v>
      </c>
      <c r="E269" s="4">
        <f t="shared" si="19"/>
        <v>178.89750832510666</v>
      </c>
    </row>
    <row r="270" spans="1:5" x14ac:dyDescent="0.55000000000000004">
      <c r="A270" s="25">
        <v>93</v>
      </c>
      <c r="B270" s="4">
        <f t="shared" si="17"/>
        <v>2.7138887778001077</v>
      </c>
      <c r="C270" s="4">
        <f t="shared" si="18"/>
        <v>4.0236438521620546</v>
      </c>
      <c r="D270" s="4">
        <f t="shared" si="16"/>
        <v>185.1002199813926</v>
      </c>
      <c r="E270" s="4">
        <f t="shared" si="19"/>
        <v>178.89508997771964</v>
      </c>
    </row>
    <row r="271" spans="1:5" x14ac:dyDescent="0.55000000000000004">
      <c r="A271" s="25">
        <v>93.25</v>
      </c>
      <c r="B271" s="4">
        <f t="shared" si="17"/>
        <v>2.7123543442164126</v>
      </c>
      <c r="C271" s="4">
        <f t="shared" si="18"/>
        <v>4.0162342576823944</v>
      </c>
      <c r="D271" s="4">
        <f t="shared" ref="D271:D318" si="20">$B$6*$B$12/9.81*($B$9*SQRT(2/($B$9-1)*(2/($B$9+1))^(($B$9+1)/($B$9-1))*(1 - (A271/$B$3)^(($B$9-1)/$B$9))) + C271/$B$3*(A271 - $E$5))</f>
        <v>185.08629134912186</v>
      </c>
      <c r="E271" s="4">
        <f t="shared" si="19"/>
        <v>178.89258817613029</v>
      </c>
    </row>
    <row r="272" spans="1:5" x14ac:dyDescent="0.55000000000000004">
      <c r="A272" s="25">
        <v>93.5</v>
      </c>
      <c r="B272" s="4">
        <f t="shared" ref="B272:B318" si="21">SQRT(2/($B$9-1)*((A272/$B$3)^((1-$B$9)/$B$9) - 1))</f>
        <v>2.7108239972897628</v>
      </c>
      <c r="C272" s="4">
        <f t="shared" ref="C272:C318" si="22">1/B272*(2/($B$9+1)*(1 + ($B$9-1)/2*B272^2))^(($B$9+1)/(2*$B$9-2))</f>
        <v>4.0088594014307217</v>
      </c>
      <c r="D272" s="4">
        <f t="shared" si="20"/>
        <v>185.07233364021482</v>
      </c>
      <c r="E272" s="4">
        <f t="shared" ref="E272:E318" si="23">$B$6*$B$12/9.81*($B$9*SQRT(2/($B$9-1)*(2/($B$9+1))^(($B$9+1)/($B$9-1))*(1 - (A272/$B$3)^(($B$9-1)/$B$9))) + C272/$B$3*(A272 - $E$4))</f>
        <v>178.89000372576234</v>
      </c>
    </row>
    <row r="273" spans="1:5" x14ac:dyDescent="0.55000000000000004">
      <c r="A273" s="25">
        <v>93.75</v>
      </c>
      <c r="B273" s="4">
        <f t="shared" si="21"/>
        <v>2.7092977147550563</v>
      </c>
      <c r="C273" s="4">
        <f t="shared" si="22"/>
        <v>4.0015190283745339</v>
      </c>
      <c r="D273" s="4">
        <f t="shared" si="20"/>
        <v>185.05834725783959</v>
      </c>
      <c r="E273" s="4">
        <f t="shared" si="23"/>
        <v>178.88733742308671</v>
      </c>
    </row>
    <row r="274" spans="1:5" x14ac:dyDescent="0.55000000000000004">
      <c r="A274" s="25">
        <v>94</v>
      </c>
      <c r="B274" s="4">
        <f t="shared" si="21"/>
        <v>2.7077754745278755</v>
      </c>
      <c r="C274" s="4">
        <f t="shared" si="22"/>
        <v>3.9942128860295463</v>
      </c>
      <c r="D274" s="4">
        <f t="shared" si="20"/>
        <v>185.04433260026141</v>
      </c>
      <c r="E274" s="4">
        <f t="shared" si="23"/>
        <v>178.8845900557414</v>
      </c>
    </row>
    <row r="275" spans="1:5" x14ac:dyDescent="0.55000000000000004">
      <c r="A275" s="25">
        <v>94.25</v>
      </c>
      <c r="B275" s="4">
        <f t="shared" si="21"/>
        <v>2.7062572547025439</v>
      </c>
      <c r="C275" s="4">
        <f t="shared" si="22"/>
        <v>3.9869407244275319</v>
      </c>
      <c r="D275" s="4">
        <f t="shared" si="20"/>
        <v>185.0302900609106</v>
      </c>
      <c r="E275" s="4">
        <f t="shared" si="23"/>
        <v>178.88176240264946</v>
      </c>
    </row>
    <row r="276" spans="1:5" x14ac:dyDescent="0.55000000000000004">
      <c r="A276" s="25">
        <v>94.5</v>
      </c>
      <c r="B276" s="4">
        <f t="shared" si="21"/>
        <v>2.704743033550209</v>
      </c>
      <c r="C276" s="4">
        <f t="shared" si="22"/>
        <v>3.979702296084652</v>
      </c>
      <c r="D276" s="4">
        <f t="shared" si="20"/>
        <v>185.01622002844988</v>
      </c>
      <c r="E276" s="4">
        <f t="shared" si="23"/>
        <v>178.87885523413496</v>
      </c>
    </row>
    <row r="277" spans="1:5" x14ac:dyDescent="0.55000000000000004">
      <c r="A277" s="25">
        <v>94.75</v>
      </c>
      <c r="B277" s="4">
        <f t="shared" si="21"/>
        <v>2.7032327895169441</v>
      </c>
      <c r="C277" s="4">
        <f t="shared" si="22"/>
        <v>3.9724973559702255</v>
      </c>
      <c r="D277" s="4">
        <f t="shared" si="20"/>
        <v>185.0021228868404</v>
      </c>
      <c r="E277" s="4">
        <f t="shared" si="23"/>
        <v>178.87586931203728</v>
      </c>
    </row>
    <row r="278" spans="1:5" x14ac:dyDescent="0.55000000000000004">
      <c r="A278" s="25">
        <v>95</v>
      </c>
      <c r="B278" s="4">
        <f t="shared" si="21"/>
        <v>2.7017265012218861</v>
      </c>
      <c r="C278" s="4">
        <f t="shared" si="22"/>
        <v>3.9653256614760322</v>
      </c>
      <c r="D278" s="4">
        <f t="shared" si="20"/>
        <v>184.98799901540696</v>
      </c>
      <c r="E278" s="4">
        <f t="shared" si="23"/>
        <v>178.87280538982353</v>
      </c>
    </row>
    <row r="279" spans="1:5" x14ac:dyDescent="0.55000000000000004">
      <c r="A279" s="25">
        <v>95.25</v>
      </c>
      <c r="B279" s="4">
        <f t="shared" si="21"/>
        <v>2.7002241474553896</v>
      </c>
      <c r="C279" s="4">
        <f t="shared" si="22"/>
        <v>3.9581869723860406</v>
      </c>
      <c r="D279" s="4">
        <f t="shared" si="20"/>
        <v>184.97384878890196</v>
      </c>
      <c r="E279" s="4">
        <f t="shared" si="23"/>
        <v>178.86966421269935</v>
      </c>
    </row>
    <row r="280" spans="1:5" x14ac:dyDescent="0.55000000000000004">
      <c r="A280" s="25">
        <v>95.5</v>
      </c>
      <c r="B280" s="4">
        <f t="shared" si="21"/>
        <v>2.6987257071772106</v>
      </c>
      <c r="C280" s="4">
        <f t="shared" si="22"/>
        <v>3.9510810508466219</v>
      </c>
      <c r="D280" s="4">
        <f t="shared" si="20"/>
        <v>184.95967257756845</v>
      </c>
      <c r="E280" s="4">
        <f t="shared" si="23"/>
        <v>178.86644651771772</v>
      </c>
    </row>
    <row r="281" spans="1:5" x14ac:dyDescent="0.55000000000000004">
      <c r="A281" s="25">
        <v>95.75</v>
      </c>
      <c r="B281" s="4">
        <f t="shared" si="21"/>
        <v>2.697231159514708</v>
      </c>
      <c r="C281" s="4">
        <f t="shared" si="22"/>
        <v>3.9440076613371557</v>
      </c>
      <c r="D281" s="4">
        <f t="shared" si="20"/>
        <v>184.94547074720208</v>
      </c>
      <c r="E281" s="4">
        <f t="shared" si="23"/>
        <v>178.86315303388633</v>
      </c>
    </row>
    <row r="282" spans="1:5" x14ac:dyDescent="0.55000000000000004">
      <c r="A282" s="25">
        <v>96</v>
      </c>
      <c r="B282" s="4">
        <f t="shared" si="21"/>
        <v>2.6957404837610768</v>
      </c>
      <c r="C282" s="4">
        <f t="shared" si="22"/>
        <v>3.9369665706411525</v>
      </c>
      <c r="D282" s="4">
        <f t="shared" si="20"/>
        <v>184.9312436592119</v>
      </c>
      <c r="E282" s="4">
        <f t="shared" si="23"/>
        <v>178.85978448227306</v>
      </c>
    </row>
    <row r="283" spans="1:5" x14ac:dyDescent="0.55000000000000004">
      <c r="A283" s="25">
        <v>96.25</v>
      </c>
      <c r="B283" s="4">
        <f t="shared" si="21"/>
        <v>2.6942536593735991</v>
      </c>
      <c r="C283" s="4">
        <f t="shared" si="22"/>
        <v>3.9299575478177475</v>
      </c>
      <c r="D283" s="4">
        <f t="shared" si="20"/>
        <v>184.91699167068074</v>
      </c>
      <c r="E283" s="4">
        <f t="shared" si="23"/>
        <v>178.85634157611003</v>
      </c>
    </row>
    <row r="284" spans="1:5" x14ac:dyDescent="0.55000000000000004">
      <c r="A284" s="25">
        <v>96.5</v>
      </c>
      <c r="B284" s="4">
        <f t="shared" si="21"/>
        <v>2.6927706659719184</v>
      </c>
      <c r="C284" s="4">
        <f t="shared" si="22"/>
        <v>3.9229803641736583</v>
      </c>
      <c r="D284" s="4">
        <f t="shared" si="20"/>
        <v>184.90271513442423</v>
      </c>
      <c r="E284" s="4">
        <f t="shared" si="23"/>
        <v>178.85282502089601</v>
      </c>
    </row>
    <row r="285" spans="1:5" x14ac:dyDescent="0.55000000000000004">
      <c r="A285" s="25">
        <v>96.75</v>
      </c>
      <c r="B285" s="4">
        <f t="shared" si="21"/>
        <v>2.6912914833363391</v>
      </c>
      <c r="C285" s="4">
        <f t="shared" si="22"/>
        <v>3.9160347932355339</v>
      </c>
      <c r="D285" s="4">
        <f t="shared" si="20"/>
        <v>184.88841439904854</v>
      </c>
      <c r="E285" s="4">
        <f t="shared" si="23"/>
        <v>178.84923551449691</v>
      </c>
    </row>
    <row r="286" spans="1:5" x14ac:dyDescent="0.55000000000000004">
      <c r="A286" s="25">
        <v>97</v>
      </c>
      <c r="B286" s="4">
        <f t="shared" si="21"/>
        <v>2.6898160914061457</v>
      </c>
      <c r="C286" s="4">
        <f t="shared" si="22"/>
        <v>3.9091206107227312</v>
      </c>
      <c r="D286" s="4">
        <f t="shared" si="20"/>
        <v>184.87408980900818</v>
      </c>
      <c r="E286" s="4">
        <f t="shared" si="23"/>
        <v>178.8455737472454</v>
      </c>
    </row>
    <row r="287" spans="1:5" x14ac:dyDescent="0.55000000000000004">
      <c r="A287" s="25">
        <v>97.25</v>
      </c>
      <c r="B287" s="4">
        <f t="shared" si="21"/>
        <v>2.6883444702779458</v>
      </c>
      <c r="C287" s="4">
        <f t="shared" si="22"/>
        <v>3.9022375945204897</v>
      </c>
      <c r="D287" s="4">
        <f t="shared" si="20"/>
        <v>184.85974170466184</v>
      </c>
      <c r="E287" s="4">
        <f t="shared" si="23"/>
        <v>178.8418404020382</v>
      </c>
    </row>
    <row r="288" spans="1:5" x14ac:dyDescent="0.55000000000000004">
      <c r="A288" s="25">
        <v>97.5</v>
      </c>
      <c r="B288" s="4">
        <f t="shared" si="21"/>
        <v>2.6868766002040307</v>
      </c>
      <c r="C288" s="4">
        <f t="shared" si="22"/>
        <v>3.895385524653487</v>
      </c>
      <c r="D288" s="4">
        <f t="shared" si="20"/>
        <v>184.84537042232822</v>
      </c>
      <c r="E288" s="4">
        <f t="shared" si="23"/>
        <v>178.83803615443259</v>
      </c>
    </row>
    <row r="289" spans="1:5" x14ac:dyDescent="0.55000000000000004">
      <c r="A289" s="25">
        <v>97.75</v>
      </c>
      <c r="B289" s="4">
        <f t="shared" si="21"/>
        <v>2.6854124615907651</v>
      </c>
      <c r="C289" s="4">
        <f t="shared" si="22"/>
        <v>3.8885641832598261</v>
      </c>
      <c r="D289" s="4">
        <f t="shared" si="20"/>
        <v>184.83097629434019</v>
      </c>
      <c r="E289" s="4">
        <f t="shared" si="23"/>
        <v>178.83416167274086</v>
      </c>
    </row>
    <row r="290" spans="1:5" x14ac:dyDescent="0.55000000000000004">
      <c r="A290" s="25">
        <v>98</v>
      </c>
      <c r="B290" s="4">
        <f t="shared" si="21"/>
        <v>2.6839520349969863</v>
      </c>
      <c r="C290" s="4">
        <f t="shared" si="22"/>
        <v>3.8817733545653494</v>
      </c>
      <c r="D290" s="4">
        <f t="shared" si="20"/>
        <v>184.81655964909885</v>
      </c>
      <c r="E290" s="4">
        <f t="shared" si="23"/>
        <v>178.8302176181239</v>
      </c>
    </row>
    <row r="291" spans="1:5" x14ac:dyDescent="0.55000000000000004">
      <c r="A291" s="25">
        <v>98.25</v>
      </c>
      <c r="B291" s="4">
        <f t="shared" si="21"/>
        <v>2.6824953011324371</v>
      </c>
      <c r="C291" s="4">
        <f t="shared" si="22"/>
        <v>3.8750128248583757</v>
      </c>
      <c r="D291" s="4">
        <f t="shared" si="20"/>
        <v>184.80212081112631</v>
      </c>
      <c r="E291" s="4">
        <f t="shared" si="23"/>
        <v>178.8262046446828</v>
      </c>
    </row>
    <row r="292" spans="1:5" x14ac:dyDescent="0.55000000000000004">
      <c r="A292" s="25">
        <v>98.5</v>
      </c>
      <c r="B292" s="4">
        <f t="shared" si="21"/>
        <v>2.6810422408562053</v>
      </c>
      <c r="C292" s="4">
        <f t="shared" si="22"/>
        <v>3.8682823824647725</v>
      </c>
      <c r="D292" s="4">
        <f t="shared" si="20"/>
        <v>184.78766010111758</v>
      </c>
      <c r="E292" s="4">
        <f t="shared" si="23"/>
        <v>178.82212339954947</v>
      </c>
    </row>
    <row r="293" spans="1:5" x14ac:dyDescent="0.55000000000000004">
      <c r="A293" s="25">
        <v>98.75</v>
      </c>
      <c r="B293" s="4">
        <f t="shared" si="21"/>
        <v>2.6795928351751965</v>
      </c>
      <c r="C293" s="4">
        <f t="shared" si="22"/>
        <v>3.8615818177234278</v>
      </c>
      <c r="D293" s="4">
        <f t="shared" si="20"/>
        <v>184.77317783599204</v>
      </c>
      <c r="E293" s="4">
        <f t="shared" si="23"/>
        <v>178.81797452297562</v>
      </c>
    </row>
    <row r="294" spans="1:5" x14ac:dyDescent="0.55000000000000004">
      <c r="A294" s="25">
        <v>99</v>
      </c>
      <c r="B294" s="4">
        <f t="shared" si="21"/>
        <v>2.6781470652426145</v>
      </c>
      <c r="C294" s="4">
        <f t="shared" si="22"/>
        <v>3.8549109229620404</v>
      </c>
      <c r="D294" s="4">
        <f t="shared" si="20"/>
        <v>184.75867432894373</v>
      </c>
      <c r="E294" s="4">
        <f t="shared" si="23"/>
        <v>178.81375864842067</v>
      </c>
    </row>
    <row r="295" spans="1:5" x14ac:dyDescent="0.55000000000000004">
      <c r="A295" s="25">
        <v>99.25</v>
      </c>
      <c r="B295" s="4">
        <f t="shared" si="21"/>
        <v>2.6767049123564686</v>
      </c>
      <c r="C295" s="4">
        <f t="shared" si="22"/>
        <v>3.8482694924732921</v>
      </c>
      <c r="D295" s="4">
        <f t="shared" si="20"/>
        <v>184.7441498894911</v>
      </c>
      <c r="E295" s="4">
        <f t="shared" si="23"/>
        <v>178.80947640263807</v>
      </c>
    </row>
    <row r="296" spans="1:5" x14ac:dyDescent="0.55000000000000004">
      <c r="A296" s="25">
        <v>99.5</v>
      </c>
      <c r="B296" s="4">
        <f t="shared" si="21"/>
        <v>2.6752663579580975</v>
      </c>
      <c r="C296" s="4">
        <f t="shared" si="22"/>
        <v>3.8416573224913364</v>
      </c>
      <c r="D296" s="4">
        <f t="shared" si="20"/>
        <v>184.72960482352579</v>
      </c>
      <c r="E296" s="4">
        <f t="shared" si="23"/>
        <v>178.80512840576037</v>
      </c>
    </row>
    <row r="297" spans="1:5" x14ac:dyDescent="0.55000000000000004">
      <c r="A297" s="25">
        <v>99.75</v>
      </c>
      <c r="B297" s="4">
        <f t="shared" si="21"/>
        <v>2.6738313836307128</v>
      </c>
      <c r="C297" s="4">
        <f t="shared" si="22"/>
        <v>3.8350742111686449</v>
      </c>
      <c r="D297" s="4">
        <f t="shared" si="20"/>
        <v>184.71503943336097</v>
      </c>
      <c r="E297" s="4">
        <f t="shared" si="23"/>
        <v>178.8007152713833</v>
      </c>
    </row>
    <row r="298" spans="1:5" x14ac:dyDescent="0.55000000000000004">
      <c r="A298" s="25">
        <v>100</v>
      </c>
      <c r="B298" s="4">
        <f t="shared" si="21"/>
        <v>2.6723999710979602</v>
      </c>
      <c r="C298" s="4">
        <f t="shared" si="22"/>
        <v>3.8285199585532266</v>
      </c>
      <c r="D298" s="4">
        <f t="shared" si="20"/>
        <v>184.70045401777864</v>
      </c>
      <c r="E298" s="4">
        <f t="shared" si="23"/>
        <v>178.79623760664819</v>
      </c>
    </row>
    <row r="299" spans="1:5" x14ac:dyDescent="0.55000000000000004">
      <c r="A299" s="25">
        <v>100.25</v>
      </c>
      <c r="B299" s="4">
        <f t="shared" si="21"/>
        <v>2.6709721022224984</v>
      </c>
      <c r="C299" s="4">
        <f t="shared" si="22"/>
        <v>3.8219943665660643</v>
      </c>
      <c r="D299" s="4">
        <f t="shared" si="20"/>
        <v>184.68584887207641</v>
      </c>
      <c r="E299" s="4">
        <f t="shared" si="23"/>
        <v>178.79169601232351</v>
      </c>
    </row>
    <row r="300" spans="1:5" x14ac:dyDescent="0.55000000000000004">
      <c r="A300" s="25">
        <v>100.5</v>
      </c>
      <c r="B300" s="4">
        <f t="shared" si="21"/>
        <v>2.6695477590045944</v>
      </c>
      <c r="C300" s="4">
        <f t="shared" si="22"/>
        <v>3.8154972389789874</v>
      </c>
      <c r="D300" s="4">
        <f t="shared" si="20"/>
        <v>184.67122428811311</v>
      </c>
      <c r="E300" s="4">
        <f t="shared" si="23"/>
        <v>178.78709108288473</v>
      </c>
    </row>
    <row r="301" spans="1:5" x14ac:dyDescent="0.55000000000000004">
      <c r="A301" s="25">
        <v>100.75</v>
      </c>
      <c r="B301" s="4">
        <f t="shared" si="21"/>
        <v>2.6681269235807421</v>
      </c>
      <c r="C301" s="4">
        <f t="shared" si="22"/>
        <v>3.8090283813928032</v>
      </c>
      <c r="D301" s="4">
        <f t="shared" si="20"/>
        <v>184.65658055435466</v>
      </c>
      <c r="E301" s="4">
        <f t="shared" si="23"/>
        <v>178.78242340659367</v>
      </c>
    </row>
    <row r="302" spans="1:5" x14ac:dyDescent="0.55000000000000004">
      <c r="A302" s="25">
        <v>101</v>
      </c>
      <c r="B302" s="4">
        <f t="shared" si="21"/>
        <v>2.6667095782222932</v>
      </c>
      <c r="C302" s="4">
        <f t="shared" si="22"/>
        <v>3.8025876012157558</v>
      </c>
      <c r="D302" s="4">
        <f t="shared" si="20"/>
        <v>184.64191795591799</v>
      </c>
      <c r="E302" s="4">
        <f t="shared" si="23"/>
        <v>178.77769356557593</v>
      </c>
    </row>
    <row r="303" spans="1:5" x14ac:dyDescent="0.55000000000000004">
      <c r="A303" s="25">
        <v>101.25</v>
      </c>
      <c r="B303" s="4">
        <f t="shared" si="21"/>
        <v>2.6652957053341049</v>
      </c>
      <c r="C303" s="4">
        <f t="shared" si="22"/>
        <v>3.7961747076422925</v>
      </c>
      <c r="D303" s="4">
        <f t="shared" si="20"/>
        <v>184.62723677461562</v>
      </c>
      <c r="E303" s="4">
        <f t="shared" si="23"/>
        <v>178.77290213589797</v>
      </c>
    </row>
    <row r="304" spans="1:5" x14ac:dyDescent="0.55000000000000004">
      <c r="A304" s="25">
        <v>101.5</v>
      </c>
      <c r="B304" s="4">
        <f t="shared" si="21"/>
        <v>2.6638852874532093</v>
      </c>
      <c r="C304" s="4">
        <f t="shared" si="22"/>
        <v>3.7897895116321192</v>
      </c>
      <c r="D304" s="4">
        <f t="shared" si="20"/>
        <v>184.61253728899828</v>
      </c>
      <c r="E304" s="4">
        <f t="shared" si="23"/>
        <v>178.76804968764228</v>
      </c>
    </row>
    <row r="305" spans="1:5" x14ac:dyDescent="0.55000000000000004">
      <c r="A305" s="25">
        <v>101.75</v>
      </c>
      <c r="B305" s="4">
        <f t="shared" si="21"/>
        <v>2.6624783072474925</v>
      </c>
      <c r="C305" s="4">
        <f t="shared" si="22"/>
        <v>3.7834318258895614</v>
      </c>
      <c r="D305" s="4">
        <f t="shared" si="20"/>
        <v>184.59781977439783</v>
      </c>
      <c r="E305" s="4">
        <f t="shared" si="23"/>
        <v>178.76313678498175</v>
      </c>
    </row>
    <row r="306" spans="1:5" x14ac:dyDescent="0.55000000000000004">
      <c r="A306" s="25">
        <v>102</v>
      </c>
      <c r="B306" s="4">
        <f t="shared" si="21"/>
        <v>2.6610747475143963</v>
      </c>
      <c r="C306" s="4">
        <f t="shared" si="22"/>
        <v>3.7771014648432244</v>
      </c>
      <c r="D306" s="4">
        <f t="shared" si="20"/>
        <v>184.58308450296917</v>
      </c>
      <c r="E306" s="4">
        <f t="shared" si="23"/>
        <v>178.75816398625346</v>
      </c>
    </row>
    <row r="307" spans="1:5" x14ac:dyDescent="0.55000000000000004">
      <c r="A307" s="25">
        <v>102.25</v>
      </c>
      <c r="B307" s="4">
        <f t="shared" si="21"/>
        <v>2.6596745911796331</v>
      </c>
      <c r="C307" s="4">
        <f t="shared" si="22"/>
        <v>3.7707982446259236</v>
      </c>
      <c r="D307" s="4">
        <f t="shared" si="20"/>
        <v>184.56833174373153</v>
      </c>
      <c r="E307" s="4">
        <f t="shared" si="23"/>
        <v>178.75313184403046</v>
      </c>
    </row>
    <row r="308" spans="1:5" x14ac:dyDescent="0.55000000000000004">
      <c r="A308" s="25">
        <v>102.5</v>
      </c>
      <c r="B308" s="4">
        <f t="shared" si="21"/>
        <v>2.6582778212959171</v>
      </c>
      <c r="C308" s="4">
        <f t="shared" si="22"/>
        <v>3.7645219830549106</v>
      </c>
      <c r="D308" s="4">
        <f t="shared" si="20"/>
        <v>184.55356176260909</v>
      </c>
      <c r="E308" s="4">
        <f t="shared" si="23"/>
        <v>178.74804090519308</v>
      </c>
    </row>
    <row r="309" spans="1:5" x14ac:dyDescent="0.55000000000000004">
      <c r="A309" s="25">
        <v>102.75</v>
      </c>
      <c r="B309" s="4">
        <f t="shared" si="21"/>
        <v>2.6568844210417075</v>
      </c>
      <c r="C309" s="4">
        <f t="shared" si="22"/>
        <v>3.7582724996123535</v>
      </c>
      <c r="D309" s="4">
        <f t="shared" si="20"/>
        <v>184.53877482247103</v>
      </c>
      <c r="E309" s="4">
        <f t="shared" si="23"/>
        <v>178.7428917109992</v>
      </c>
    </row>
    <row r="310" spans="1:5" x14ac:dyDescent="0.55000000000000004">
      <c r="A310" s="25">
        <v>103</v>
      </c>
      <c r="B310" s="4">
        <f t="shared" si="21"/>
        <v>2.6554943737199777</v>
      </c>
      <c r="C310" s="4">
        <f t="shared" si="22"/>
        <v>3.7520496154261442</v>
      </c>
      <c r="D310" s="4">
        <f t="shared" si="20"/>
        <v>184.52397118317128</v>
      </c>
      <c r="E310" s="4">
        <f t="shared" si="23"/>
        <v>178.73768479715326</v>
      </c>
    </row>
    <row r="311" spans="1:5" x14ac:dyDescent="0.55000000000000004">
      <c r="A311" s="25">
        <v>103.25</v>
      </c>
      <c r="B311" s="4">
        <f t="shared" si="21"/>
        <v>2.6541076627569855</v>
      </c>
      <c r="C311" s="4">
        <f t="shared" si="22"/>
        <v>3.7458531532508981</v>
      </c>
      <c r="D311" s="4">
        <f t="shared" si="20"/>
        <v>184.50915110158707</v>
      </c>
      <c r="E311" s="4">
        <f t="shared" si="23"/>
        <v>178.73242069387456</v>
      </c>
    </row>
    <row r="312" spans="1:5" x14ac:dyDescent="0.55000000000000004">
      <c r="A312" s="25">
        <v>103.5</v>
      </c>
      <c r="B312" s="4">
        <f t="shared" si="21"/>
        <v>2.6527242717010684</v>
      </c>
      <c r="C312" s="4">
        <f t="shared" si="22"/>
        <v>3.7396829374492673</v>
      </c>
      <c r="D312" s="4">
        <f t="shared" si="20"/>
        <v>184.49431483165748</v>
      </c>
      <c r="E312" s="4">
        <f t="shared" si="23"/>
        <v>178.72709992596415</v>
      </c>
    </row>
    <row r="313" spans="1:5" x14ac:dyDescent="0.55000000000000004">
      <c r="A313" s="25">
        <v>103.75</v>
      </c>
      <c r="B313" s="4">
        <f t="shared" si="21"/>
        <v>2.6513441842214522</v>
      </c>
      <c r="C313" s="4">
        <f t="shared" si="22"/>
        <v>3.7335387939735205</v>
      </c>
      <c r="D313" s="4">
        <f t="shared" si="20"/>
        <v>184.47946262442096</v>
      </c>
      <c r="E313" s="4">
        <f t="shared" si="23"/>
        <v>178.72172301287122</v>
      </c>
    </row>
    <row r="314" spans="1:5" x14ac:dyDescent="0.55000000000000004">
      <c r="A314" s="25">
        <v>104</v>
      </c>
      <c r="B314" s="4">
        <f t="shared" si="21"/>
        <v>2.6499673841070686</v>
      </c>
      <c r="C314" s="4">
        <f t="shared" si="22"/>
        <v>3.7274205503473361</v>
      </c>
      <c r="D314" s="4">
        <f t="shared" si="20"/>
        <v>184.46459472805284</v>
      </c>
      <c r="E314" s="4">
        <f t="shared" si="23"/>
        <v>178.71629046875833</v>
      </c>
    </row>
    <row r="315" spans="1:5" x14ac:dyDescent="0.55000000000000004">
      <c r="A315" s="25">
        <v>104.25</v>
      </c>
      <c r="B315" s="4">
        <f t="shared" si="21"/>
        <v>2.6485938552653945</v>
      </c>
      <c r="C315" s="4">
        <f t="shared" si="22"/>
        <v>3.7213280356478879</v>
      </c>
      <c r="D315" s="4">
        <f t="shared" si="20"/>
        <v>184.44971138790163</v>
      </c>
      <c r="E315" s="4">
        <f t="shared" si="23"/>
        <v>178.71080280256544</v>
      </c>
    </row>
    <row r="316" spans="1:5" x14ac:dyDescent="0.55000000000000004">
      <c r="A316" s="25">
        <v>104.5</v>
      </c>
      <c r="B316" s="4">
        <f t="shared" si="21"/>
        <v>2.6472235817212986</v>
      </c>
      <c r="C316" s="4">
        <f t="shared" si="22"/>
        <v>3.7152610804881396</v>
      </c>
      <c r="D316" s="4">
        <f t="shared" si="20"/>
        <v>184.43481284652535</v>
      </c>
      <c r="E316" s="4">
        <f t="shared" si="23"/>
        <v>178.70526051807369</v>
      </c>
    </row>
    <row r="317" spans="1:5" x14ac:dyDescent="0.55000000000000004">
      <c r="A317" s="25">
        <v>104.75</v>
      </c>
      <c r="B317" s="4">
        <f t="shared" si="21"/>
        <v>2.6458565476159084</v>
      </c>
      <c r="C317" s="4">
        <f t="shared" si="22"/>
        <v>3.70921951699943</v>
      </c>
      <c r="D317" s="4">
        <f t="shared" si="20"/>
        <v>184.41989934372691</v>
      </c>
      <c r="E317" s="4">
        <f t="shared" si="23"/>
        <v>178.69966411396746</v>
      </c>
    </row>
    <row r="318" spans="1:5" x14ac:dyDescent="0.55000000000000004">
      <c r="A318" s="25">
        <v>105</v>
      </c>
      <c r="B318" s="4">
        <f t="shared" si="21"/>
        <v>2.6444927372054843</v>
      </c>
      <c r="C318" s="4">
        <f t="shared" si="22"/>
        <v>3.7032031788142481</v>
      </c>
      <c r="D318" s="4">
        <f t="shared" si="20"/>
        <v>184.40497111658922</v>
      </c>
      <c r="E318" s="4">
        <f t="shared" si="23"/>
        <v>178.69401408389609</v>
      </c>
    </row>
  </sheetData>
  <pageMargins left="0.7" right="0.7" top="0.75" bottom="0.75" header="0.3" footer="0.3"/>
  <pageSetup orientation="portrait" horizontalDpi="300" verticalDpi="30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S318"/>
  <sheetViews>
    <sheetView zoomScaleNormal="100" workbookViewId="0">
      <selection activeCell="G2" sqref="G2"/>
    </sheetView>
  </sheetViews>
  <sheetFormatPr defaultRowHeight="14.4" x14ac:dyDescent="0.55000000000000004"/>
  <cols>
    <col min="1" max="1" width="11.68359375" bestFit="1" customWidth="1"/>
    <col min="2" max="3" width="9" bestFit="1" customWidth="1"/>
    <col min="4" max="5" width="9.578125" bestFit="1" customWidth="1"/>
    <col min="8" max="8" width="10.26171875" customWidth="1"/>
    <col min="9" max="9" width="9.578125" bestFit="1" customWidth="1"/>
    <col min="11" max="11" width="22.68359375" customWidth="1"/>
    <col min="12" max="12" width="11" bestFit="1" customWidth="1"/>
    <col min="14" max="14" width="9.15625" customWidth="1"/>
  </cols>
  <sheetData>
    <row r="1" spans="1:16" x14ac:dyDescent="0.55000000000000004">
      <c r="A1" s="25" t="s">
        <v>0</v>
      </c>
      <c r="B1" s="12">
        <f>CONVERT(10000, "ft", "m")</f>
        <v>3048</v>
      </c>
      <c r="C1" s="25" t="str">
        <f>"---&gt;"</f>
        <v>---&gt;</v>
      </c>
      <c r="D1" s="1" t="s">
        <v>1</v>
      </c>
      <c r="E1" s="4">
        <f>SQRT(2*9.81*(B1-500))*1.5</f>
        <v>335.38255768599538</v>
      </c>
      <c r="F1" s="10" t="s">
        <v>72</v>
      </c>
      <c r="G1" s="25"/>
      <c r="H1" s="25"/>
      <c r="I1" s="25"/>
      <c r="J1" s="25"/>
      <c r="K1" s="25"/>
      <c r="L1" s="25"/>
      <c r="M1" s="25"/>
      <c r="N1" s="25"/>
      <c r="O1" s="25"/>
      <c r="P1" s="25"/>
    </row>
    <row r="2" spans="1:16" x14ac:dyDescent="0.55000000000000004">
      <c r="A2" s="25" t="s">
        <v>2</v>
      </c>
      <c r="B2" s="12">
        <v>4.5</v>
      </c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</row>
    <row r="3" spans="1:16" ht="16.8" x14ac:dyDescent="0.75">
      <c r="A3" s="25" t="s">
        <v>3</v>
      </c>
      <c r="B3" s="13">
        <f>CONVERT(350,"psi","Pa")/1000</f>
        <v>2413.165052608927</v>
      </c>
      <c r="C3" s="25"/>
      <c r="D3" s="25" t="s">
        <v>4</v>
      </c>
      <c r="E3" s="25">
        <v>1401</v>
      </c>
      <c r="F3" s="10" t="s">
        <v>77</v>
      </c>
      <c r="G3" s="25"/>
      <c r="H3" s="25"/>
      <c r="I3" s="25"/>
      <c r="J3" s="25"/>
      <c r="K3" s="25"/>
      <c r="L3" s="25"/>
      <c r="M3" s="25"/>
      <c r="N3" s="25"/>
      <c r="O3" s="25"/>
      <c r="P3" s="25"/>
    </row>
    <row r="4" spans="1:16" ht="16.8" x14ac:dyDescent="0.75">
      <c r="A4" s="1" t="s">
        <v>78</v>
      </c>
      <c r="B4" s="12">
        <v>3500</v>
      </c>
      <c r="C4" s="25"/>
      <c r="D4" s="25" t="s">
        <v>6</v>
      </c>
      <c r="E4" s="4">
        <f>101.325*(1 - 0.0065*E3/288.16)^(-9.81/-0.0065/287)</f>
        <v>85.581205816462187</v>
      </c>
      <c r="F4" s="2" t="s">
        <v>7</v>
      </c>
      <c r="G4" s="25"/>
      <c r="H4" s="25"/>
      <c r="I4" s="25"/>
      <c r="J4" s="25"/>
      <c r="K4" s="25"/>
      <c r="L4" s="25"/>
      <c r="M4" s="25"/>
      <c r="N4" s="25"/>
      <c r="O4" s="25"/>
      <c r="P4" s="25"/>
    </row>
    <row r="5" spans="1:16" ht="16.8" x14ac:dyDescent="0.75">
      <c r="A5" s="1" t="s">
        <v>8</v>
      </c>
      <c r="B5" s="25">
        <v>0.9</v>
      </c>
      <c r="C5" s="25"/>
      <c r="D5" s="1" t="s">
        <v>9</v>
      </c>
      <c r="E5" s="4">
        <f>101.325*(1 - 0.0065*2/3*B1/288.16)^(-9.81/-0.0065/287)</f>
        <v>79.170286101931538</v>
      </c>
      <c r="F5" s="2" t="s">
        <v>10</v>
      </c>
      <c r="G5" s="25"/>
      <c r="H5" s="25"/>
      <c r="I5" s="25"/>
      <c r="J5" s="25"/>
      <c r="K5" s="25"/>
      <c r="L5" s="25"/>
      <c r="M5" s="25"/>
      <c r="N5" s="25"/>
      <c r="O5" s="25"/>
      <c r="P5" s="25"/>
    </row>
    <row r="6" spans="1:16" x14ac:dyDescent="0.55000000000000004">
      <c r="A6" s="1" t="s">
        <v>11</v>
      </c>
      <c r="B6" s="25">
        <v>0.9</v>
      </c>
      <c r="C6" s="25"/>
      <c r="D6" s="25"/>
      <c r="E6" s="25"/>
      <c r="F6" s="10" t="s">
        <v>79</v>
      </c>
      <c r="G6" s="25"/>
      <c r="H6" s="25"/>
      <c r="I6" s="25"/>
      <c r="J6" s="25"/>
      <c r="K6" s="25"/>
      <c r="L6" s="25"/>
      <c r="M6" s="25"/>
      <c r="N6" s="25"/>
      <c r="O6" s="25"/>
      <c r="P6" s="25"/>
    </row>
    <row r="7" spans="1:16" ht="16.8" x14ac:dyDescent="0.75">
      <c r="A7" s="1" t="s">
        <v>12</v>
      </c>
      <c r="B7" s="25">
        <f>19/30</f>
        <v>0.6333333333333333</v>
      </c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</row>
    <row r="9" spans="1:16" x14ac:dyDescent="0.55000000000000004">
      <c r="A9" s="1" t="s">
        <v>13</v>
      </c>
      <c r="B9" s="25">
        <v>1.2343</v>
      </c>
      <c r="C9" s="25"/>
      <c r="D9" s="25"/>
      <c r="E9" s="25"/>
      <c r="F9" s="25"/>
      <c r="G9" s="25"/>
      <c r="H9" s="25" t="s">
        <v>73</v>
      </c>
      <c r="I9" s="25"/>
      <c r="J9" s="25"/>
      <c r="K9" s="25"/>
      <c r="L9" s="25"/>
      <c r="M9" s="25"/>
      <c r="N9" s="25"/>
      <c r="O9" s="25"/>
      <c r="P9" s="25"/>
    </row>
    <row r="10" spans="1:16" x14ac:dyDescent="0.55000000000000004">
      <c r="A10" s="1" t="s">
        <v>15</v>
      </c>
      <c r="B10" s="25">
        <v>23.103000000000002</v>
      </c>
      <c r="C10" s="25" t="str">
        <f>"---&gt;"</f>
        <v>---&gt;</v>
      </c>
      <c r="D10" s="25" t="s">
        <v>16</v>
      </c>
      <c r="E10" s="25">
        <f>8314/B10</f>
        <v>359.86668398043543</v>
      </c>
      <c r="F10" s="25"/>
      <c r="G10" s="25"/>
      <c r="H10" s="4">
        <f>E240</f>
        <v>185.18741297938845</v>
      </c>
      <c r="I10" s="25">
        <f>(H10-'OF4'!H10)/H10%</f>
        <v>3.3798858749902267</v>
      </c>
      <c r="J10" s="25"/>
      <c r="K10" s="25"/>
      <c r="L10" s="25"/>
      <c r="M10" s="25"/>
      <c r="N10" s="6"/>
      <c r="O10" s="25"/>
      <c r="P10" s="25"/>
    </row>
    <row r="11" spans="1:16" ht="16.8" x14ac:dyDescent="0.75">
      <c r="A11" s="1" t="s">
        <v>17</v>
      </c>
      <c r="B11" s="25">
        <v>2825.98</v>
      </c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</row>
    <row r="12" spans="1:16" x14ac:dyDescent="0.55000000000000004">
      <c r="A12" s="1" t="s">
        <v>18</v>
      </c>
      <c r="B12" s="4">
        <f>B5*SQRT(B9*E10*B11)/B9/(2/(B9 + 1))^((B9 + 1)/(2*B9 - 2))</f>
        <v>1385.4302060307175</v>
      </c>
      <c r="C12" s="25"/>
      <c r="D12" s="25"/>
      <c r="E12" s="25"/>
      <c r="F12" s="25"/>
      <c r="G12" s="25"/>
      <c r="H12" s="25" t="s">
        <v>19</v>
      </c>
      <c r="I12" s="25"/>
      <c r="J12" s="25" t="s">
        <v>20</v>
      </c>
      <c r="K12" s="25"/>
      <c r="L12" s="25"/>
      <c r="M12" s="25" t="s">
        <v>21</v>
      </c>
      <c r="N12" s="25"/>
      <c r="O12" s="25"/>
      <c r="P12" s="10" t="s">
        <v>63</v>
      </c>
    </row>
    <row r="13" spans="1:16" ht="16.8" x14ac:dyDescent="0.75">
      <c r="A13" s="25"/>
      <c r="B13" s="25"/>
      <c r="C13" s="25"/>
      <c r="D13" s="9" t="s">
        <v>22</v>
      </c>
      <c r="E13" s="3" t="s">
        <v>23</v>
      </c>
      <c r="F13" s="25"/>
      <c r="G13" s="25"/>
      <c r="H13" s="1" t="s">
        <v>24</v>
      </c>
      <c r="I13" s="25">
        <f>0.2*B3</f>
        <v>482.63301052178542</v>
      </c>
      <c r="J13" s="25">
        <f>CONVERT(I13*1000, "Pa", "psi")</f>
        <v>70.000000000000014</v>
      </c>
      <c r="K13" s="25"/>
      <c r="L13" s="25"/>
      <c r="M13" s="1" t="s">
        <v>28</v>
      </c>
      <c r="N13" s="4">
        <f>C240</f>
        <v>4.4094748743202601</v>
      </c>
      <c r="O13" s="25" t="s">
        <v>64</v>
      </c>
      <c r="P13" s="25"/>
    </row>
    <row r="14" spans="1:16" ht="17.7" x14ac:dyDescent="0.75">
      <c r="A14" s="25" t="s">
        <v>26</v>
      </c>
      <c r="B14" s="25" t="s">
        <v>27</v>
      </c>
      <c r="C14" s="1" t="s">
        <v>28</v>
      </c>
      <c r="D14" s="1" t="s">
        <v>29</v>
      </c>
      <c r="E14" s="1" t="s">
        <v>29</v>
      </c>
      <c r="F14" s="25"/>
      <c r="G14" s="25"/>
      <c r="H14" s="1" t="s">
        <v>30</v>
      </c>
      <c r="I14" s="25">
        <v>0</v>
      </c>
      <c r="J14" s="2" t="s">
        <v>31</v>
      </c>
      <c r="K14" s="25"/>
      <c r="L14" s="25"/>
      <c r="M14" s="25" t="s">
        <v>25</v>
      </c>
      <c r="N14" s="25">
        <f>I26*B12/(B3*1000)</f>
        <v>1.1060765811352622E-3</v>
      </c>
      <c r="O14" s="17">
        <f>SQRT(N14/PI())*2</f>
        <v>3.7527329276233964E-2</v>
      </c>
      <c r="P14" s="10" t="s">
        <v>65</v>
      </c>
    </row>
    <row r="15" spans="1:16" ht="17.7" x14ac:dyDescent="0.75">
      <c r="A15" s="25">
        <v>29.5</v>
      </c>
      <c r="B15" s="4">
        <f>SQRT(2/($B$9-1)*((A15/$B$3)^((1-$B$9)/$B$9) - 1))</f>
        <v>3.3404367470545555</v>
      </c>
      <c r="C15" s="4">
        <f>1/B15*(2/($B$9+1)*(1 + ($B$9-1)/2*B15^2))^(($B$9+1)/(2*$B$9-2))</f>
        <v>9.5064874290136565</v>
      </c>
      <c r="D15" s="4">
        <f t="shared" ref="D15:D78" si="0">$B$6*$B$12/9.81*($B$9*SQRT(2/($B$9-1)*(2/($B$9+1))^(($B$9+1)/($B$9-1))*(1 - (A15/$B$3)^(($B$9-1)/$B$9))) + C15/$B$3*(A15 - $E$5))</f>
        <v>178.57123256928739</v>
      </c>
      <c r="E15" s="4">
        <f>$B$6*$B$12/9.81*($B$9*SQRT(2/($B$9-1)*(2/($B$9+1))^(($B$9+1)/($B$9-1))*(1 - (A15/$B$3)^(($B$9-1)/$B$9))) + C15/$B$3*(A15 - $E$4))</f>
        <v>175.36118444446961</v>
      </c>
      <c r="F15" s="25"/>
      <c r="G15" s="25"/>
      <c r="H15" s="1" t="s">
        <v>33</v>
      </c>
      <c r="I15" s="25">
        <f>0.5*B3/E10/B11*1^2</f>
        <v>1.1864414352845897E-3</v>
      </c>
      <c r="J15" s="2" t="s">
        <v>34</v>
      </c>
      <c r="K15" s="25"/>
      <c r="L15" s="25"/>
      <c r="M15" s="25" t="s">
        <v>32</v>
      </c>
      <c r="N15" s="25">
        <f>N14*N13</f>
        <v>4.877216893589993E-3</v>
      </c>
      <c r="O15" s="17">
        <f>SQRT(N15/PI())*2</f>
        <v>7.8802699301287693E-2</v>
      </c>
      <c r="P15" s="10" t="s">
        <v>66</v>
      </c>
    </row>
    <row r="16" spans="1:16" ht="16.8" x14ac:dyDescent="0.75">
      <c r="A16" s="25">
        <v>29.75</v>
      </c>
      <c r="B16" s="4">
        <f t="shared" ref="B16:B79" si="1">SQRT(2/($B$9-1)*((A16/$B$3)^((1-$B$9)/$B$9) - 1))</f>
        <v>3.3357149363902305</v>
      </c>
      <c r="C16" s="4">
        <f t="shared" ref="C16:C79" si="2">1/B16*(2/($B$9+1)*(1 + ($B$9-1)/2*B16^2))^(($B$9+1)/(2*$B$9-2))</f>
        <v>9.4475085928906601</v>
      </c>
      <c r="D16" s="4">
        <f t="shared" si="0"/>
        <v>178.72514453826892</v>
      </c>
      <c r="E16" s="4">
        <f t="shared" ref="E16:E79" si="3">$B$6*$B$12/9.81*($B$9*SQRT(2/($B$9-1)*(2/($B$9+1))^(($B$9+1)/($B$9-1))*(1 - (A16/$B$3)^(($B$9-1)/$B$9))) + C16/$B$3*(A16 - $E$4))</f>
        <v>175.53501175060532</v>
      </c>
      <c r="F16" s="25"/>
      <c r="G16" s="25"/>
      <c r="H16" s="1" t="s">
        <v>36</v>
      </c>
      <c r="I16" s="15">
        <f>B3+I13+I14+I15</f>
        <v>2895.7992495721478</v>
      </c>
      <c r="J16" s="4">
        <f>CONVERT(I16*1000, "Pa", "psi")</f>
        <v>420.00017207878176</v>
      </c>
      <c r="K16" s="25"/>
      <c r="L16" s="25"/>
      <c r="M16" s="25"/>
      <c r="N16" s="25"/>
      <c r="O16" s="25"/>
      <c r="P16" s="25"/>
    </row>
    <row r="17" spans="1:19" x14ac:dyDescent="0.55000000000000004">
      <c r="A17" s="25">
        <v>30</v>
      </c>
      <c r="B17" s="4">
        <f t="shared" si="1"/>
        <v>3.3310335087922911</v>
      </c>
      <c r="C17" s="4">
        <f t="shared" si="2"/>
        <v>9.3894007708211404</v>
      </c>
      <c r="D17" s="4">
        <f t="shared" si="0"/>
        <v>178.87601834067814</v>
      </c>
      <c r="E17" s="4">
        <f t="shared" si="3"/>
        <v>175.70550677553911</v>
      </c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1:19" x14ac:dyDescent="0.55000000000000004">
      <c r="A18" s="25">
        <v>30.25</v>
      </c>
      <c r="B18" s="4">
        <f t="shared" si="1"/>
        <v>3.3263917787238562</v>
      </c>
      <c r="C18" s="4">
        <f t="shared" si="2"/>
        <v>9.3321439710095646</v>
      </c>
      <c r="D18" s="4">
        <f t="shared" si="0"/>
        <v>179.02392855981512</v>
      </c>
      <c r="E18" s="4">
        <f t="shared" si="3"/>
        <v>175.87275085318487</v>
      </c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</row>
    <row r="19" spans="1:19" ht="16.8" x14ac:dyDescent="0.75">
      <c r="A19" s="25">
        <v>30.5</v>
      </c>
      <c r="B19" s="4">
        <f t="shared" si="1"/>
        <v>3.3217890778646746</v>
      </c>
      <c r="C19" s="4">
        <f t="shared" si="2"/>
        <v>9.2757188212254587</v>
      </c>
      <c r="D19" s="4">
        <f t="shared" si="0"/>
        <v>179.16894739687226</v>
      </c>
      <c r="E19" s="4">
        <f t="shared" si="3"/>
        <v>176.03682272614088</v>
      </c>
      <c r="F19" s="25"/>
      <c r="G19" s="25"/>
      <c r="H19" s="25" t="s">
        <v>37</v>
      </c>
      <c r="I19" s="25"/>
      <c r="J19" s="25"/>
      <c r="K19" s="25" t="s">
        <v>38</v>
      </c>
      <c r="L19" s="3" t="s">
        <v>74</v>
      </c>
      <c r="M19" s="25"/>
      <c r="N19" s="25"/>
      <c r="O19" s="25"/>
      <c r="P19" s="25"/>
      <c r="Q19" s="25"/>
      <c r="R19" s="25"/>
      <c r="S19" s="25"/>
    </row>
    <row r="20" spans="1:19" ht="17.7" x14ac:dyDescent="0.75">
      <c r="A20" s="25">
        <v>30.75</v>
      </c>
      <c r="B20" s="4">
        <f t="shared" si="1"/>
        <v>3.3172247545412712</v>
      </c>
      <c r="C20" s="4">
        <f t="shared" si="2"/>
        <v>9.2201065447076225</v>
      </c>
      <c r="D20" s="4">
        <f t="shared" si="0"/>
        <v>179.31114476518002</v>
      </c>
      <c r="E20" s="4">
        <f t="shared" si="3"/>
        <v>176.19779864807171</v>
      </c>
      <c r="F20" s="25"/>
      <c r="G20" s="25"/>
      <c r="H20" s="25" t="s">
        <v>39</v>
      </c>
      <c r="I20" s="13">
        <f>CONVERT(60, "lbm", "kg")</f>
        <v>27.215542200000002</v>
      </c>
      <c r="J20" s="25"/>
      <c r="K20" s="25" t="s">
        <v>40</v>
      </c>
      <c r="L20" s="12">
        <v>400</v>
      </c>
      <c r="M20" s="10" t="s">
        <v>41</v>
      </c>
      <c r="N20" s="25"/>
      <c r="O20" s="25"/>
      <c r="P20" s="25"/>
      <c r="Q20" s="25"/>
      <c r="R20" s="25"/>
      <c r="S20" s="25"/>
    </row>
    <row r="21" spans="1:19" ht="17.7" x14ac:dyDescent="0.75">
      <c r="A21" s="25">
        <v>31</v>
      </c>
      <c r="B21" s="4">
        <f t="shared" si="1"/>
        <v>3.3126981731804221</v>
      </c>
      <c r="C21" s="4">
        <f t="shared" si="2"/>
        <v>9.1652889371927362</v>
      </c>
      <c r="D21" s="4">
        <f t="shared" si="0"/>
        <v>179.45058838000546</v>
      </c>
      <c r="E21" s="4">
        <f t="shared" si="3"/>
        <v>176.35575248126375</v>
      </c>
      <c r="F21" s="25"/>
      <c r="G21" s="25"/>
      <c r="H21" s="25" t="s">
        <v>42</v>
      </c>
      <c r="I21" s="4">
        <f>I20*EXP(E1/H10/9.81)</f>
        <v>32.7335401716715</v>
      </c>
      <c r="J21" s="25"/>
      <c r="K21" s="25" t="s">
        <v>43</v>
      </c>
      <c r="L21" s="20">
        <f>I28/1/L20</f>
        <v>3.940736579244963E-3</v>
      </c>
      <c r="M21" s="4">
        <f>L21*100^2</f>
        <v>39.407365792449632</v>
      </c>
      <c r="N21" s="25" t="s">
        <v>44</v>
      </c>
      <c r="O21" s="25" t="s">
        <v>67</v>
      </c>
      <c r="P21" s="25"/>
      <c r="Q21" s="25"/>
      <c r="R21" s="25"/>
      <c r="S21" s="25"/>
    </row>
    <row r="22" spans="1:19" ht="16.8" x14ac:dyDescent="0.75">
      <c r="A22" s="25">
        <v>31.25</v>
      </c>
      <c r="B22" s="4">
        <f t="shared" si="1"/>
        <v>3.3082087137848255</v>
      </c>
      <c r="C22" s="4">
        <f t="shared" si="2"/>
        <v>9.1112483450070911</v>
      </c>
      <c r="D22" s="4">
        <f t="shared" si="0"/>
        <v>179.58734384414834</v>
      </c>
      <c r="E22" s="4">
        <f t="shared" si="3"/>
        <v>176.51075578961877</v>
      </c>
      <c r="F22" s="25"/>
      <c r="G22" s="25"/>
      <c r="H22" s="25" t="s">
        <v>45</v>
      </c>
      <c r="I22" s="7">
        <f>I21-I20</f>
        <v>5.5179979716714982</v>
      </c>
      <c r="J22" s="25"/>
      <c r="K22" s="25" t="s">
        <v>46</v>
      </c>
      <c r="L22" s="16">
        <f>2*SQRT(L21/PI())</f>
        <v>7.0834325352042843E-2</v>
      </c>
      <c r="M22" s="4">
        <f>L22*100</f>
        <v>7.0834325352042846</v>
      </c>
      <c r="N22" s="25" t="s">
        <v>47</v>
      </c>
      <c r="O22" s="8">
        <f>CONVERT(L22, "m", "in")</f>
        <v>2.7887529666158599</v>
      </c>
      <c r="P22" s="4"/>
      <c r="Q22" s="25"/>
      <c r="R22" s="25"/>
      <c r="S22" s="25"/>
    </row>
    <row r="23" spans="1:19" ht="16.8" x14ac:dyDescent="0.75">
      <c r="A23" s="25">
        <v>31.5</v>
      </c>
      <c r="B23" s="4">
        <f t="shared" si="1"/>
        <v>3.3037557714299073</v>
      </c>
      <c r="C23" s="4">
        <f t="shared" si="2"/>
        <v>9.0579676441645276</v>
      </c>
      <c r="D23" s="4">
        <f t="shared" si="0"/>
        <v>179.72147472956172</v>
      </c>
      <c r="E23" s="4">
        <f t="shared" si="3"/>
        <v>176.66287792733283</v>
      </c>
      <c r="F23" s="25"/>
      <c r="G23" s="25"/>
      <c r="H23" s="25" t="s">
        <v>48</v>
      </c>
      <c r="I23" s="14">
        <f>I22/(1+B2)</f>
        <v>1.003272358485727</v>
      </c>
      <c r="J23" s="25"/>
      <c r="K23" s="25" t="s">
        <v>49</v>
      </c>
      <c r="L23" s="17">
        <f>(I27*PI()^(0.5-1)/(0.155/1000*(4*I26)^0.5*900)*L22^(2*0.5-1))^(1/(0+1))</f>
        <v>0.51033100786507068</v>
      </c>
      <c r="M23" s="4">
        <f>L23*100</f>
        <v>51.03310078650707</v>
      </c>
      <c r="N23" s="25" t="s">
        <v>47</v>
      </c>
      <c r="O23" s="8">
        <f>CONVERT(L23, "m", "in")</f>
        <v>20.091771963191761</v>
      </c>
      <c r="P23" s="10" t="s">
        <v>68</v>
      </c>
      <c r="Q23" s="25"/>
      <c r="R23" s="25"/>
      <c r="S23" s="25"/>
    </row>
    <row r="24" spans="1:19" ht="16.8" x14ac:dyDescent="0.75">
      <c r="A24" s="25">
        <v>31.75</v>
      </c>
      <c r="B24" s="4">
        <f t="shared" si="1"/>
        <v>3.2993387557807305</v>
      </c>
      <c r="C24" s="4">
        <f t="shared" si="2"/>
        <v>9.0054302204163896</v>
      </c>
      <c r="D24" s="4">
        <f t="shared" si="0"/>
        <v>179.85304265521205</v>
      </c>
      <c r="E24" s="4">
        <f t="shared" si="3"/>
        <v>176.81218612349264</v>
      </c>
      <c r="F24" s="25"/>
      <c r="G24" s="25"/>
      <c r="H24" s="25" t="s">
        <v>51</v>
      </c>
      <c r="I24" s="14">
        <f>I22-I23</f>
        <v>4.5147256131857709</v>
      </c>
      <c r="J24" s="25"/>
      <c r="K24" s="25" t="s">
        <v>52</v>
      </c>
      <c r="L24" s="17">
        <f>SQRT(4*I23/PI()/L23/900/1 + L22^2)</f>
        <v>8.8310340501400547E-2</v>
      </c>
      <c r="M24" s="4">
        <f t="shared" ref="M24:M25" si="4">L24*100</f>
        <v>8.8310340501400546</v>
      </c>
      <c r="N24" s="25" t="s">
        <v>47</v>
      </c>
      <c r="O24" s="8">
        <f t="shared" ref="O24:O25" si="5">CONVERT(L24, "m", "in")</f>
        <v>3.4767850591102576</v>
      </c>
      <c r="P24" s="25"/>
      <c r="Q24" s="25"/>
      <c r="R24" s="25"/>
      <c r="S24" s="25"/>
    </row>
    <row r="25" spans="1:19" ht="16.8" x14ac:dyDescent="0.75">
      <c r="A25" s="25">
        <v>32</v>
      </c>
      <c r="B25" s="4">
        <f t="shared" si="1"/>
        <v>3.2949570906280714</v>
      </c>
      <c r="C25" s="4">
        <f t="shared" si="2"/>
        <v>8.9536199502032421</v>
      </c>
      <c r="D25" s="4">
        <f t="shared" si="0"/>
        <v>179.98210736137926</v>
      </c>
      <c r="E25" s="4">
        <f t="shared" si="3"/>
        <v>176.95874556280771</v>
      </c>
      <c r="F25" s="25"/>
      <c r="G25" s="25"/>
      <c r="H25" s="25" t="s">
        <v>53</v>
      </c>
      <c r="I25" s="7">
        <f>I20/I21</f>
        <v>0.83142678907529455</v>
      </c>
      <c r="J25" s="25"/>
      <c r="K25" s="25" t="s">
        <v>54</v>
      </c>
      <c r="L25" s="17">
        <f>(L24-L22)/2</f>
        <v>8.7380075746788521E-3</v>
      </c>
      <c r="M25" s="4">
        <f t="shared" si="4"/>
        <v>0.87380075746788521</v>
      </c>
      <c r="N25" s="25" t="s">
        <v>47</v>
      </c>
      <c r="O25" s="4">
        <f t="shared" si="5"/>
        <v>0.34401604624719889</v>
      </c>
      <c r="P25" s="25"/>
      <c r="Q25" s="25"/>
      <c r="R25" s="25"/>
      <c r="S25" s="25"/>
    </row>
    <row r="26" spans="1:19" ht="16.8" x14ac:dyDescent="0.75">
      <c r="A26" s="25">
        <v>32.25</v>
      </c>
      <c r="B26" s="4">
        <f t="shared" si="1"/>
        <v>3.2906102134427466</v>
      </c>
      <c r="C26" s="4">
        <f t="shared" si="2"/>
        <v>8.902521182460994</v>
      </c>
      <c r="D26" s="4">
        <f t="shared" si="0"/>
        <v>180.10872678058601</v>
      </c>
      <c r="E26" s="4">
        <f t="shared" si="3"/>
        <v>177.10261946268318</v>
      </c>
      <c r="F26" s="25"/>
      <c r="G26" s="25"/>
      <c r="H26" s="25" t="s">
        <v>55</v>
      </c>
      <c r="I26" s="14">
        <f>B4/H10/9.81</f>
        <v>1.9265823276308709</v>
      </c>
      <c r="J26" s="25"/>
      <c r="K26" s="25" t="s">
        <v>69</v>
      </c>
      <c r="L26" s="25"/>
      <c r="M26" s="25">
        <v>0</v>
      </c>
      <c r="N26" s="25"/>
      <c r="O26" s="25"/>
      <c r="P26" s="25"/>
      <c r="Q26" s="25"/>
      <c r="R26" s="25"/>
      <c r="S26" s="25"/>
    </row>
    <row r="27" spans="1:19" ht="16.8" x14ac:dyDescent="0.75">
      <c r="A27" s="25">
        <v>32.5</v>
      </c>
      <c r="B27" s="4">
        <f t="shared" si="1"/>
        <v>3.2862975749473473</v>
      </c>
      <c r="C27" s="4">
        <f t="shared" si="2"/>
        <v>8.8521187212365504</v>
      </c>
      <c r="D27" s="4">
        <f t="shared" si="0"/>
        <v>180.23295710533316</v>
      </c>
      <c r="E27" s="4">
        <f t="shared" si="3"/>
        <v>177.24386914682549</v>
      </c>
      <c r="F27" s="25"/>
      <c r="G27" s="25"/>
      <c r="H27" s="25" t="s">
        <v>57</v>
      </c>
      <c r="I27" s="8">
        <f>I26/(1 + B2)</f>
        <v>0.35028769593288561</v>
      </c>
      <c r="J27" s="25"/>
      <c r="K27" s="25"/>
      <c r="L27" s="10" t="s">
        <v>70</v>
      </c>
      <c r="M27" s="19"/>
      <c r="N27" s="25"/>
      <c r="O27" s="25"/>
      <c r="P27" s="25"/>
      <c r="Q27" s="25"/>
      <c r="R27" s="25"/>
      <c r="S27" s="25"/>
    </row>
    <row r="28" spans="1:19" ht="16.8" x14ac:dyDescent="0.75">
      <c r="A28" s="25">
        <v>32.75</v>
      </c>
      <c r="B28" s="4">
        <f t="shared" si="1"/>
        <v>3.2820186387045589</v>
      </c>
      <c r="C28" s="4">
        <f t="shared" si="2"/>
        <v>8.8023978090712589</v>
      </c>
      <c r="D28" s="4">
        <f t="shared" si="0"/>
        <v>180.35485285280882</v>
      </c>
      <c r="E28" s="4">
        <f t="shared" si="3"/>
        <v>177.3825541155621</v>
      </c>
      <c r="F28" s="25"/>
      <c r="G28" s="25"/>
      <c r="H28" s="25" t="s">
        <v>58</v>
      </c>
      <c r="I28" s="7">
        <f>I26-I27</f>
        <v>1.5762946316979853</v>
      </c>
      <c r="J28" s="25"/>
      <c r="K28" s="25"/>
      <c r="L28" s="25"/>
      <c r="M28" s="25"/>
      <c r="N28" s="25"/>
      <c r="O28" s="25"/>
      <c r="P28" s="25"/>
      <c r="Q28" s="25"/>
      <c r="R28" s="25"/>
      <c r="S28" s="25"/>
    </row>
    <row r="29" spans="1:19" x14ac:dyDescent="0.55000000000000004">
      <c r="A29" s="25">
        <v>33</v>
      </c>
      <c r="B29" s="4">
        <f t="shared" si="1"/>
        <v>3.27777288072132</v>
      </c>
      <c r="C29" s="4">
        <f t="shared" si="2"/>
        <v>8.7533441111126518</v>
      </c>
      <c r="D29" s="4">
        <f t="shared" si="0"/>
        <v>180.47446692672702</v>
      </c>
      <c r="E29" s="4">
        <f t="shared" si="3"/>
        <v>177.5187321130455</v>
      </c>
      <c r="F29" s="25"/>
      <c r="G29" s="25"/>
      <c r="H29" s="1"/>
      <c r="I29" s="7"/>
      <c r="J29" s="25"/>
      <c r="K29" s="25"/>
      <c r="L29" s="25"/>
      <c r="M29" s="25"/>
      <c r="N29" s="25"/>
      <c r="O29" s="25"/>
      <c r="P29" s="25"/>
      <c r="Q29" s="25"/>
      <c r="R29" s="25"/>
      <c r="S29" s="7"/>
    </row>
    <row r="30" spans="1:19" x14ac:dyDescent="0.55000000000000004">
      <c r="A30" s="25">
        <v>33.25</v>
      </c>
      <c r="B30" s="4">
        <f t="shared" si="1"/>
        <v>3.2735597890680772</v>
      </c>
      <c r="C30" s="4">
        <f t="shared" si="2"/>
        <v>8.7049436999171714</v>
      </c>
      <c r="D30" s="4">
        <f t="shared" si="0"/>
        <v>180.59185067644501</v>
      </c>
      <c r="E30" s="4">
        <f t="shared" si="3"/>
        <v>177.65245919150172</v>
      </c>
      <c r="F30" s="25"/>
      <c r="G30" s="25"/>
      <c r="H30" s="25"/>
      <c r="I30" s="25"/>
      <c r="J30" s="25"/>
      <c r="K30" s="4"/>
      <c r="L30" s="25"/>
      <c r="M30" s="4"/>
      <c r="N30" s="4"/>
      <c r="O30" s="25"/>
      <c r="P30" s="25"/>
      <c r="Q30" s="25"/>
      <c r="R30" s="25"/>
      <c r="S30" s="25"/>
    </row>
    <row r="31" spans="1:19" x14ac:dyDescent="0.55000000000000004">
      <c r="A31" s="25">
        <v>33.5</v>
      </c>
      <c r="B31" s="4">
        <f t="shared" si="1"/>
        <v>3.2693788635124679</v>
      </c>
      <c r="C31" s="4">
        <f t="shared" si="2"/>
        <v>8.657183040909036</v>
      </c>
      <c r="D31" s="4">
        <f t="shared" si="0"/>
        <v>180.70705395349663</v>
      </c>
      <c r="E31" s="4">
        <f t="shared" si="3"/>
        <v>177.78378977267423</v>
      </c>
      <c r="F31" s="25"/>
      <c r="G31" s="25"/>
      <c r="H31" s="21" t="s">
        <v>75</v>
      </c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</row>
    <row r="32" spans="1:19" x14ac:dyDescent="0.55000000000000004">
      <c r="A32" s="25">
        <v>33.75</v>
      </c>
      <c r="B32" s="4">
        <f t="shared" si="1"/>
        <v>3.2652296151667679</v>
      </c>
      <c r="C32" s="4">
        <f t="shared" si="2"/>
        <v>8.6100489784622951</v>
      </c>
      <c r="D32" s="4">
        <f t="shared" si="0"/>
        <v>180.82012516567369</v>
      </c>
      <c r="E32" s="4">
        <f t="shared" si="3"/>
        <v>177.91277670660466</v>
      </c>
      <c r="F32" s="25"/>
      <c r="G32" s="25"/>
      <c r="H32" s="25" t="s">
        <v>37</v>
      </c>
      <c r="I32" s="25"/>
      <c r="J32" s="25"/>
      <c r="K32" s="25" t="s">
        <v>38</v>
      </c>
      <c r="L32" s="25"/>
      <c r="M32" s="25"/>
      <c r="N32" s="25"/>
      <c r="O32" s="25"/>
      <c r="P32" s="25"/>
      <c r="Q32" s="25"/>
      <c r="R32" s="25"/>
      <c r="S32" s="25"/>
    </row>
    <row r="33" spans="1:15" ht="17.7" x14ac:dyDescent="0.75">
      <c r="A33" s="25">
        <v>34</v>
      </c>
      <c r="B33" s="4">
        <f t="shared" si="1"/>
        <v>3.2611115661484993</v>
      </c>
      <c r="C33" s="4">
        <f t="shared" si="2"/>
        <v>8.5635287225747501</v>
      </c>
      <c r="D33" s="4">
        <f t="shared" si="0"/>
        <v>180.93111132877914</v>
      </c>
      <c r="E33" s="4">
        <f t="shared" si="3"/>
        <v>178.03947132788596</v>
      </c>
      <c r="F33" s="25"/>
      <c r="G33" s="25"/>
      <c r="H33" s="25" t="s">
        <v>39</v>
      </c>
      <c r="I33" s="13">
        <f>I20</f>
        <v>27.215542200000002</v>
      </c>
      <c r="J33" s="25"/>
      <c r="K33" s="25" t="s">
        <v>40</v>
      </c>
      <c r="L33" s="12">
        <v>679.33176893830841</v>
      </c>
      <c r="M33" s="10" t="s">
        <v>41</v>
      </c>
      <c r="N33" s="25"/>
      <c r="O33" s="25"/>
    </row>
    <row r="34" spans="1:15" ht="17.7" x14ac:dyDescent="0.75">
      <c r="A34" s="25">
        <v>34.25</v>
      </c>
      <c r="B34" s="4">
        <f t="shared" si="1"/>
        <v>3.257024249253603</v>
      </c>
      <c r="C34" s="4">
        <f t="shared" si="2"/>
        <v>8.5176098361045494</v>
      </c>
      <c r="D34" s="4">
        <f t="shared" si="0"/>
        <v>181.04005811616739</v>
      </c>
      <c r="E34" s="4">
        <f t="shared" si="3"/>
        <v>178.16392350951244</v>
      </c>
      <c r="F34" s="25"/>
      <c r="G34" s="25"/>
      <c r="H34" s="25" t="s">
        <v>42</v>
      </c>
      <c r="I34" s="4">
        <f>I33+I35</f>
        <v>36.99331997777778</v>
      </c>
      <c r="J34" s="25"/>
      <c r="K34" s="25" t="s">
        <v>43</v>
      </c>
      <c r="L34" s="20">
        <f>I41/1/L33</f>
        <v>2.3203605421861732E-3</v>
      </c>
      <c r="M34" s="4">
        <f>L34*100^2</f>
        <v>23.203605421861731</v>
      </c>
      <c r="N34" s="25" t="s">
        <v>44</v>
      </c>
      <c r="O34" s="25" t="s">
        <v>67</v>
      </c>
    </row>
    <row r="35" spans="1:15" ht="16.8" x14ac:dyDescent="0.75">
      <c r="A35" s="25">
        <v>34.5</v>
      </c>
      <c r="B35" s="4">
        <f t="shared" si="1"/>
        <v>3.2529672076416394</v>
      </c>
      <c r="C35" s="4">
        <f t="shared" si="2"/>
        <v>8.4722802225420732</v>
      </c>
      <c r="D35" s="4">
        <f t="shared" si="0"/>
        <v>181.14700990618149</v>
      </c>
      <c r="E35" s="4">
        <f t="shared" si="3"/>
        <v>178.286181714446</v>
      </c>
      <c r="F35" s="25"/>
      <c r="G35" s="25"/>
      <c r="H35" s="25" t="s">
        <v>45</v>
      </c>
      <c r="I35" s="7">
        <f>I36+I37</f>
        <v>9.7777777777777786</v>
      </c>
      <c r="J35" s="25"/>
      <c r="K35" s="25" t="s">
        <v>46</v>
      </c>
      <c r="L35" s="16">
        <f>2*SQRT(L34/PI())</f>
        <v>5.4354160837552797E-2</v>
      </c>
      <c r="M35" s="4">
        <f>L35*100</f>
        <v>5.4354160837552801</v>
      </c>
      <c r="N35" s="25" t="s">
        <v>47</v>
      </c>
      <c r="O35" s="8">
        <f>CONVERT(L35, "m", "in")</f>
        <v>2.1399275920296379</v>
      </c>
    </row>
    <row r="36" spans="1:15" ht="16.8" x14ac:dyDescent="0.75">
      <c r="A36" s="25">
        <v>34.75</v>
      </c>
      <c r="B36" s="4">
        <f t="shared" si="1"/>
        <v>3.2489399945324662</v>
      </c>
      <c r="C36" s="4">
        <f t="shared" si="2"/>
        <v>8.427528114290272</v>
      </c>
      <c r="D36" s="4">
        <f t="shared" si="0"/>
        <v>181.25200982759233</v>
      </c>
      <c r="E36" s="4">
        <f t="shared" si="3"/>
        <v>178.40629304501272</v>
      </c>
      <c r="F36" s="25"/>
      <c r="G36" s="25"/>
      <c r="H36" s="25" t="s">
        <v>48</v>
      </c>
      <c r="I36" s="14">
        <f>I37/B2</f>
        <v>1.7777777777777777</v>
      </c>
      <c r="J36" s="25"/>
      <c r="K36" s="25" t="s">
        <v>49</v>
      </c>
      <c r="L36" s="17">
        <f>(I40*PI()^(0.5-1)/(0.155/1000*(4*I39)^0.5*900)*L35^(2*0.5-1))^(1/(0+1))</f>
        <v>0.51033100786507068</v>
      </c>
      <c r="M36" s="4">
        <f>L36*100</f>
        <v>51.03310078650707</v>
      </c>
      <c r="N36" s="25" t="s">
        <v>47</v>
      </c>
      <c r="O36" s="8">
        <f t="shared" ref="O36:O38" si="6">CONVERT(L36, "m", "in")</f>
        <v>20.091771963191761</v>
      </c>
    </row>
    <row r="37" spans="1:15" ht="16.8" x14ac:dyDescent="0.75">
      <c r="A37" s="25">
        <v>35</v>
      </c>
      <c r="B37" s="4">
        <f t="shared" si="1"/>
        <v>3.244942172913921</v>
      </c>
      <c r="C37" s="4">
        <f t="shared" si="2"/>
        <v>8.3833420614295537</v>
      </c>
      <c r="D37" s="4">
        <f t="shared" si="0"/>
        <v>181.35509980313566</v>
      </c>
      <c r="E37" s="4">
        <f t="shared" si="3"/>
        <v>178.52430329023377</v>
      </c>
      <c r="F37" s="25"/>
      <c r="G37" s="25"/>
      <c r="H37" s="25" t="s">
        <v>51</v>
      </c>
      <c r="I37" s="22">
        <v>8</v>
      </c>
      <c r="J37" s="25"/>
      <c r="K37" s="25" t="s">
        <v>52</v>
      </c>
      <c r="L37" s="17">
        <f>SQRT(4*I36/PI()/L36/900/1 + L35^2)</f>
        <v>8.8784172467831518E-2</v>
      </c>
      <c r="M37" s="4">
        <f t="shared" ref="M37:M38" si="7">L37*100</f>
        <v>8.878417246783151</v>
      </c>
      <c r="N37" s="25" t="s">
        <v>47</v>
      </c>
      <c r="O37" s="8">
        <f t="shared" si="6"/>
        <v>3.4954398609382489</v>
      </c>
    </row>
    <row r="38" spans="1:15" ht="16.8" x14ac:dyDescent="0.75">
      <c r="A38" s="25">
        <v>35.25</v>
      </c>
      <c r="B38" s="4">
        <f t="shared" si="1"/>
        <v>3.2409733152600206</v>
      </c>
      <c r="C38" s="4">
        <f t="shared" si="2"/>
        <v>8.3397109209435314</v>
      </c>
      <c r="D38" s="4">
        <f t="shared" si="0"/>
        <v>181.45632059124023</v>
      </c>
      <c r="E38" s="4">
        <f t="shared" si="3"/>
        <v>178.64025697119141</v>
      </c>
      <c r="F38" s="25"/>
      <c r="G38" s="25"/>
      <c r="H38" s="25" t="s">
        <v>53</v>
      </c>
      <c r="I38" s="7">
        <f>I33/I34</f>
        <v>0.73568801654862614</v>
      </c>
      <c r="J38" s="25"/>
      <c r="K38" s="25" t="s">
        <v>54</v>
      </c>
      <c r="L38" s="17">
        <f>(L37-L35)/2</f>
        <v>1.7215005815139361E-2</v>
      </c>
      <c r="M38" s="4">
        <f t="shared" si="7"/>
        <v>1.7215005815139361</v>
      </c>
      <c r="N38" s="25" t="s">
        <v>47</v>
      </c>
      <c r="O38" s="4">
        <f t="shared" si="6"/>
        <v>0.6777561344543056</v>
      </c>
    </row>
    <row r="39" spans="1:15" ht="16.8" x14ac:dyDescent="0.75">
      <c r="A39" s="25">
        <v>35.5</v>
      </c>
      <c r="B39" s="4">
        <f t="shared" si="1"/>
        <v>3.2370330032592216</v>
      </c>
      <c r="C39" s="4">
        <f t="shared" si="2"/>
        <v>8.2966238463835058</v>
      </c>
      <c r="D39" s="4">
        <f t="shared" si="0"/>
        <v>181.55571182603433</v>
      </c>
      <c r="E39" s="4">
        <f t="shared" si="3"/>
        <v>178.75419738452572</v>
      </c>
      <c r="F39" s="25"/>
      <c r="G39" s="25"/>
      <c r="H39" s="25" t="s">
        <v>55</v>
      </c>
      <c r="I39" s="14">
        <f>B4/H10/9.81</f>
        <v>1.9265823276308709</v>
      </c>
      <c r="J39" s="25"/>
      <c r="K39" s="25"/>
      <c r="L39" s="10" t="s">
        <v>70</v>
      </c>
      <c r="M39" s="25"/>
      <c r="N39" s="25"/>
      <c r="O39" s="25"/>
    </row>
    <row r="40" spans="1:15" ht="16.8" x14ac:dyDescent="0.75">
      <c r="A40" s="25">
        <v>35.75</v>
      </c>
      <c r="B40" s="4">
        <f t="shared" si="1"/>
        <v>3.233120827552332</v>
      </c>
      <c r="C40" s="4">
        <f t="shared" si="2"/>
        <v>8.2540702779511665</v>
      </c>
      <c r="D40" s="4">
        <f t="shared" si="0"/>
        <v>181.65331205571309</v>
      </c>
      <c r="E40" s="4">
        <f t="shared" si="3"/>
        <v>178.8661666441507</v>
      </c>
      <c r="F40" s="25"/>
      <c r="G40" s="25"/>
      <c r="H40" s="25" t="s">
        <v>57</v>
      </c>
      <c r="I40" s="8">
        <f>I39/(1 + B2)</f>
        <v>0.35028769593288561</v>
      </c>
      <c r="J40" s="25"/>
      <c r="K40" s="25"/>
      <c r="L40" s="25"/>
      <c r="M40" s="19"/>
      <c r="N40" s="25"/>
      <c r="O40" s="25"/>
    </row>
    <row r="41" spans="1:15" ht="16.8" x14ac:dyDescent="0.75">
      <c r="A41" s="25">
        <v>36</v>
      </c>
      <c r="B41" s="4">
        <f t="shared" si="1"/>
        <v>3.2292363874796473</v>
      </c>
      <c r="C41" s="4">
        <f t="shared" si="2"/>
        <v>8.212039932979609</v>
      </c>
      <c r="D41" s="4">
        <f t="shared" si="0"/>
        <v>181.74915877934376</v>
      </c>
      <c r="E41" s="4">
        <f t="shared" si="3"/>
        <v>178.97620572127352</v>
      </c>
      <c r="F41" s="25"/>
      <c r="G41" s="25"/>
      <c r="H41" s="25" t="s">
        <v>58</v>
      </c>
      <c r="I41" s="7">
        <f>I39-I40</f>
        <v>1.5762946316979853</v>
      </c>
      <c r="J41" s="25"/>
      <c r="K41" s="25"/>
      <c r="L41" s="25"/>
      <c r="M41" s="25"/>
      <c r="N41" s="25"/>
      <c r="O41" s="25"/>
    </row>
    <row r="42" spans="1:15" x14ac:dyDescent="0.55000000000000004">
      <c r="A42" s="25">
        <v>36.25</v>
      </c>
      <c r="B42" s="4">
        <f t="shared" si="1"/>
        <v>3.2253792908369414</v>
      </c>
      <c r="C42" s="4">
        <f t="shared" si="2"/>
        <v>8.1705227967940548</v>
      </c>
      <c r="D42" s="4">
        <f t="shared" si="0"/>
        <v>181.84328848218419</v>
      </c>
      <c r="E42" s="4">
        <f t="shared" si="3"/>
        <v>179.08435448279948</v>
      </c>
      <c r="F42" s="25"/>
      <c r="G42" s="25"/>
      <c r="H42" s="25"/>
      <c r="I42" s="25"/>
      <c r="J42" s="25"/>
      <c r="K42" s="25"/>
      <c r="L42" s="25"/>
      <c r="M42" s="25"/>
      <c r="N42" s="25"/>
      <c r="O42" s="25"/>
    </row>
    <row r="43" spans="1:15" x14ac:dyDescent="0.55000000000000004">
      <c r="A43" s="25">
        <v>36.5</v>
      </c>
      <c r="B43" s="4">
        <f t="shared" si="1"/>
        <v>3.221549153639927</v>
      </c>
      <c r="C43" s="4">
        <f t="shared" si="2"/>
        <v>8.1295091139345761</v>
      </c>
      <c r="D43" s="4">
        <f t="shared" si="0"/>
        <v>181.93573666958301</v>
      </c>
      <c r="E43" s="4">
        <f t="shared" si="3"/>
        <v>179.19065172819558</v>
      </c>
      <c r="F43" s="25"/>
      <c r="G43" s="25"/>
      <c r="H43" s="25"/>
      <c r="I43" s="25"/>
      <c r="J43" s="25"/>
      <c r="K43" s="25"/>
      <c r="L43" s="25"/>
      <c r="M43" s="25"/>
      <c r="N43" s="25"/>
      <c r="O43" s="25"/>
    </row>
    <row r="44" spans="1:15" x14ac:dyDescent="0.55000000000000004">
      <c r="A44" s="25">
        <v>36.75</v>
      </c>
      <c r="B44" s="4">
        <f t="shared" si="1"/>
        <v>3.2177455998968503</v>
      </c>
      <c r="C44" s="4">
        <f t="shared" si="2"/>
        <v>8.0889893797243175</v>
      </c>
      <c r="D44" s="4">
        <f t="shared" si="0"/>
        <v>182.0265378995278</v>
      </c>
      <c r="E44" s="4">
        <f t="shared" si="3"/>
        <v>179.2951352248862</v>
      </c>
      <c r="F44" s="25"/>
      <c r="G44" s="25"/>
      <c r="H44" s="25"/>
      <c r="I44" s="25"/>
      <c r="J44" s="25"/>
      <c r="K44" s="25"/>
      <c r="L44" s="25"/>
      <c r="M44" s="25"/>
      <c r="N44" s="25"/>
      <c r="O44" s="25"/>
    </row>
    <row r="45" spans="1:15" x14ac:dyDescent="0.55000000000000004">
      <c r="A45" s="25">
        <v>37</v>
      </c>
      <c r="B45" s="4">
        <f t="shared" si="1"/>
        <v>3.2139682613888803</v>
      </c>
      <c r="C45" s="4">
        <f t="shared" si="2"/>
        <v>8.0489543321671313</v>
      </c>
      <c r="D45" s="4">
        <f t="shared" si="0"/>
        <v>182.11572581390445</v>
      </c>
      <c r="E45" s="4">
        <f t="shared" si="3"/>
        <v>179.39784174224818</v>
      </c>
      <c r="F45" s="25"/>
      <c r="G45" s="25"/>
      <c r="H45" s="25"/>
      <c r="I45" s="25"/>
      <c r="J45" s="25"/>
      <c r="K45" s="25"/>
      <c r="L45" s="25"/>
      <c r="M45" s="25"/>
      <c r="N45" s="25"/>
      <c r="O45" s="25"/>
    </row>
    <row r="46" spans="1:15" x14ac:dyDescent="0.55000000000000004">
      <c r="A46" s="25">
        <v>37.25</v>
      </c>
      <c r="B46" s="4">
        <f t="shared" si="1"/>
        <v>3.2102167774579669</v>
      </c>
      <c r="C46" s="4">
        <f t="shared" si="2"/>
        <v>8.0093949441596859</v>
      </c>
      <c r="D46" s="4">
        <f t="shared" si="0"/>
        <v>182.20333316852643</v>
      </c>
      <c r="E46" s="4">
        <f t="shared" si="3"/>
        <v>179.49880708426988</v>
      </c>
      <c r="F46" s="25"/>
      <c r="G46" s="25"/>
      <c r="H46" s="25"/>
      <c r="I46" s="25"/>
      <c r="J46" s="25"/>
      <c r="K46" s="25"/>
      <c r="L46" s="25"/>
      <c r="M46" s="25"/>
      <c r="N46" s="25"/>
      <c r="O46" s="25"/>
    </row>
    <row r="47" spans="1:15" x14ac:dyDescent="0.55000000000000004">
      <c r="A47" s="25">
        <v>37.5</v>
      </c>
      <c r="B47" s="4">
        <f t="shared" si="1"/>
        <v>3.2064907948018808</v>
      </c>
      <c r="C47" s="4">
        <f t="shared" si="2"/>
        <v>7.9703024160040208</v>
      </c>
      <c r="D47" s="4">
        <f t="shared" si="0"/>
        <v>182.28939186199017</v>
      </c>
      <c r="E47" s="4">
        <f t="shared" si="3"/>
        <v>179.59806612093479</v>
      </c>
      <c r="F47" s="25"/>
      <c r="G47" s="25"/>
      <c r="H47" s="25"/>
      <c r="I47" s="25"/>
      <c r="J47" s="25"/>
      <c r="K47" s="25"/>
      <c r="L47" s="25"/>
      <c r="M47" s="25"/>
      <c r="N47" s="25"/>
      <c r="O47" s="25"/>
    </row>
    <row r="48" spans="1:15" x14ac:dyDescent="0.55000000000000004">
      <c r="A48" s="25">
        <v>37.75</v>
      </c>
      <c r="B48" s="4">
        <f t="shared" si="1"/>
        <v>3.2027899672761326</v>
      </c>
      <c r="C48" s="4">
        <f t="shared" si="2"/>
        <v>7.9316681682067163</v>
      </c>
      <c r="D48" s="4">
        <f t="shared" si="0"/>
        <v>182.37393296340977</v>
      </c>
      <c r="E48" s="4">
        <f t="shared" si="3"/>
        <v>179.69565281838777</v>
      </c>
      <c r="F48" s="25"/>
      <c r="G48" s="25"/>
      <c r="H48" s="25"/>
      <c r="I48" s="25"/>
      <c r="J48" s="25"/>
      <c r="K48" s="25"/>
      <c r="L48" s="25"/>
      <c r="M48" s="25"/>
      <c r="N48" s="25"/>
      <c r="O48" s="25"/>
    </row>
    <row r="49" spans="1:5" x14ac:dyDescent="0.55000000000000004">
      <c r="A49" s="25">
        <v>38</v>
      </c>
      <c r="B49" s="4">
        <f t="shared" si="1"/>
        <v>3.1991139557025012</v>
      </c>
      <c r="C49" s="4">
        <f t="shared" si="2"/>
        <v>7.8934838345521179</v>
      </c>
      <c r="D49" s="4">
        <f t="shared" si="0"/>
        <v>182.45698673908217</v>
      </c>
      <c r="E49" s="4">
        <f t="shared" si="3"/>
        <v>179.79160026793923</v>
      </c>
    </row>
    <row r="50" spans="1:5" x14ac:dyDescent="0.55000000000000004">
      <c r="A50" s="25">
        <v>38.25</v>
      </c>
      <c r="B50" s="4">
        <f t="shared" si="1"/>
        <v>3.1954624276839119</v>
      </c>
      <c r="C50" s="4">
        <f t="shared" si="2"/>
        <v>7.855741255437465</v>
      </c>
      <c r="D50" s="4">
        <f t="shared" si="0"/>
        <v>182.53858267812936</v>
      </c>
      <c r="E50" s="4">
        <f t="shared" si="3"/>
        <v>179.88594071395787</v>
      </c>
    </row>
    <row r="51" spans="1:5" x14ac:dyDescent="0.55000000000000004">
      <c r="A51" s="25">
        <v>38.5</v>
      </c>
      <c r="B51" s="4">
        <f t="shared" si="1"/>
        <v>3.1918350574254095</v>
      </c>
      <c r="C51" s="4">
        <f t="shared" si="2"/>
        <v>7.8184324714581699</v>
      </c>
      <c r="D51" s="4">
        <f t="shared" si="0"/>
        <v>182.61874951716501</v>
      </c>
      <c r="E51" s="4">
        <f t="shared" si="3"/>
        <v>179.97870558070318</v>
      </c>
    </row>
    <row r="52" spans="1:5" x14ac:dyDescent="0.55000000000000004">
      <c r="A52" s="25">
        <v>38.75</v>
      </c>
      <c r="B52" s="4">
        <f t="shared" si="1"/>
        <v>3.1882315255609885</v>
      </c>
      <c r="C52" s="4">
        <f t="shared" si="2"/>
        <v>7.7815497172326209</v>
      </c>
      <c r="D52" s="4">
        <f t="shared" si="0"/>
        <v>182.69751526402672</v>
      </c>
      <c r="E52" s="4">
        <f t="shared" si="3"/>
        <v>180.06992549814299</v>
      </c>
    </row>
    <row r="53" spans="1:5" x14ac:dyDescent="0.55000000000000004">
      <c r="A53" s="25">
        <v>39</v>
      </c>
      <c r="B53" s="4">
        <f t="shared" si="1"/>
        <v>3.1846515189860534</v>
      </c>
      <c r="C53" s="4">
        <f t="shared" si="2"/>
        <v>7.7450854154557671</v>
      </c>
      <c r="D53" s="4">
        <f t="shared" si="0"/>
        <v>182.77490722061597</v>
      </c>
      <c r="E53" s="4">
        <f t="shared" si="3"/>
        <v>180.15963032680153</v>
      </c>
    </row>
    <row r="54" spans="1:5" x14ac:dyDescent="0.55000000000000004">
      <c r="A54" s="25">
        <v>39.25</v>
      </c>
      <c r="B54" s="4">
        <f t="shared" si="1"/>
        <v>3.1810947306952846</v>
      </c>
      <c r="C54" s="4">
        <f t="shared" si="2"/>
        <v>7.709032171171744</v>
      </c>
      <c r="D54" s="4">
        <f t="shared" si="0"/>
        <v>182.8509520048853</v>
      </c>
      <c r="E54" s="4">
        <f t="shared" si="3"/>
        <v>180.24784918168018</v>
      </c>
    </row>
    <row r="55" spans="1:5" x14ac:dyDescent="0.55000000000000004">
      <c r="A55" s="25">
        <v>39.5</v>
      </c>
      <c r="B55" s="4">
        <f t="shared" si="1"/>
        <v>3.1775608596257192</v>
      </c>
      <c r="C55" s="4">
        <f t="shared" si="2"/>
        <v>7.6733827662562861</v>
      </c>
      <c r="D55" s="4">
        <f t="shared" si="0"/>
        <v>182.9256755720078</v>
      </c>
      <c r="E55" s="4">
        <f t="shared" si="3"/>
        <v>180.3346104552904</v>
      </c>
    </row>
    <row r="56" spans="1:5" x14ac:dyDescent="0.55000000000000004">
      <c r="A56" s="25">
        <v>39.75</v>
      </c>
      <c r="B56" s="4">
        <f t="shared" si="1"/>
        <v>3.1740496105048277</v>
      </c>
      <c r="C56" s="4">
        <f t="shared" si="2"/>
        <v>7.6381301540996827</v>
      </c>
      <c r="D56" s="4">
        <f t="shared" si="0"/>
        <v>182.99910323476638</v>
      </c>
      <c r="E56" s="4">
        <f t="shared" si="3"/>
        <v>180.41994183983823</v>
      </c>
    </row>
    <row r="57" spans="1:5" x14ac:dyDescent="0.55000000000000004">
      <c r="A57" s="25">
        <v>40</v>
      </c>
      <c r="B57" s="4">
        <f t="shared" si="1"/>
        <v>3.1705606937034028</v>
      </c>
      <c r="C57" s="4">
        <f t="shared" si="2"/>
        <v>7.6032674544818919</v>
      </c>
      <c r="D57" s="4">
        <f t="shared" si="0"/>
        <v>183.0712596831946</v>
      </c>
      <c r="E57" s="4">
        <f t="shared" si="3"/>
        <v>180.5038703485958</v>
      </c>
    </row>
    <row r="58" spans="1:5" x14ac:dyDescent="0.55000000000000004">
      <c r="A58" s="25">
        <v>40.25</v>
      </c>
      <c r="B58" s="4">
        <f t="shared" si="1"/>
        <v>3.1670938250930925</v>
      </c>
      <c r="C58" s="4">
        <f t="shared" si="2"/>
        <v>7.5687879486319005</v>
      </c>
      <c r="D58" s="4">
        <f t="shared" si="0"/>
        <v>183.14216900350155</v>
      </c>
      <c r="E58" s="4">
        <f t="shared" si="3"/>
        <v>180.58642233649417</v>
      </c>
    </row>
    <row r="59" spans="1:5" x14ac:dyDescent="0.55000000000000004">
      <c r="A59" s="25">
        <v>40.5</v>
      </c>
      <c r="B59" s="4">
        <f t="shared" si="1"/>
        <v>3.1636487259083772</v>
      </c>
      <c r="C59" s="4">
        <f t="shared" si="2"/>
        <v>7.5346850744632343</v>
      </c>
      <c r="D59" s="4">
        <f t="shared" si="0"/>
        <v>183.21185469631149</v>
      </c>
      <c r="E59" s="4">
        <f t="shared" si="3"/>
        <v>180.66762351997232</v>
      </c>
    </row>
    <row r="60" spans="1:5" x14ac:dyDescent="0.55000000000000004">
      <c r="A60" s="25">
        <v>40.75</v>
      </c>
      <c r="B60" s="4">
        <f t="shared" si="1"/>
        <v>3.1602251226128533</v>
      </c>
      <c r="C60" s="4">
        <f t="shared" si="2"/>
        <v>7.5009524219786661</v>
      </c>
      <c r="D60" s="4">
        <f t="shared" si="0"/>
        <v>183.28033969424601</v>
      </c>
      <c r="E60" s="4">
        <f t="shared" si="3"/>
        <v>180.74749899611047</v>
      </c>
    </row>
    <row r="61" spans="1:5" x14ac:dyDescent="0.55000000000000004">
      <c r="A61" s="25">
        <v>41</v>
      </c>
      <c r="B61" s="4">
        <f t="shared" si="1"/>
        <v>3.156822746769643</v>
      </c>
      <c r="C61" s="4">
        <f t="shared" si="2"/>
        <v>7.4675837288369022</v>
      </c>
      <c r="D61" s="4">
        <f t="shared" si="0"/>
        <v>183.34764637887733</v>
      </c>
      <c r="E61" s="4">
        <f t="shared" si="3"/>
        <v>180.82607326108072</v>
      </c>
    </row>
    <row r="62" spans="1:5" x14ac:dyDescent="0.55000000000000004">
      <c r="A62" s="25">
        <v>41.25</v>
      </c>
      <c r="B62" s="4">
        <f t="shared" si="1"/>
        <v>3.1534413349157853</v>
      </c>
      <c r="C62" s="4">
        <f t="shared" si="2"/>
        <v>7.4345728760745686</v>
      </c>
      <c r="D62" s="4">
        <f t="shared" si="0"/>
        <v>183.41379659707803</v>
      </c>
      <c r="E62" s="4">
        <f t="shared" si="3"/>
        <v>180.90337022794117</v>
      </c>
    </row>
    <row r="63" spans="1:5" x14ac:dyDescent="0.55000000000000004">
      <c r="A63" s="25">
        <v>41.5</v>
      </c>
      <c r="B63" s="4">
        <f t="shared" si="1"/>
        <v>3.1500806284404681</v>
      </c>
      <c r="C63" s="4">
        <f t="shared" si="2"/>
        <v>7.4019138839773548</v>
      </c>
      <c r="D63" s="4">
        <f t="shared" si="0"/>
        <v>183.47881167679267</v>
      </c>
      <c r="E63" s="4">
        <f t="shared" si="3"/>
        <v>180.97941324380182</v>
      </c>
    </row>
    <row r="64" spans="1:5" x14ac:dyDescent="0.55000000000000004">
      <c r="A64" s="25">
        <v>41.75</v>
      </c>
      <c r="B64" s="4">
        <f t="shared" si="1"/>
        <v>3.1467403734669519</v>
      </c>
      <c r="C64" s="4">
        <f t="shared" si="2"/>
        <v>7.3696009080940224</v>
      </c>
      <c r="D64" s="4">
        <f t="shared" si="0"/>
        <v>183.54271244225455</v>
      </c>
      <c r="E64" s="4">
        <f t="shared" si="3"/>
        <v>181.05422510638721</v>
      </c>
    </row>
    <row r="65" spans="1:5" x14ac:dyDescent="0.55000000000000004">
      <c r="A65" s="25">
        <v>42</v>
      </c>
      <c r="B65" s="4">
        <f t="shared" si="1"/>
        <v>3.1434203207380591</v>
      </c>
      <c r="C65" s="4">
        <f t="shared" si="2"/>
        <v>7.337628235387637</v>
      </c>
      <c r="D65" s="4">
        <f t="shared" si="0"/>
        <v>183.60551922867094</v>
      </c>
      <c r="E65" s="4">
        <f t="shared" si="3"/>
        <v>181.12782808002135</v>
      </c>
    </row>
    <row r="66" spans="1:5" x14ac:dyDescent="0.55000000000000004">
      <c r="A66" s="25">
        <v>42.25</v>
      </c>
      <c r="B66" s="4">
        <f t="shared" si="1"/>
        <v>3.1401202255050982</v>
      </c>
      <c r="C66" s="4">
        <f t="shared" si="2"/>
        <v>7.3059902805185173</v>
      </c>
      <c r="D66" s="4">
        <f t="shared" si="0"/>
        <v>183.6672518963976</v>
      </c>
      <c r="E66" s="4">
        <f t="shared" si="3"/>
        <v>181.20024391105716</v>
      </c>
    </row>
    <row r="67" spans="1:5" x14ac:dyDescent="0.55000000000000004">
      <c r="A67" s="25">
        <v>42.5</v>
      </c>
      <c r="B67" s="4">
        <f t="shared" si="1"/>
        <v>3.1368398474200943</v>
      </c>
      <c r="C67" s="4">
        <f t="shared" si="2"/>
        <v>7.2746815822535469</v>
      </c>
      <c r="D67" s="4">
        <f t="shared" si="0"/>
        <v>183.72792984462379</v>
      </c>
      <c r="E67" s="4">
        <f t="shared" si="3"/>
        <v>181.27149384277422</v>
      </c>
    </row>
    <row r="68" spans="1:5" x14ac:dyDescent="0.55000000000000004">
      <c r="A68" s="25">
        <v>42.75</v>
      </c>
      <c r="B68" s="4">
        <f t="shared" si="1"/>
        <v>3.1335789504312226</v>
      </c>
      <c r="C68" s="4">
        <f t="shared" si="2"/>
        <v>7.2436967999969823</v>
      </c>
      <c r="D68" s="4">
        <f t="shared" si="0"/>
        <v>183.78757202458686</v>
      </c>
      <c r="E68" s="4">
        <f t="shared" si="3"/>
        <v>181.34159862976472</v>
      </c>
    </row>
    <row r="69" spans="1:5" x14ac:dyDescent="0.55000000000000004">
      <c r="A69" s="25">
        <v>43</v>
      </c>
      <c r="B69" s="4">
        <f t="shared" si="1"/>
        <v>3.1303373026813204</v>
      </c>
      <c r="C69" s="4">
        <f t="shared" si="2"/>
        <v>7.2130307104378097</v>
      </c>
      <c r="D69" s="4">
        <f t="shared" si="0"/>
        <v>183.84619695233582</v>
      </c>
      <c r="E69" s="4">
        <f t="shared" si="3"/>
        <v>181.41057855182888</v>
      </c>
    </row>
    <row r="70" spans="1:5" x14ac:dyDescent="0.55000000000000004">
      <c r="A70" s="25">
        <v>43.25</v>
      </c>
      <c r="B70" s="4">
        <f t="shared" si="1"/>
        <v>3.1271146764093682</v>
      </c>
      <c r="C70" s="4">
        <f t="shared" si="2"/>
        <v>7.1826782043092638</v>
      </c>
      <c r="D70" s="4">
        <f t="shared" si="0"/>
        <v>183.90382272106132</v>
      </c>
      <c r="E70" s="4">
        <f t="shared" si="3"/>
        <v>181.47845342739944</v>
      </c>
    </row>
    <row r="71" spans="1:5" x14ac:dyDescent="0.55000000000000004">
      <c r="A71" s="25">
        <v>43.5</v>
      </c>
      <c r="B71" s="4">
        <f t="shared" si="1"/>
        <v>3.1239108478548445</v>
      </c>
      <c r="C71" s="4">
        <f t="shared" si="2"/>
        <v>7.152634283255888</v>
      </c>
      <c r="D71" s="4">
        <f t="shared" si="0"/>
        <v>183.96046701300892</v>
      </c>
      <c r="E71" s="4">
        <f t="shared" si="3"/>
        <v>181.54524262651282</v>
      </c>
    </row>
    <row r="72" spans="1:5" x14ac:dyDescent="0.55000000000000004">
      <c r="A72" s="25">
        <v>43.75</v>
      </c>
      <c r="B72" s="4">
        <f t="shared" si="1"/>
        <v>3.120725597164852</v>
      </c>
      <c r="C72" s="4">
        <f t="shared" si="2"/>
        <v>7.122894056804201</v>
      </c>
      <c r="D72" s="4">
        <f t="shared" si="0"/>
        <v>184.01614711099299</v>
      </c>
      <c r="E72" s="4">
        <f t="shared" si="3"/>
        <v>181.61096508334555</v>
      </c>
    </row>
    <row r="73" spans="1:5" x14ac:dyDescent="0.55000000000000004">
      <c r="A73" s="25">
        <v>44</v>
      </c>
      <c r="B73" s="4">
        <f t="shared" si="1"/>
        <v>3.1175587083039158</v>
      </c>
      <c r="C73" s="4">
        <f t="shared" si="2"/>
        <v>7.0934527394329052</v>
      </c>
      <c r="D73" s="4">
        <f t="shared" si="0"/>
        <v>184.07087990952519</v>
      </c>
      <c r="E73" s="4">
        <f t="shared" si="3"/>
        <v>181.67563930833265</v>
      </c>
    </row>
    <row r="74" spans="1:5" x14ac:dyDescent="0.55000000000000004">
      <c r="A74" s="25">
        <v>44.25</v>
      </c>
      <c r="B74" s="4">
        <f t="shared" si="1"/>
        <v>3.1144099689663598</v>
      </c>
      <c r="C74" s="4">
        <f t="shared" si="2"/>
        <v>7.0643056477386796</v>
      </c>
      <c r="D74" s="4">
        <f t="shared" si="0"/>
        <v>184.12468192557452</v>
      </c>
      <c r="E74" s="4">
        <f t="shared" si="3"/>
        <v>181.73928339988419</v>
      </c>
    </row>
    <row r="75" spans="1:5" x14ac:dyDescent="0.55000000000000004">
      <c r="A75" s="25">
        <v>44.5</v>
      </c>
      <c r="B75" s="4">
        <f t="shared" si="1"/>
        <v>3.1112791704911902</v>
      </c>
      <c r="C75" s="4">
        <f t="shared" si="2"/>
        <v>7.0354481976941807</v>
      </c>
      <c r="D75" s="4">
        <f t="shared" si="0"/>
        <v>184.17756930897107</v>
      </c>
      <c r="E75" s="4">
        <f t="shared" si="3"/>
        <v>181.80191505571514</v>
      </c>
    </row>
    <row r="76" spans="1:5" x14ac:dyDescent="0.55000000000000004">
      <c r="A76" s="25">
        <v>44.75</v>
      </c>
      <c r="B76" s="4">
        <f t="shared" si="1"/>
        <v>3.1081661077793763</v>
      </c>
      <c r="C76" s="4">
        <f t="shared" si="2"/>
        <v>7.0068759019945093</v>
      </c>
      <c r="D76" s="4">
        <f t="shared" si="0"/>
        <v>184.22955785246864</v>
      </c>
      <c r="E76" s="4">
        <f t="shared" si="3"/>
        <v>181.86355158380397</v>
      </c>
    </row>
    <row r="77" spans="1:5" x14ac:dyDescent="0.55000000000000004">
      <c r="A77" s="25">
        <v>45</v>
      </c>
      <c r="B77" s="4">
        <f t="shared" si="1"/>
        <v>3.1050705792134665</v>
      </c>
      <c r="C77" s="4">
        <f t="shared" si="2"/>
        <v>6.9785843674889536</v>
      </c>
      <c r="D77" s="4">
        <f t="shared" si="0"/>
        <v>184.28066300147825</v>
      </c>
      <c r="E77" s="4">
        <f t="shared" si="3"/>
        <v>181.92420991299355</v>
      </c>
    </row>
    <row r="78" spans="1:5" x14ac:dyDescent="0.55000000000000004">
      <c r="A78" s="25">
        <v>45.25</v>
      </c>
      <c r="B78" s="4">
        <f t="shared" si="1"/>
        <v>3.1019923865794516</v>
      </c>
      <c r="C78" s="4">
        <f t="shared" si="2"/>
        <v>6.9505692926947233</v>
      </c>
      <c r="D78" s="4">
        <f t="shared" si="0"/>
        <v>184.33089986348625</v>
      </c>
      <c r="E78" s="4">
        <f t="shared" si="3"/>
        <v>181.98390660324844</v>
      </c>
    </row>
    <row r="79" spans="1:5" x14ac:dyDescent="0.55000000000000004">
      <c r="A79" s="25">
        <v>45.5</v>
      </c>
      <c r="B79" s="4">
        <f t="shared" si="1"/>
        <v>3.0989313349908096</v>
      </c>
      <c r="C79" s="4">
        <f t="shared" si="2"/>
        <v>6.92282646538977</v>
      </c>
      <c r="D79" s="4">
        <f t="shared" ref="D79:D142" si="8">$B$6*$B$12/9.81*($B$9*SQRT(2/($B$9-1)*(2/($B$9+1))^(($B$9+1)/($B$9-1))*(1 - (A79/$B$3)^(($B$9-1)/$B$9))) + C79/$B$3*(A79 - $E$5))</f>
        <v>184.3802832171672</v>
      </c>
      <c r="E79" s="4">
        <f t="shared" si="3"/>
        <v>182.04265785558096</v>
      </c>
    </row>
    <row r="80" spans="1:5" x14ac:dyDescent="0.55000000000000004">
      <c r="A80" s="25">
        <v>45.75</v>
      </c>
      <c r="B80" s="4">
        <f t="shared" ref="B80:B143" si="9">SQRT(2/($B$9-1)*((A80/$B$3)^((1-$B$9)/$B$9) - 1))</f>
        <v>3.0958872328146447</v>
      </c>
      <c r="C80" s="4">
        <f t="shared" ref="C80:C143" si="10">1/B80*(2/($B$9+1)*(1 + ($B$9-1)/2*B80^2))^(($B$9+1)/(2*$B$9-2))</f>
        <v>6.8953517602815397</v>
      </c>
      <c r="D80" s="4">
        <f t="shared" si="8"/>
        <v>184.42882752120425</v>
      </c>
      <c r="E80" s="4">
        <f t="shared" ref="E80:E143" si="11">$B$6*$B$12/9.81*($B$9*SQRT(2/($B$9-1)*(2/($B$9+1))^(($B$9+1)/($B$9-1))*(1 - (A80/$B$3)^(($B$9-1)/$B$9))) + C80/$B$3*(A80 - $E$4))</f>
        <v>182.10047952165854</v>
      </c>
    </row>
    <row r="81" spans="1:5" x14ac:dyDescent="0.55000000000000004">
      <c r="A81" s="25">
        <v>46</v>
      </c>
      <c r="B81" s="4">
        <f t="shared" si="9"/>
        <v>3.092859891599868</v>
      </c>
      <c r="C81" s="4">
        <f t="shared" si="10"/>
        <v>6.8681411367490091</v>
      </c>
      <c r="D81" s="4">
        <f t="shared" si="8"/>
        <v>184.47654692282811</v>
      </c>
      <c r="E81" s="4">
        <f t="shared" si="11"/>
        <v>182.15738711310516</v>
      </c>
    </row>
    <row r="82" spans="1:5" x14ac:dyDescent="0.55000000000000004">
      <c r="A82" s="25">
        <v>46.25</v>
      </c>
      <c r="B82" s="4">
        <f t="shared" si="9"/>
        <v>3.0898491260073406</v>
      </c>
      <c r="C82" s="4">
        <f t="shared" si="10"/>
        <v>6.8411906366553605</v>
      </c>
      <c r="D82" s="4">
        <f t="shared" si="8"/>
        <v>184.52345526608337</v>
      </c>
      <c r="E82" s="4">
        <f t="shared" si="11"/>
        <v>182.21339581050648</v>
      </c>
    </row>
    <row r="83" spans="1:5" x14ac:dyDescent="0.55000000000000004">
      <c r="A83" s="25">
        <v>46.5</v>
      </c>
      <c r="B83" s="4">
        <f t="shared" si="9"/>
        <v>3.0868547537419229</v>
      </c>
      <c r="C83" s="4">
        <f t="shared" si="10"/>
        <v>6.814496382228536</v>
      </c>
      <c r="D83" s="4">
        <f t="shared" si="8"/>
        <v>184.56956609983479</v>
      </c>
      <c r="E83" s="4">
        <f t="shared" si="11"/>
        <v>182.26852047213131</v>
      </c>
    </row>
    <row r="84" spans="1:5" x14ac:dyDescent="0.55000000000000004">
      <c r="A84" s="25">
        <v>46.75</v>
      </c>
      <c r="B84" s="4">
        <f t="shared" si="9"/>
        <v>3.0838765954863607</v>
      </c>
      <c r="C84" s="4">
        <f t="shared" si="10"/>
        <v>6.7880545740073694</v>
      </c>
      <c r="D84" s="4">
        <f t="shared" si="8"/>
        <v>184.61489268552029</v>
      </c>
      <c r="E84" s="4">
        <f t="shared" si="11"/>
        <v>182.32277564237876</v>
      </c>
    </row>
    <row r="85" spans="1:5" x14ac:dyDescent="0.55000000000000004">
      <c r="A85" s="25">
        <v>47</v>
      </c>
      <c r="B85" s="4">
        <f t="shared" si="9"/>
        <v>3.0809144748369603</v>
      </c>
      <c r="C85" s="4">
        <f t="shared" si="10"/>
        <v>6.7618614888508874</v>
      </c>
      <c r="D85" s="4">
        <f t="shared" si="8"/>
        <v>184.65944800466255</v>
      </c>
      <c r="E85" s="4">
        <f t="shared" si="11"/>
        <v>182.37617555996158</v>
      </c>
    </row>
    <row r="86" spans="1:5" x14ac:dyDescent="0.55000000000000004">
      <c r="A86" s="25">
        <v>47.25</v>
      </c>
      <c r="B86" s="4">
        <f t="shared" si="9"/>
        <v>3.0779682182409793</v>
      </c>
      <c r="C86" s="4">
        <f t="shared" si="10"/>
        <v>6.7359134780085173</v>
      </c>
      <c r="D86" s="4">
        <f t="shared" si="8"/>
        <v>184.70324476614579</v>
      </c>
      <c r="E86" s="4">
        <f t="shared" si="11"/>
        <v>182.4287341658347</v>
      </c>
    </row>
    <row r="87" spans="1:5" x14ac:dyDescent="0.55000000000000004">
      <c r="A87" s="25">
        <v>47.5</v>
      </c>
      <c r="B87" s="4">
        <f t="shared" si="9"/>
        <v>3.0750376549356915</v>
      </c>
      <c r="C87" s="4">
        <f t="shared" si="10"/>
        <v>6.7102069652488998</v>
      </c>
      <c r="D87" s="4">
        <f t="shared" si="8"/>
        <v>184.74629541326786</v>
      </c>
      <c r="E87" s="4">
        <f t="shared" si="11"/>
        <v>182.48046511087918</v>
      </c>
    </row>
    <row r="88" spans="1:5" x14ac:dyDescent="0.55000000000000004">
      <c r="A88" s="25">
        <v>47.75</v>
      </c>
      <c r="B88" s="4">
        <f t="shared" si="9"/>
        <v>3.0721226168890694</v>
      </c>
      <c r="C88" s="4">
        <f t="shared" si="10"/>
        <v>6.684738445045519</v>
      </c>
      <c r="D88" s="4">
        <f t="shared" si="8"/>
        <v>184.78861213057436</v>
      </c>
      <c r="E88" s="4">
        <f t="shared" si="11"/>
        <v>182.53138176334903</v>
      </c>
    </row>
    <row r="89" spans="1:5" x14ac:dyDescent="0.55000000000000004">
      <c r="A89" s="25">
        <v>48</v>
      </c>
      <c r="B89" s="4">
        <f t="shared" si="9"/>
        <v>3.0692229387420293</v>
      </c>
      <c r="C89" s="4">
        <f t="shared" si="10"/>
        <v>6.6595044808168042</v>
      </c>
      <c r="D89" s="4">
        <f t="shared" si="8"/>
        <v>184.83020685048407</v>
      </c>
      <c r="E89" s="4">
        <f t="shared" si="11"/>
        <v>182.58149721609084</v>
      </c>
    </row>
    <row r="90" spans="1:5" x14ac:dyDescent="0.55000000000000004">
      <c r="A90" s="25">
        <v>48.25</v>
      </c>
      <c r="B90" s="4">
        <f t="shared" si="9"/>
        <v>3.0663384577521908</v>
      </c>
      <c r="C90" s="4">
        <f t="shared" si="10"/>
        <v>6.6345017032189988</v>
      </c>
      <c r="D90" s="4">
        <f t="shared" si="8"/>
        <v>184.87109125971156</v>
      </c>
      <c r="E90" s="4">
        <f t="shared" si="11"/>
        <v>182.63082429354276</v>
      </c>
    </row>
    <row r="91" spans="1:5" x14ac:dyDescent="0.55000000000000004">
      <c r="A91" s="25">
        <v>48.5</v>
      </c>
      <c r="B91" s="4">
        <f t="shared" si="9"/>
        <v>3.0634690137391121</v>
      </c>
      <c r="C91" s="4">
        <f t="shared" si="10"/>
        <v>6.6097268084899845</v>
      </c>
      <c r="D91" s="4">
        <f t="shared" si="8"/>
        <v>184.91127680549528</v>
      </c>
      <c r="E91" s="4">
        <f t="shared" si="11"/>
        <v>182.67937555852208</v>
      </c>
    </row>
    <row r="92" spans="1:5" x14ac:dyDescent="0.55000000000000004">
      <c r="A92" s="25">
        <v>48.75</v>
      </c>
      <c r="B92" s="4">
        <f t="shared" si="9"/>
        <v>3.0606144490309379</v>
      </c>
      <c r="C92" s="4">
        <f t="shared" si="10"/>
        <v>6.5851765568420388</v>
      </c>
      <c r="D92" s="4">
        <f t="shared" si="8"/>
        <v>184.95077470163747</v>
      </c>
      <c r="E92" s="4">
        <f t="shared" si="11"/>
        <v>182.72716331880753</v>
      </c>
    </row>
    <row r="93" spans="1:5" x14ac:dyDescent="0.55000000000000004">
      <c r="A93" s="25">
        <v>49</v>
      </c>
      <c r="B93" s="4">
        <f t="shared" si="9"/>
        <v>3.0577746084124313</v>
      </c>
      <c r="C93" s="4">
        <f t="shared" si="10"/>
        <v>6.5608477709021287</v>
      </c>
      <c r="D93" s="4">
        <f t="shared" si="8"/>
        <v>184.98959593436285</v>
      </c>
      <c r="E93" s="4">
        <f t="shared" si="11"/>
        <v>182.77419963352494</v>
      </c>
    </row>
    <row r="94" spans="1:5" x14ac:dyDescent="0.55000000000000004">
      <c r="A94" s="25">
        <v>49.25</v>
      </c>
      <c r="B94" s="4">
        <f t="shared" si="9"/>
        <v>3.0549493390743483</v>
      </c>
      <c r="C94" s="4">
        <f t="shared" si="10"/>
        <v>6.5367373341979382</v>
      </c>
      <c r="D94" s="4">
        <f t="shared" si="8"/>
        <v>185.02775126800165</v>
      </c>
      <c r="E94" s="4">
        <f t="shared" si="11"/>
        <v>182.82049631934123</v>
      </c>
    </row>
    <row r="95" spans="1:5" x14ac:dyDescent="0.55000000000000004">
      <c r="A95" s="25">
        <v>49.5</v>
      </c>
      <c r="B95" s="4">
        <f t="shared" si="9"/>
        <v>3.0521384905640931</v>
      </c>
      <c r="C95" s="4">
        <f t="shared" si="10"/>
        <v>6.512842189688036</v>
      </c>
      <c r="D95" s="4">
        <f t="shared" si="8"/>
        <v>185.06525125050445</v>
      </c>
      <c r="E95" s="4">
        <f t="shared" si="11"/>
        <v>182.86606495647584</v>
      </c>
    </row>
    <row r="96" spans="1:5" x14ac:dyDescent="0.55000000000000004">
      <c r="A96" s="25">
        <v>49.75</v>
      </c>
      <c r="B96" s="4">
        <f t="shared" si="9"/>
        <v>3.0493419147376444</v>
      </c>
      <c r="C96" s="4">
        <f t="shared" si="10"/>
        <v>6.4891593383348853</v>
      </c>
      <c r="D96" s="4">
        <f t="shared" si="8"/>
        <v>185.10210621879278</v>
      </c>
      <c r="E96" s="4">
        <f t="shared" si="11"/>
        <v>182.91091689453293</v>
      </c>
    </row>
    <row r="97" spans="1:5" x14ac:dyDescent="0.55000000000000004">
      <c r="A97" s="25">
        <v>50</v>
      </c>
      <c r="B97" s="4">
        <f t="shared" si="9"/>
        <v>3.046559465712682</v>
      </c>
      <c r="C97" s="4">
        <f t="shared" si="10"/>
        <v>6.4656858377188637</v>
      </c>
      <c r="D97" s="4">
        <f t="shared" si="8"/>
        <v>185.13832630395314</v>
      </c>
      <c r="E97" s="4">
        <f t="shared" si="11"/>
        <v>182.95506325816339</v>
      </c>
    </row>
    <row r="98" spans="1:5" x14ac:dyDescent="0.55000000000000004">
      <c r="A98" s="25">
        <v>50.25</v>
      </c>
      <c r="B98" s="4">
        <f t="shared" si="9"/>
        <v>3.0437909998229205</v>
      </c>
      <c r="C98" s="4">
        <f t="shared" si="10"/>
        <v>6.4424188006924359</v>
      </c>
      <c r="D98" s="4">
        <f t="shared" si="8"/>
        <v>185.17392143627788</v>
      </c>
      <c r="E98" s="4">
        <f t="shared" si="11"/>
        <v>182.99851495256056</v>
      </c>
    </row>
    <row r="99" spans="1:5" x14ac:dyDescent="0.55000000000000004">
      <c r="A99" s="25">
        <v>50.5</v>
      </c>
      <c r="B99" s="4">
        <f t="shared" si="9"/>
        <v>3.0410363755735546</v>
      </c>
      <c r="C99" s="4">
        <f t="shared" si="10"/>
        <v>6.4193553940725474</v>
      </c>
      <c r="D99" s="4">
        <f t="shared" si="8"/>
        <v>185.20890135015975</v>
      </c>
      <c r="E99" s="4">
        <f t="shared" si="11"/>
        <v>183.04128266879584</v>
      </c>
    </row>
    <row r="100" spans="1:5" x14ac:dyDescent="0.55000000000000004">
      <c r="A100" s="25">
        <v>50.75</v>
      </c>
      <c r="B100" s="4">
        <f t="shared" si="9"/>
        <v>3.0382954535978475</v>
      </c>
      <c r="C100" s="4">
        <f t="shared" si="10"/>
        <v>6.396492837370495</v>
      </c>
      <c r="D100" s="4">
        <f t="shared" si="8"/>
        <v>185.243275588844</v>
      </c>
      <c r="E100" s="4">
        <f t="shared" si="11"/>
        <v>183.08337688899985</v>
      </c>
    </row>
    <row r="101" spans="1:5" x14ac:dyDescent="0.55000000000000004">
      <c r="A101" s="25">
        <v>51</v>
      </c>
      <c r="B101" s="4">
        <f t="shared" si="9"/>
        <v>3.0355680966147758</v>
      </c>
      <c r="C101" s="4">
        <f t="shared" si="10"/>
        <v>6.3738284015576285</v>
      </c>
      <c r="D101" s="4">
        <f t="shared" si="8"/>
        <v>185.27705350904338</v>
      </c>
      <c r="E101" s="4">
        <f t="shared" si="11"/>
        <v>183.1248078913944</v>
      </c>
    </row>
    <row r="102" spans="1:5" x14ac:dyDescent="0.55000000000000004">
      <c r="A102" s="25">
        <v>51.25</v>
      </c>
      <c r="B102" s="4">
        <f t="shared" si="9"/>
        <v>3.03285416938773</v>
      </c>
      <c r="C102" s="4">
        <f t="shared" si="10"/>
        <v>6.3513594078659086</v>
      </c>
      <c r="D102" s="4">
        <f t="shared" si="8"/>
        <v>185.31024428542042</v>
      </c>
      <c r="E102" s="4">
        <f t="shared" si="11"/>
        <v>183.16558575517936</v>
      </c>
    </row>
    <row r="103" spans="1:5" x14ac:dyDescent="0.55000000000000004">
      <c r="A103" s="25">
        <v>51.5</v>
      </c>
      <c r="B103" s="4">
        <f t="shared" si="9"/>
        <v>3.0301535386842313</v>
      </c>
      <c r="C103" s="4">
        <f t="shared" si="10"/>
        <v>6.3290832266221502</v>
      </c>
      <c r="D103" s="4">
        <f t="shared" si="8"/>
        <v>185.34285691494125</v>
      </c>
      <c r="E103" s="4">
        <f t="shared" si="11"/>
        <v>183.20572036528068</v>
      </c>
    </row>
    <row r="104" spans="1:5" x14ac:dyDescent="0.55000000000000004">
      <c r="A104" s="25">
        <v>51.75</v>
      </c>
      <c r="B104" s="4">
        <f t="shared" si="9"/>
        <v>3.0274660732366256</v>
      </c>
      <c r="C104" s="4">
        <f t="shared" si="10"/>
        <v>6.306997276114747</v>
      </c>
      <c r="D104" s="4">
        <f t="shared" si="8"/>
        <v>185.374900221106</v>
      </c>
      <c r="E104" s="4">
        <f t="shared" si="11"/>
        <v>183.24522141696295</v>
      </c>
    </row>
    <row r="105" spans="1:5" x14ac:dyDescent="0.55000000000000004">
      <c r="A105" s="25">
        <v>52</v>
      </c>
      <c r="B105" s="4">
        <f t="shared" si="9"/>
        <v>3.0247916437037445</v>
      </c>
      <c r="C105" s="4">
        <f t="shared" si="10"/>
        <v>6.285099021491968</v>
      </c>
      <c r="D105" s="4">
        <f t="shared" si="8"/>
        <v>185.40638285805861</v>
      </c>
      <c r="E105" s="4">
        <f t="shared" si="11"/>
        <v>183.28409842031152</v>
      </c>
    </row>
    <row r="106" spans="1:5" x14ac:dyDescent="0.55000000000000004">
      <c r="A106" s="25">
        <v>52.25</v>
      </c>
      <c r="B106" s="4">
        <f t="shared" si="9"/>
        <v>3.0221301226334907</v>
      </c>
      <c r="C106" s="4">
        <f t="shared" si="10"/>
        <v>6.2633859736906823</v>
      </c>
      <c r="D106" s="4">
        <f t="shared" si="8"/>
        <v>185.4373133145813</v>
      </c>
      <c r="E106" s="4">
        <f t="shared" si="11"/>
        <v>183.32236070458856</v>
      </c>
    </row>
    <row r="107" spans="1:5" x14ac:dyDescent="0.55000000000000004">
      <c r="A107" s="25">
        <v>52.5</v>
      </c>
      <c r="B107" s="4">
        <f t="shared" si="9"/>
        <v>3.019481384426324</v>
      </c>
      <c r="C107" s="4">
        <f t="shared" si="10"/>
        <v>6.2418556883945522</v>
      </c>
      <c r="D107" s="4">
        <f t="shared" si="8"/>
        <v>185.46769991797646</v>
      </c>
      <c r="E107" s="4">
        <f t="shared" si="11"/>
        <v>183.36001742246685</v>
      </c>
    </row>
    <row r="108" spans="1:5" x14ac:dyDescent="0.55000000000000004">
      <c r="A108" s="25">
        <v>52.75</v>
      </c>
      <c r="B108" s="4">
        <f t="shared" si="9"/>
        <v>3.0168453052996256</v>
      </c>
      <c r="C108" s="4">
        <f t="shared" si="10"/>
        <v>6.2205057650207767</v>
      </c>
      <c r="D108" s="4">
        <f t="shared" si="8"/>
        <v>185.49755083784032</v>
      </c>
      <c r="E108" s="4">
        <f t="shared" si="11"/>
        <v>183.3970775541456</v>
      </c>
    </row>
    <row r="109" spans="1:5" x14ac:dyDescent="0.55000000000000004">
      <c r="A109" s="25">
        <v>53</v>
      </c>
      <c r="B109" s="4">
        <f t="shared" si="9"/>
        <v>3.0142217632529151</v>
      </c>
      <c r="C109" s="4">
        <f t="shared" si="10"/>
        <v>6.1993338457345217</v>
      </c>
      <c r="D109" s="4">
        <f t="shared" si="8"/>
        <v>185.52687408973165</v>
      </c>
      <c r="E109" s="4">
        <f t="shared" si="11"/>
        <v>183.43354991135169</v>
      </c>
    </row>
    <row r="110" spans="1:5" x14ac:dyDescent="0.55000000000000004">
      <c r="A110" s="25">
        <v>53.25</v>
      </c>
      <c r="B110" s="4">
        <f t="shared" si="9"/>
        <v>3.0116106380338907</v>
      </c>
      <c r="C110" s="4">
        <f t="shared" si="10"/>
        <v>6.1783376144900037</v>
      </c>
      <c r="D110" s="4">
        <f t="shared" si="8"/>
        <v>185.55567753873837</v>
      </c>
      <c r="E110" s="4">
        <f t="shared" si="11"/>
        <v>183.46944314123047</v>
      </c>
    </row>
    <row r="111" spans="1:5" x14ac:dyDescent="0.55000000000000004">
      <c r="A111" s="25">
        <v>53.5</v>
      </c>
      <c r="B111" s="4">
        <f t="shared" si="9"/>
        <v>3.0090118111052777</v>
      </c>
      <c r="C111" s="4">
        <f t="shared" si="10"/>
        <v>6.1575147960975025</v>
      </c>
      <c r="D111" s="4">
        <f t="shared" si="8"/>
        <v>185.58396890294685</v>
      </c>
      <c r="E111" s="4">
        <f t="shared" si="11"/>
        <v>183.50476573012983</v>
      </c>
    </row>
    <row r="112" spans="1:5" x14ac:dyDescent="0.55000000000000004">
      <c r="A112" s="25">
        <v>53.75</v>
      </c>
      <c r="B112" s="4">
        <f t="shared" si="9"/>
        <v>3.006425165612451</v>
      </c>
      <c r="C112" s="4">
        <f t="shared" si="10"/>
        <v>6.1368631553155151</v>
      </c>
      <c r="D112" s="4">
        <f t="shared" si="8"/>
        <v>185.61175575681492</v>
      </c>
      <c r="E112" s="4">
        <f t="shared" si="11"/>
        <v>183.53952600727979</v>
      </c>
    </row>
    <row r="113" spans="1:5" x14ac:dyDescent="0.55000000000000004">
      <c r="A113" s="25">
        <v>54</v>
      </c>
      <c r="B113" s="4">
        <f t="shared" si="9"/>
        <v>3.0038505863518234</v>
      </c>
      <c r="C113" s="4">
        <f t="shared" si="10"/>
        <v>6.1163804959670598</v>
      </c>
      <c r="D113" s="4">
        <f t="shared" si="8"/>
        <v>185.63904553445354</v>
      </c>
      <c r="E113" s="4">
        <f t="shared" si="11"/>
        <v>183.57373214837276</v>
      </c>
    </row>
    <row r="114" spans="1:5" x14ac:dyDescent="0.55000000000000004">
      <c r="A114" s="25">
        <v>54.25</v>
      </c>
      <c r="B114" s="4">
        <f t="shared" si="9"/>
        <v>3.0012879597399702</v>
      </c>
      <c r="C114" s="4">
        <f t="shared" si="10"/>
        <v>6.0960646600797332</v>
      </c>
      <c r="D114" s="4">
        <f t="shared" si="8"/>
        <v>185.66584553281888</v>
      </c>
      <c r="E114" s="4">
        <f t="shared" si="11"/>
        <v>183.6073921790456</v>
      </c>
    </row>
    <row r="115" spans="1:5" x14ac:dyDescent="0.55000000000000004">
      <c r="A115" s="25">
        <v>54.5</v>
      </c>
      <c r="B115" s="4">
        <f t="shared" si="9"/>
        <v>2.9987371737834652</v>
      </c>
      <c r="C115" s="4">
        <f t="shared" si="10"/>
        <v>6.0759135270483391</v>
      </c>
      <c r="D115" s="4">
        <f t="shared" si="8"/>
        <v>185.69216291481803</v>
      </c>
      <c r="E115" s="4">
        <f t="shared" si="11"/>
        <v>183.64051397826861</v>
      </c>
    </row>
    <row r="116" spans="1:5" x14ac:dyDescent="0.55000000000000004">
      <c r="A116" s="25">
        <v>54.75</v>
      </c>
      <c r="B116" s="4">
        <f t="shared" si="9"/>
        <v>2.9961981180494215</v>
      </c>
      <c r="C116" s="4">
        <f t="shared" si="10"/>
        <v>6.0559250128197588</v>
      </c>
      <c r="D116" s="4">
        <f t="shared" si="8"/>
        <v>185.71800471233104</v>
      </c>
      <c r="E116" s="4">
        <f t="shared" si="11"/>
        <v>183.67310528164239</v>
      </c>
    </row>
    <row r="117" spans="1:5" x14ac:dyDescent="0.55000000000000004">
      <c r="A117" s="25">
        <v>55</v>
      </c>
      <c r="B117" s="4">
        <f t="shared" si="9"/>
        <v>2.9936706836367066</v>
      </c>
      <c r="C117" s="4">
        <f t="shared" si="10"/>
        <v>6.0360970690991973</v>
      </c>
      <c r="D117" s="4">
        <f t="shared" si="8"/>
        <v>185.74337782915228</v>
      </c>
      <c r="E117" s="4">
        <f t="shared" si="11"/>
        <v>183.70517368460736</v>
      </c>
    </row>
    <row r="118" spans="1:5" x14ac:dyDescent="0.55000000000000004">
      <c r="A118" s="25">
        <v>55.25</v>
      </c>
      <c r="B118" s="4">
        <f t="shared" si="9"/>
        <v>2.991154763147815</v>
      </c>
      <c r="C118" s="4">
        <f t="shared" si="10"/>
        <v>6.0164276825771879</v>
      </c>
      <c r="D118" s="4">
        <f t="shared" si="8"/>
        <v>185.76828904385206</v>
      </c>
      <c r="E118" s="4">
        <f t="shared" si="11"/>
        <v>183.73672664556651</v>
      </c>
    </row>
    <row r="119" spans="1:5" x14ac:dyDescent="0.55000000000000004">
      <c r="A119" s="25">
        <v>55.5</v>
      </c>
      <c r="B119" s="4">
        <f t="shared" si="9"/>
        <v>2.9886502506613883</v>
      </c>
      <c r="C119" s="4">
        <f t="shared" si="10"/>
        <v>5.9969148741767029</v>
      </c>
      <c r="D119" s="4">
        <f t="shared" si="8"/>
        <v>185.79274501256398</v>
      </c>
      <c r="E119" s="4">
        <f t="shared" si="11"/>
        <v>183.76777148892677</v>
      </c>
    </row>
    <row r="120" spans="1:5" x14ac:dyDescent="0.55000000000000004">
      <c r="A120" s="25">
        <v>55.75</v>
      </c>
      <c r="B120" s="4">
        <f t="shared" si="9"/>
        <v>2.9861570417053533</v>
      </c>
      <c r="C120" s="4">
        <f t="shared" si="10"/>
        <v>5.9775566983198223</v>
      </c>
      <c r="D120" s="4">
        <f t="shared" si="8"/>
        <v>185.81675227169669</v>
      </c>
      <c r="E120" s="4">
        <f t="shared" si="11"/>
        <v>183.79831540805858</v>
      </c>
    </row>
    <row r="121" spans="1:5" x14ac:dyDescent="0.55000000000000004">
      <c r="A121" s="25">
        <v>56</v>
      </c>
      <c r="B121" s="4">
        <f t="shared" si="9"/>
        <v>2.9836750332306705</v>
      </c>
      <c r="C121" s="4">
        <f t="shared" si="10"/>
        <v>5.9583512422132792</v>
      </c>
      <c r="D121" s="4">
        <f t="shared" si="8"/>
        <v>185.84031724057513</v>
      </c>
      <c r="E121" s="4">
        <f t="shared" si="11"/>
        <v>183.8283654681783</v>
      </c>
    </row>
    <row r="122" spans="1:5" x14ac:dyDescent="0.55000000000000004">
      <c r="A122" s="25">
        <v>56.25</v>
      </c>
      <c r="B122" s="4">
        <f t="shared" si="9"/>
        <v>2.9812041235856697</v>
      </c>
      <c r="C122" s="4">
        <f t="shared" si="10"/>
        <v>5.9392966251523296</v>
      </c>
      <c r="D122" s="4">
        <f t="shared" si="8"/>
        <v>185.8634462240127</v>
      </c>
      <c r="E122" s="4">
        <f t="shared" si="11"/>
        <v>183.85792860915538</v>
      </c>
    </row>
    <row r="123" spans="1:5" x14ac:dyDescent="0.55000000000000004">
      <c r="A123" s="25">
        <v>56.5</v>
      </c>
      <c r="B123" s="4">
        <f t="shared" si="9"/>
        <v>2.978744212490966</v>
      </c>
      <c r="C123" s="4">
        <f t="shared" si="10"/>
        <v>5.9203909978425626</v>
      </c>
      <c r="D123" s="4">
        <f t="shared" si="8"/>
        <v>185.88614541481513</v>
      </c>
      <c r="E123" s="4">
        <f t="shared" si="11"/>
        <v>183.88701164824536</v>
      </c>
    </row>
    <row r="124" spans="1:5" x14ac:dyDescent="0.55000000000000004">
      <c r="A124" s="25">
        <v>56.75</v>
      </c>
      <c r="B124" s="4">
        <f t="shared" si="9"/>
        <v>2.9762952010149322</v>
      </c>
      <c r="C124" s="4">
        <f t="shared" si="10"/>
        <v>5.901632541738798</v>
      </c>
      <c r="D124" s="4">
        <f t="shared" si="8"/>
        <v>185.90842089622043</v>
      </c>
      <c r="E124" s="4">
        <f t="shared" si="11"/>
        <v>183.91562128275294</v>
      </c>
    </row>
    <row r="125" spans="1:5" x14ac:dyDescent="0.55000000000000004">
      <c r="A125" s="25">
        <v>57</v>
      </c>
      <c r="B125" s="4">
        <f t="shared" si="9"/>
        <v>2.9738569915497113</v>
      </c>
      <c r="C125" s="4">
        <f t="shared" si="10"/>
        <v>5.8830194684008319</v>
      </c>
      <c r="D125" s="4">
        <f t="shared" si="8"/>
        <v>185.93027864427472</v>
      </c>
      <c r="E125" s="4">
        <f t="shared" si="11"/>
        <v>183.94376409262546</v>
      </c>
    </row>
    <row r="126" spans="1:5" x14ac:dyDescent="0.55000000000000004">
      <c r="A126" s="25">
        <v>57.25</v>
      </c>
      <c r="B126" s="4">
        <f t="shared" si="9"/>
        <v>2.9714294877877707</v>
      </c>
      <c r="C126" s="4">
        <f t="shared" si="10"/>
        <v>5.8645500188654971</v>
      </c>
      <c r="D126" s="4">
        <f t="shared" si="8"/>
        <v>185.95172453014717</v>
      </c>
      <c r="E126" s="4">
        <f t="shared" si="11"/>
        <v>183.97144654297981</v>
      </c>
    </row>
    <row r="127" spans="1:5" x14ac:dyDescent="0.55000000000000004">
      <c r="A127" s="25">
        <v>57.5</v>
      </c>
      <c r="B127" s="4">
        <f t="shared" si="9"/>
        <v>2.9690125946989578</v>
      </c>
      <c r="C127" s="4">
        <f t="shared" si="10"/>
        <v>5.8462224630343291</v>
      </c>
      <c r="D127" s="4">
        <f t="shared" si="8"/>
        <v>185.97276432238559</v>
      </c>
      <c r="E127" s="4">
        <f t="shared" si="11"/>
        <v>183.99867498656477</v>
      </c>
    </row>
    <row r="128" spans="1:5" x14ac:dyDescent="0.55000000000000004">
      <c r="A128" s="25">
        <v>57.75</v>
      </c>
      <c r="B128" s="4">
        <f t="shared" si="9"/>
        <v>2.9666062185080739</v>
      </c>
      <c r="C128" s="4">
        <f t="shared" si="10"/>
        <v>5.8280350990767866</v>
      </c>
      <c r="D128" s="4">
        <f t="shared" si="8"/>
        <v>185.99340368911399</v>
      </c>
      <c r="E128" s="4">
        <f t="shared" si="11"/>
        <v>184.0254556661601</v>
      </c>
    </row>
    <row r="129" spans="1:5" x14ac:dyDescent="0.55000000000000004">
      <c r="A129" s="25">
        <v>58</v>
      </c>
      <c r="B129" s="4">
        <f t="shared" si="9"/>
        <v>2.9642102666729206</v>
      </c>
      <c r="C129" s="4">
        <f t="shared" si="10"/>
        <v>5.809986252848085</v>
      </c>
      <c r="D129" s="4">
        <f t="shared" si="8"/>
        <v>186.01364820017432</v>
      </c>
      <c r="E129" s="4">
        <f t="shared" si="11"/>
        <v>184.05179471691494</v>
      </c>
    </row>
    <row r="130" spans="1:5" x14ac:dyDescent="0.55000000000000004">
      <c r="A130" s="25">
        <v>58.25</v>
      </c>
      <c r="B130" s="4">
        <f t="shared" si="9"/>
        <v>2.9618246478628416</v>
      </c>
      <c r="C130" s="4">
        <f t="shared" si="10"/>
        <v>5.7920742773217029</v>
      </c>
      <c r="D130" s="4">
        <f t="shared" si="8"/>
        <v>186.03350332921394</v>
      </c>
      <c r="E130" s="4">
        <f t="shared" si="11"/>
        <v>184.0776981686268</v>
      </c>
    </row>
    <row r="131" spans="1:5" x14ac:dyDescent="0.55000000000000004">
      <c r="A131" s="25">
        <v>58.5</v>
      </c>
      <c r="B131" s="4">
        <f t="shared" si="9"/>
        <v>2.9594492719377126</v>
      </c>
      <c r="C131" s="4">
        <f t="shared" si="10"/>
        <v>5.7742975520357227</v>
      </c>
      <c r="D131" s="4">
        <f t="shared" si="8"/>
        <v>186.05297445572052</v>
      </c>
      <c r="E131" s="4">
        <f t="shared" si="11"/>
        <v>184.10317194796343</v>
      </c>
    </row>
    <row r="132" spans="1:5" x14ac:dyDescent="0.55000000000000004">
      <c r="A132" s="25">
        <v>58.75</v>
      </c>
      <c r="B132" s="4">
        <f t="shared" si="9"/>
        <v>2.9570840499273889</v>
      </c>
      <c r="C132" s="4">
        <f t="shared" si="10"/>
        <v>5.7566544825528707</v>
      </c>
      <c r="D132" s="4">
        <f t="shared" si="8"/>
        <v>186.07206686700525</v>
      </c>
      <c r="E132" s="4">
        <f t="shared" si="11"/>
        <v>184.12822188062842</v>
      </c>
    </row>
    <row r="133" spans="1:5" x14ac:dyDescent="0.55000000000000004">
      <c r="A133" s="25">
        <v>59</v>
      </c>
      <c r="B133" s="4">
        <f t="shared" si="9"/>
        <v>2.9547288940116028</v>
      </c>
      <c r="C133" s="4">
        <f t="shared" si="10"/>
        <v>5.7391434999338014</v>
      </c>
      <c r="D133" s="4">
        <f t="shared" si="8"/>
        <v>186.09078576013678</v>
      </c>
      <c r="E133" s="4">
        <f t="shared" si="11"/>
        <v>184.15285369347291</v>
      </c>
    </row>
    <row r="134" spans="1:5" x14ac:dyDescent="0.55000000000000004">
      <c r="A134" s="25">
        <v>59.25</v>
      </c>
      <c r="B134" s="4">
        <f t="shared" si="9"/>
        <v>2.9523837175002745</v>
      </c>
      <c r="C134" s="4">
        <f t="shared" si="10"/>
        <v>5.7217630602231608</v>
      </c>
      <c r="D134" s="4">
        <f t="shared" si="8"/>
        <v>186.10913624382698</v>
      </c>
      <c r="E134" s="4">
        <f t="shared" si="11"/>
        <v>184.17707301655497</v>
      </c>
    </row>
    <row r="135" spans="1:5" x14ac:dyDescent="0.55000000000000004">
      <c r="A135" s="25">
        <v>59.5</v>
      </c>
      <c r="B135" s="4">
        <f t="shared" si="9"/>
        <v>2.9500484348142555</v>
      </c>
      <c r="C135" s="4">
        <f t="shared" si="10"/>
        <v>5.704511643948166</v>
      </c>
      <c r="D135" s="4">
        <f t="shared" si="8"/>
        <v>186.12712334026935</v>
      </c>
      <c r="E135" s="4">
        <f t="shared" si="11"/>
        <v>184.2008853851473</v>
      </c>
    </row>
    <row r="136" spans="1:5" x14ac:dyDescent="0.55000000000000004">
      <c r="A136" s="25">
        <v>59.75</v>
      </c>
      <c r="B136" s="4">
        <f t="shared" si="9"/>
        <v>2.9477229614664706</v>
      </c>
      <c r="C136" s="4">
        <f t="shared" si="10"/>
        <v>5.6873877556292918</v>
      </c>
      <c r="D136" s="4">
        <f t="shared" si="8"/>
        <v>186.1447519869327</v>
      </c>
      <c r="E136" s="4">
        <f t="shared" si="11"/>
        <v>184.22429624169607</v>
      </c>
    </row>
    <row r="137" spans="1:5" x14ac:dyDescent="0.55000000000000004">
      <c r="A137" s="25">
        <v>60</v>
      </c>
      <c r="B137" s="4">
        <f t="shared" si="9"/>
        <v>2.9454072140434624</v>
      </c>
      <c r="C137" s="4">
        <f t="shared" si="10"/>
        <v>5.6703899233027668</v>
      </c>
      <c r="D137" s="4">
        <f t="shared" si="8"/>
        <v>186.16202703830999</v>
      </c>
      <c r="E137" s="4">
        <f t="shared" si="11"/>
        <v>184.24731093773104</v>
      </c>
    </row>
    <row r="138" spans="1:5" x14ac:dyDescent="0.55000000000000004">
      <c r="A138" s="25">
        <v>60.25</v>
      </c>
      <c r="B138" s="4">
        <f t="shared" si="9"/>
        <v>2.9431011101873223</v>
      </c>
      <c r="C138" s="4">
        <f t="shared" si="10"/>
        <v>5.6535166980544922</v>
      </c>
      <c r="D138" s="4">
        <f t="shared" si="8"/>
        <v>186.17895326762439</v>
      </c>
      <c r="E138" s="4">
        <f t="shared" si="11"/>
        <v>184.26993473572921</v>
      </c>
    </row>
    <row r="139" spans="1:5" x14ac:dyDescent="0.55000000000000004">
      <c r="A139" s="25">
        <v>60.5</v>
      </c>
      <c r="B139" s="4">
        <f t="shared" si="9"/>
        <v>2.9408045685779993</v>
      </c>
      <c r="C139" s="4">
        <f t="shared" si="10"/>
        <v>5.6367666535650747</v>
      </c>
      <c r="D139" s="4">
        <f t="shared" si="8"/>
        <v>186.19553536849378</v>
      </c>
      <c r="E139" s="4">
        <f t="shared" si="11"/>
        <v>184.29217281093247</v>
      </c>
    </row>
    <row r="140" spans="1:5" x14ac:dyDescent="0.55000000000000004">
      <c r="A140" s="25">
        <v>60.75</v>
      </c>
      <c r="B140" s="4">
        <f t="shared" si="9"/>
        <v>2.9385175089159752</v>
      </c>
      <c r="C140" s="4">
        <f t="shared" si="10"/>
        <v>5.6201383856657525</v>
      </c>
      <c r="D140" s="4">
        <f t="shared" si="8"/>
        <v>186.21177795655493</v>
      </c>
      <c r="E140" s="4">
        <f t="shared" si="11"/>
        <v>184.31403025312218</v>
      </c>
    </row>
    <row r="141" spans="1:5" x14ac:dyDescent="0.55000000000000004">
      <c r="A141" s="25">
        <v>61</v>
      </c>
      <c r="B141" s="4">
        <f t="shared" si="9"/>
        <v>2.9362398519053037</v>
      </c>
      <c r="C141" s="4">
        <f t="shared" si="10"/>
        <v>5.6036305119047221</v>
      </c>
      <c r="D141" s="4">
        <f t="shared" si="8"/>
        <v>186.22768557104749</v>
      </c>
      <c r="E141" s="4">
        <f t="shared" si="11"/>
        <v>184.33551206834949</v>
      </c>
    </row>
    <row r="142" spans="1:5" x14ac:dyDescent="0.55000000000000004">
      <c r="A142" s="25">
        <v>61.25</v>
      </c>
      <c r="B142" s="4">
        <f t="shared" si="9"/>
        <v>2.9339715192369962</v>
      </c>
      <c r="C142" s="4">
        <f t="shared" si="10"/>
        <v>5.5872416711238371</v>
      </c>
      <c r="D142" s="4">
        <f t="shared" si="8"/>
        <v>186.24326267636096</v>
      </c>
      <c r="E142" s="4">
        <f t="shared" si="11"/>
        <v>184.35662318062501</v>
      </c>
    </row>
    <row r="143" spans="1:5" x14ac:dyDescent="0.55000000000000004">
      <c r="A143" s="25">
        <v>61.5</v>
      </c>
      <c r="B143" s="4">
        <f t="shared" si="9"/>
        <v>2.9317124335727476</v>
      </c>
      <c r="C143" s="4">
        <f t="shared" si="10"/>
        <v>5.5709705230450721</v>
      </c>
      <c r="D143" s="4">
        <f t="shared" ref="D143:D206" si="12">$B$6*$B$12/9.81*($B$9*SQRT(2/($B$9-1)*(2/($B$9+1))^(($B$9+1)/($B$9-1))*(1 - (A143/$B$3)^(($B$9-1)/$B$9))) + C143/$B$3*(A143 - $E$5))</f>
        <v>186.25851366354308</v>
      </c>
      <c r="E143" s="4">
        <f t="shared" si="11"/>
        <v>184.37736843356711</v>
      </c>
    </row>
    <row r="144" spans="1:5" x14ac:dyDescent="0.55000000000000004">
      <c r="A144" s="25">
        <v>61.75</v>
      </c>
      <c r="B144" s="4">
        <f t="shared" ref="B144:B207" si="13">SQRT(2/($B$9-1)*((A144/$B$3)^((1-$B$9)/$B$9) - 1))</f>
        <v>2.9294625185290033</v>
      </c>
      <c r="C144" s="4">
        <f t="shared" ref="C144:C207" si="14">1/B144*(2/($B$9+1)*(1 + ($B$9-1)/2*B144^2))^(($B$9+1)/(2*$B$9-2))</f>
        <v>5.55481574786688</v>
      </c>
      <c r="D144" s="4">
        <f t="shared" si="12"/>
        <v>186.2734428517733</v>
      </c>
      <c r="E144" s="4">
        <f t="shared" ref="E144:E207" si="15">$B$6*$B$12/9.81*($B$9*SQRT(2/($B$9-1)*(2/($B$9+1))^(($B$9+1)/($B$9-1))*(1 - (A144/$B$3)^(($B$9-1)/$B$9))) + C144/$B$3*(A144 - $E$4))</f>
        <v>184.39775259201159</v>
      </c>
    </row>
    <row r="145" spans="1:5" x14ac:dyDescent="0.55000000000000004">
      <c r="A145" s="25">
        <v>62</v>
      </c>
      <c r="B145" s="4">
        <f t="shared" si="13"/>
        <v>2.9272216986613437</v>
      </c>
      <c r="C145" s="4">
        <f t="shared" si="14"/>
        <v>5.538776045869727</v>
      </c>
      <c r="D145" s="4">
        <f t="shared" si="12"/>
        <v>186.28805448980009</v>
      </c>
      <c r="E145" s="4">
        <f t="shared" si="15"/>
        <v>184.41778034358222</v>
      </c>
    </row>
    <row r="146" spans="1:5" x14ac:dyDescent="0.55000000000000004">
      <c r="A146" s="25">
        <v>62.25</v>
      </c>
      <c r="B146" s="4">
        <f t="shared" si="13"/>
        <v>2.9249898994491854</v>
      </c>
      <c r="C146" s="4">
        <f t="shared" si="14"/>
        <v>5.5228501370309484</v>
      </c>
      <c r="D146" s="4">
        <f t="shared" si="12"/>
        <v>186.30235275734495</v>
      </c>
      <c r="E146" s="4">
        <f t="shared" si="15"/>
        <v>184.43745630022474</v>
      </c>
    </row>
    <row r="147" spans="1:5" x14ac:dyDescent="0.55000000000000004">
      <c r="A147" s="25">
        <v>62.5</v>
      </c>
      <c r="B147" s="4">
        <f t="shared" si="13"/>
        <v>2.9227670472808023</v>
      </c>
      <c r="C147" s="4">
        <f t="shared" si="14"/>
        <v>5.5070367606484307</v>
      </c>
      <c r="D147" s="4">
        <f t="shared" si="12"/>
        <v>186.31634176647245</v>
      </c>
      <c r="E147" s="4">
        <f t="shared" si="15"/>
        <v>184.45678499970396</v>
      </c>
    </row>
    <row r="148" spans="1:5" x14ac:dyDescent="0.55000000000000004">
      <c r="A148" s="25">
        <v>62.75</v>
      </c>
      <c r="B148" s="4">
        <f t="shared" si="13"/>
        <v>2.9205530694386361</v>
      </c>
      <c r="C148" s="4">
        <f t="shared" si="14"/>
        <v>5.491334674972995</v>
      </c>
      <c r="D148" s="4">
        <f t="shared" si="12"/>
        <v>186.33002556292828</v>
      </c>
      <c r="E148" s="4">
        <f t="shared" si="15"/>
        <v>184.47577090706608</v>
      </c>
    </row>
    <row r="149" spans="1:5" x14ac:dyDescent="0.55000000000000004">
      <c r="A149" s="25">
        <v>63</v>
      </c>
      <c r="B149" s="4">
        <f t="shared" si="13"/>
        <v>2.9183478940849077</v>
      </c>
      <c r="C149" s="4">
        <f t="shared" si="14"/>
        <v>5.4757426568491301</v>
      </c>
      <c r="D149" s="4">
        <f t="shared" si="12"/>
        <v>186.34340812744597</v>
      </c>
      <c r="E149" s="4">
        <f t="shared" si="15"/>
        <v>184.49441841606662</v>
      </c>
    </row>
    <row r="150" spans="1:5" x14ac:dyDescent="0.55000000000000004">
      <c r="A150" s="25">
        <v>63.25</v>
      </c>
      <c r="B150" s="4">
        <f t="shared" si="13"/>
        <v>2.9161514502475194</v>
      </c>
      <c r="C150" s="4">
        <f t="shared" si="14"/>
        <v>5.4602595013640656</v>
      </c>
      <c r="D150" s="4">
        <f t="shared" si="12"/>
        <v>186.35649337702293</v>
      </c>
      <c r="E150" s="4">
        <f t="shared" si="15"/>
        <v>184.51273185056496</v>
      </c>
    </row>
    <row r="151" spans="1:5" x14ac:dyDescent="0.55000000000000004">
      <c r="A151" s="25">
        <v>63.5</v>
      </c>
      <c r="B151" s="4">
        <f t="shared" si="13"/>
        <v>2.9139636678062324</v>
      </c>
      <c r="C151" s="4">
        <f t="shared" si="14"/>
        <v>5.444884021504695</v>
      </c>
      <c r="D151" s="4">
        <f t="shared" si="12"/>
        <v>186.36928516616646</v>
      </c>
      <c r="E151" s="4">
        <f t="shared" si="15"/>
        <v>184.53071546588606</v>
      </c>
    </row>
    <row r="152" spans="1:5" x14ac:dyDescent="0.55000000000000004">
      <c r="A152" s="25">
        <v>63.75</v>
      </c>
      <c r="B152" s="4">
        <f t="shared" si="13"/>
        <v>2.9117844774791193</v>
      </c>
      <c r="C152" s="4">
        <f t="shared" si="14"/>
        <v>5.4296150478223515</v>
      </c>
      <c r="D152" s="4">
        <f t="shared" si="12"/>
        <v>186.38178728811118</v>
      </c>
      <c r="E152" s="4">
        <f t="shared" si="15"/>
        <v>184.54837345015142</v>
      </c>
    </row>
    <row r="153" spans="1:5" x14ac:dyDescent="0.55000000000000004">
      <c r="A153" s="25">
        <v>64</v>
      </c>
      <c r="B153" s="4">
        <f t="shared" si="13"/>
        <v>2.9096138108092879</v>
      </c>
      <c r="C153" s="4">
        <f t="shared" si="14"/>
        <v>5.4144514281051253</v>
      </c>
      <c r="D153" s="4">
        <f t="shared" si="12"/>
        <v>186.39400347600815</v>
      </c>
      <c r="E153" s="4">
        <f t="shared" si="15"/>
        <v>184.56570992557855</v>
      </c>
    </row>
    <row r="154" spans="1:5" x14ac:dyDescent="0.55000000000000004">
      <c r="A154" s="25">
        <v>64.25</v>
      </c>
      <c r="B154" s="4">
        <f t="shared" si="13"/>
        <v>2.9074516001518638</v>
      </c>
      <c r="C154" s="4">
        <f t="shared" si="14"/>
        <v>5.3993920270575382</v>
      </c>
      <c r="D154" s="4">
        <f t="shared" si="12"/>
        <v>186.40593740408659</v>
      </c>
      <c r="E154" s="4">
        <f t="shared" si="15"/>
        <v>184.58272894975107</v>
      </c>
    </row>
    <row r="155" spans="1:5" x14ac:dyDescent="0.55000000000000004">
      <c r="A155" s="25">
        <v>64.5</v>
      </c>
      <c r="B155" s="4">
        <f t="shared" si="13"/>
        <v>2.9052977786612297</v>
      </c>
      <c r="C155" s="4">
        <f t="shared" si="14"/>
        <v>5.3844357259874318</v>
      </c>
      <c r="D155" s="4">
        <f t="shared" si="12"/>
        <v>186.41759268878903</v>
      </c>
      <c r="E155" s="4">
        <f t="shared" si="15"/>
        <v>184.59943451685939</v>
      </c>
    </row>
    <row r="156" spans="1:5" x14ac:dyDescent="0.55000000000000004">
      <c r="A156" s="25">
        <v>64.75</v>
      </c>
      <c r="B156" s="4">
        <f t="shared" si="13"/>
        <v>2.9031522802785084</v>
      </c>
      <c r="C156" s="4">
        <f t="shared" si="14"/>
        <v>5.3695814224997687</v>
      </c>
      <c r="D156" s="4">
        <f t="shared" si="12"/>
        <v>186.42897288988004</v>
      </c>
      <c r="E156" s="4">
        <f t="shared" si="15"/>
        <v>184.61583055891293</v>
      </c>
    </row>
    <row r="157" spans="1:5" x14ac:dyDescent="0.55000000000000004">
      <c r="A157" s="25">
        <v>65</v>
      </c>
      <c r="B157" s="4">
        <f t="shared" si="13"/>
        <v>2.9010150397193009</v>
      </c>
      <c r="C157" s="4">
        <f t="shared" si="14"/>
        <v>5.3548280301973303</v>
      </c>
      <c r="D157" s="4">
        <f t="shared" si="12"/>
        <v>186.44008151153048</v>
      </c>
      <c r="E157" s="4">
        <f t="shared" si="15"/>
        <v>184.63192094692539</v>
      </c>
    </row>
    <row r="158" spans="1:5" x14ac:dyDescent="0.55000000000000004">
      <c r="A158" s="25">
        <v>65.25</v>
      </c>
      <c r="B158" s="4">
        <f t="shared" si="13"/>
        <v>2.8988859924616506</v>
      </c>
      <c r="C158" s="4">
        <f t="shared" si="14"/>
        <v>5.340174478387965</v>
      </c>
      <c r="D158" s="4">
        <f t="shared" si="12"/>
        <v>186.45092200337623</v>
      </c>
      <c r="E158" s="4">
        <f t="shared" si="15"/>
        <v>184.64770949207252</v>
      </c>
    </row>
    <row r="159" spans="1:5" x14ac:dyDescent="0.55000000000000004">
      <c r="A159" s="25">
        <v>65.5</v>
      </c>
      <c r="B159" s="4">
        <f t="shared" si="13"/>
        <v>2.8967650747342457</v>
      </c>
      <c r="C159" s="4">
        <f t="shared" si="14"/>
        <v>5.3256197117983186</v>
      </c>
      <c r="D159" s="4">
        <f t="shared" si="12"/>
        <v>186.4614977615538</v>
      </c>
      <c r="E159" s="4">
        <f t="shared" si="15"/>
        <v>184.66319994682414</v>
      </c>
    </row>
    <row r="160" spans="1:5" x14ac:dyDescent="0.55000000000000004">
      <c r="A160" s="25">
        <v>65.75</v>
      </c>
      <c r="B160" s="4">
        <f t="shared" si="13"/>
        <v>2.894652223504846</v>
      </c>
      <c r="C160" s="4">
        <f t="shared" si="14"/>
        <v>5.31116269029385</v>
      </c>
      <c r="D160" s="4">
        <f t="shared" si="12"/>
        <v>186.47181212971188</v>
      </c>
      <c r="E160" s="4">
        <f t="shared" si="15"/>
        <v>184.67839600605024</v>
      </c>
    </row>
    <row r="161" spans="1:6" x14ac:dyDescent="0.55000000000000004">
      <c r="A161" s="25">
        <v>66</v>
      </c>
      <c r="B161" s="4">
        <f t="shared" si="13"/>
        <v>2.8925473764689378</v>
      </c>
      <c r="C161" s="4">
        <f t="shared" si="14"/>
        <v>5.2968023886050215</v>
      </c>
      <c r="D161" s="4">
        <f t="shared" si="12"/>
        <v>186.48186840000068</v>
      </c>
      <c r="E161" s="4">
        <f t="shared" si="15"/>
        <v>184.69330130810312</v>
      </c>
      <c r="F161" s="25"/>
    </row>
    <row r="162" spans="1:6" x14ac:dyDescent="0.55000000000000004">
      <c r="A162" s="25">
        <v>66.25</v>
      </c>
      <c r="B162" s="4">
        <f t="shared" si="13"/>
        <v>2.8904504720385944</v>
      </c>
      <c r="C162" s="4">
        <f t="shared" si="14"/>
        <v>5.2825377960593594</v>
      </c>
      <c r="D162" s="4">
        <f t="shared" si="12"/>
        <v>186.49166981403897</v>
      </c>
      <c r="E162" s="4">
        <f t="shared" si="15"/>
        <v>184.70791943587449</v>
      </c>
      <c r="F162" s="25"/>
    </row>
    <row r="163" spans="1:6" x14ac:dyDescent="0.55000000000000004">
      <c r="A163" s="25">
        <v>66.5</v>
      </c>
      <c r="B163" s="4">
        <f t="shared" si="13"/>
        <v>2.8883614493315588</v>
      </c>
      <c r="C163" s="4">
        <f t="shared" si="14"/>
        <v>5.2683679163194244</v>
      </c>
      <c r="D163" s="4">
        <f t="shared" si="12"/>
        <v>186.50121956385942</v>
      </c>
      <c r="E163" s="4">
        <f t="shared" si="15"/>
        <v>184.72225391782942</v>
      </c>
      <c r="F163" s="25"/>
    </row>
    <row r="164" spans="1:6" x14ac:dyDescent="0.55000000000000004">
      <c r="A164" s="25">
        <v>66.75</v>
      </c>
      <c r="B164" s="4">
        <f t="shared" si="13"/>
        <v>2.8862802481605256</v>
      </c>
      <c r="C164" s="4">
        <f t="shared" si="14"/>
        <v>5.2542917671264062</v>
      </c>
      <c r="D164" s="4">
        <f t="shared" si="12"/>
        <v>186.51052079283312</v>
      </c>
      <c r="E164" s="4">
        <f t="shared" si="15"/>
        <v>184.73630822901774</v>
      </c>
      <c r="F164" s="25"/>
    </row>
    <row r="165" spans="1:6" x14ac:dyDescent="0.55000000000000004">
      <c r="A165" s="25">
        <v>67</v>
      </c>
      <c r="B165" s="4">
        <f t="shared" si="13"/>
        <v>2.8842068090226323</v>
      </c>
      <c r="C165" s="4">
        <f t="shared" si="14"/>
        <v>5.2403083800492647</v>
      </c>
      <c r="D165" s="4">
        <f t="shared" si="12"/>
        <v>186.51957659657364</v>
      </c>
      <c r="E165" s="4">
        <f t="shared" si="15"/>
        <v>184.75008579206215</v>
      </c>
      <c r="F165" s="25"/>
    </row>
    <row r="166" spans="1:6" x14ac:dyDescent="0.55000000000000004">
      <c r="A166" s="25">
        <v>67.25</v>
      </c>
      <c r="B166" s="4">
        <f t="shared" si="13"/>
        <v>2.8821410730891426</v>
      </c>
      <c r="C166" s="4">
        <f t="shared" si="14"/>
        <v>5.2264168002392619</v>
      </c>
      <c r="D166" s="4">
        <f t="shared" si="12"/>
        <v>186.52839002382098</v>
      </c>
      <c r="E166" s="4">
        <f t="shared" si="15"/>
        <v>184.76358997812579</v>
      </c>
      <c r="F166" s="25"/>
    </row>
    <row r="167" spans="1:6" x14ac:dyDescent="0.55000000000000004">
      <c r="A167" s="25">
        <v>67.5</v>
      </c>
      <c r="B167" s="4">
        <f t="shared" si="13"/>
        <v>2.8800829821953244</v>
      </c>
      <c r="C167" s="4">
        <f t="shared" si="14"/>
        <v>5.212616086189727</v>
      </c>
      <c r="D167" s="4">
        <f t="shared" si="12"/>
        <v>186.53696407730629</v>
      </c>
      <c r="E167" s="4">
        <f t="shared" si="15"/>
        <v>184.77682410785764</v>
      </c>
      <c r="F167" s="25"/>
    </row>
    <row r="168" spans="1:6" x14ac:dyDescent="0.55000000000000004">
      <c r="A168" s="25">
        <v>67.75</v>
      </c>
      <c r="B168" s="4">
        <f t="shared" si="13"/>
        <v>2.8780324788305185</v>
      </c>
      <c r="C168" s="4">
        <f t="shared" si="14"/>
        <v>5.1989053095009394</v>
      </c>
      <c r="D168" s="4">
        <f t="shared" si="12"/>
        <v>186.54530171459763</v>
      </c>
      <c r="E168" s="4">
        <f t="shared" si="15"/>
        <v>184.7897914523177</v>
      </c>
      <c r="F168" s="25"/>
    </row>
    <row r="169" spans="1:6" x14ac:dyDescent="0.55000000000000004">
      <c r="A169" s="25">
        <v>68</v>
      </c>
      <c r="B169" s="4">
        <f t="shared" si="13"/>
        <v>2.8759895061283896</v>
      </c>
      <c r="C169" s="4">
        <f t="shared" si="14"/>
        <v>5.185283554650046</v>
      </c>
      <c r="D169" s="4">
        <f t="shared" si="12"/>
        <v>186.55340584892713</v>
      </c>
      <c r="E169" s="4">
        <f t="shared" si="15"/>
        <v>184.80249523388204</v>
      </c>
      <c r="F169" s="25"/>
    </row>
    <row r="170" spans="1:6" x14ac:dyDescent="0.55000000000000004">
      <c r="A170" s="25">
        <v>68.25</v>
      </c>
      <c r="B170" s="4">
        <f t="shared" si="13"/>
        <v>2.8739540078573613</v>
      </c>
      <c r="C170" s="4">
        <f t="shared" si="14"/>
        <v>5.1717499187658165</v>
      </c>
      <c r="D170" s="4">
        <f t="shared" si="12"/>
        <v>186.56127935000023</v>
      </c>
      <c r="E170" s="4">
        <f t="shared" si="15"/>
        <v>184.8149386271279</v>
      </c>
      <c r="F170" s="25"/>
    </row>
    <row r="171" spans="1:6" x14ac:dyDescent="0.55000000000000004">
      <c r="A171" s="25">
        <v>68.5</v>
      </c>
      <c r="B171" s="4">
        <f t="shared" si="13"/>
        <v>2.8719259284112222</v>
      </c>
      <c r="C171" s="4">
        <f t="shared" si="14"/>
        <v>5.1583035114081213</v>
      </c>
      <c r="D171" s="4">
        <f t="shared" si="12"/>
        <v>186.5689250447877</v>
      </c>
      <c r="E171" s="4">
        <f t="shared" si="15"/>
        <v>184.82712475970024</v>
      </c>
      <c r="F171" s="25"/>
    </row>
    <row r="172" spans="1:6" x14ac:dyDescent="0.55000000000000004">
      <c r="A172" s="25">
        <v>68.75</v>
      </c>
      <c r="B172" s="4">
        <f t="shared" si="13"/>
        <v>2.8699052127999121</v>
      </c>
      <c r="C172" s="4">
        <f t="shared" si="14"/>
        <v>5.1449434543521413</v>
      </c>
      <c r="D172" s="4">
        <f t="shared" si="12"/>
        <v>186.5763457182999</v>
      </c>
      <c r="E172" s="4">
        <f t="shared" si="15"/>
        <v>184.83905671315893</v>
      </c>
      <c r="F172" s="25"/>
    </row>
    <row r="173" spans="1:6" x14ac:dyDescent="0.55000000000000004">
      <c r="A173" s="25">
        <v>69</v>
      </c>
      <c r="B173" s="4">
        <f t="shared" si="13"/>
        <v>2.8678918066404693</v>
      </c>
      <c r="C173" s="4">
        <f t="shared" si="14"/>
        <v>5.131668881376954</v>
      </c>
      <c r="D173" s="4">
        <f t="shared" si="12"/>
        <v>186.58354411434507</v>
      </c>
      <c r="E173" s="4">
        <f t="shared" si="15"/>
        <v>184.85073752380833</v>
      </c>
      <c r="F173" s="25"/>
    </row>
    <row r="174" spans="1:6" x14ac:dyDescent="0.55000000000000004">
      <c r="A174" s="25">
        <v>69.25</v>
      </c>
      <c r="B174" s="4">
        <f t="shared" si="13"/>
        <v>2.8658856561481469</v>
      </c>
      <c r="C174" s="4">
        <f t="shared" si="14"/>
        <v>5.1184789380586269</v>
      </c>
      <c r="D174" s="4">
        <f t="shared" si="12"/>
        <v>186.59052293627096</v>
      </c>
      <c r="E174" s="4">
        <f t="shared" si="15"/>
        <v>184.86217018350882</v>
      </c>
      <c r="F174" s="25"/>
    </row>
    <row r="175" spans="1:6" x14ac:dyDescent="0.55000000000000004">
      <c r="A175" s="25">
        <v>69.5</v>
      </c>
      <c r="B175" s="4">
        <f t="shared" si="13"/>
        <v>2.8638867081276977</v>
      </c>
      <c r="C175" s="4">
        <f t="shared" si="14"/>
        <v>5.1053727815676284</v>
      </c>
      <c r="D175" s="4">
        <f t="shared" si="12"/>
        <v>186.59728484769084</v>
      </c>
      <c r="E175" s="4">
        <f t="shared" si="15"/>
        <v>184.87335764047137</v>
      </c>
      <c r="F175" s="25"/>
    </row>
    <row r="176" spans="1:6" x14ac:dyDescent="0.55000000000000004">
      <c r="A176" s="11">
        <f>E5</f>
        <v>79.170286101931538</v>
      </c>
      <c r="B176" s="11">
        <f t="shared" si="13"/>
        <v>2.7915958961770793</v>
      </c>
      <c r="C176" s="11">
        <f t="shared" si="14"/>
        <v>4.6550378014325808</v>
      </c>
      <c r="D176" s="11">
        <f t="shared" si="12"/>
        <v>186.71636538189293</v>
      </c>
      <c r="E176" s="11">
        <f t="shared" si="15"/>
        <v>185.14450243282522</v>
      </c>
      <c r="F176" s="2" t="s">
        <v>61</v>
      </c>
    </row>
    <row r="177" spans="1:5" x14ac:dyDescent="0.55000000000000004">
      <c r="A177" s="25">
        <v>69.75</v>
      </c>
      <c r="B177" s="4">
        <f t="shared" si="13"/>
        <v>2.861894909964799</v>
      </c>
      <c r="C177" s="4">
        <f t="shared" si="14"/>
        <v>5.0923495804703176</v>
      </c>
      <c r="D177" s="4">
        <f t="shared" si="12"/>
        <v>186.60383247319379</v>
      </c>
      <c r="E177" s="4">
        <f t="shared" si="15"/>
        <v>184.88430280003448</v>
      </c>
    </row>
    <row r="178" spans="1:5" x14ac:dyDescent="0.55000000000000004">
      <c r="A178" s="25">
        <v>70</v>
      </c>
      <c r="B178" s="4">
        <f t="shared" si="13"/>
        <v>2.8599102096176545</v>
      </c>
      <c r="C178" s="4">
        <f t="shared" si="14"/>
        <v>5.0794085145346752</v>
      </c>
      <c r="D178" s="4">
        <f t="shared" si="12"/>
        <v>186.6101683990403</v>
      </c>
      <c r="E178" s="4">
        <f t="shared" si="15"/>
        <v>184.89500852542577</v>
      </c>
    </row>
    <row r="179" spans="1:5" x14ac:dyDescent="0.55000000000000004">
      <c r="A179" s="25">
        <v>70.25</v>
      </c>
      <c r="B179" s="4">
        <f t="shared" si="13"/>
        <v>2.8579325556087261</v>
      </c>
      <c r="C179" s="4">
        <f t="shared" si="14"/>
        <v>5.0665487745398972</v>
      </c>
      <c r="D179" s="4">
        <f t="shared" si="12"/>
        <v>186.61629517384262</v>
      </c>
      <c r="E179" s="4">
        <f t="shared" si="15"/>
        <v>184.90547763850643</v>
      </c>
    </row>
    <row r="180" spans="1:5" x14ac:dyDescent="0.55000000000000004">
      <c r="A180" s="25">
        <v>70.5</v>
      </c>
      <c r="B180" s="4">
        <f t="shared" si="13"/>
        <v>2.8559618970166341</v>
      </c>
      <c r="C180" s="4">
        <f t="shared" si="14"/>
        <v>5.0537695620899825</v>
      </c>
      <c r="D180" s="4">
        <f t="shared" si="12"/>
        <v>186.62221530923156</v>
      </c>
      <c r="E180" s="4">
        <f t="shared" si="15"/>
        <v>184.91571292050114</v>
      </c>
    </row>
    <row r="181" spans="1:5" x14ac:dyDescent="0.55000000000000004">
      <c r="A181" s="25">
        <v>70.75</v>
      </c>
      <c r="B181" s="4">
        <f t="shared" si="13"/>
        <v>2.8539981834681845</v>
      </c>
      <c r="C181" s="4">
        <f t="shared" si="14"/>
        <v>5.0410700894310914</v>
      </c>
      <c r="D181" s="4">
        <f t="shared" si="12"/>
        <v>186.62793128050851</v>
      </c>
      <c r="E181" s="4">
        <f t="shared" si="15"/>
        <v>184.92571711271131</v>
      </c>
    </row>
    <row r="182" spans="1:5" x14ac:dyDescent="0.55000000000000004">
      <c r="A182" s="25">
        <v>71</v>
      </c>
      <c r="B182" s="4">
        <f t="shared" si="13"/>
        <v>2.8520413651305518</v>
      </c>
      <c r="C182" s="4">
        <f t="shared" si="14"/>
        <v>5.0284495792726078</v>
      </c>
      <c r="D182" s="4">
        <f t="shared" si="12"/>
        <v>186.63344552728427</v>
      </c>
      <c r="E182" s="4">
        <f t="shared" si="15"/>
        <v>184.93549291721499</v>
      </c>
    </row>
    <row r="183" spans="1:5" x14ac:dyDescent="0.55000000000000004">
      <c r="A183" s="25">
        <v>71.25</v>
      </c>
      <c r="B183" s="4">
        <f t="shared" si="13"/>
        <v>2.85009139270359</v>
      </c>
      <c r="C183" s="4">
        <f t="shared" si="14"/>
        <v>5.015907264611843</v>
      </c>
      <c r="D183" s="4">
        <f t="shared" si="12"/>
        <v>186.63876045410439</v>
      </c>
      <c r="E183" s="4">
        <f t="shared" si="15"/>
        <v>184.94504299755087</v>
      </c>
    </row>
    <row r="184" spans="1:5" x14ac:dyDescent="0.55000000000000004">
      <c r="A184" s="25">
        <v>71.5</v>
      </c>
      <c r="B184" s="4">
        <f t="shared" si="13"/>
        <v>2.8481482174122879</v>
      </c>
      <c r="C184" s="4">
        <f t="shared" si="14"/>
        <v>5.0034423885622887</v>
      </c>
      <c r="D184" s="4">
        <f t="shared" si="12"/>
        <v>186.64387843106178</v>
      </c>
      <c r="E184" s="4">
        <f t="shared" si="15"/>
        <v>184.95436997938916</v>
      </c>
    </row>
    <row r="185" spans="1:5" x14ac:dyDescent="0.55000000000000004">
      <c r="A185" s="25">
        <v>71.75</v>
      </c>
      <c r="B185" s="4">
        <f t="shared" si="13"/>
        <v>2.8462117909993512</v>
      </c>
      <c r="C185" s="4">
        <f t="shared" si="14"/>
        <v>4.9910542041852892</v>
      </c>
      <c r="D185" s="4">
        <f t="shared" si="12"/>
        <v>186.64880179439598</v>
      </c>
      <c r="E185" s="4">
        <f t="shared" si="15"/>
        <v>184.9634764511876</v>
      </c>
    </row>
    <row r="186" spans="1:5" x14ac:dyDescent="0.55000000000000004">
      <c r="A186" s="25">
        <v>72</v>
      </c>
      <c r="B186" s="4">
        <f t="shared" si="13"/>
        <v>2.844282065717922</v>
      </c>
      <c r="C186" s="4">
        <f t="shared" si="14"/>
        <v>4.9787419743251693</v>
      </c>
      <c r="D186" s="4">
        <f t="shared" si="12"/>
        <v>186.6535328470811</v>
      </c>
      <c r="E186" s="4">
        <f t="shared" si="15"/>
        <v>184.97236496483501</v>
      </c>
    </row>
    <row r="187" spans="1:5" x14ac:dyDescent="0.55000000000000004">
      <c r="A187" s="25">
        <v>72.25</v>
      </c>
      <c r="B187" s="4">
        <f t="shared" si="13"/>
        <v>2.8423589943244134</v>
      </c>
      <c r="C187" s="4">
        <f t="shared" si="14"/>
        <v>4.9665049714475415</v>
      </c>
      <c r="D187" s="4">
        <f t="shared" si="12"/>
        <v>186.65807385940047</v>
      </c>
      <c r="E187" s="4">
        <f t="shared" si="15"/>
        <v>184.98103803628072</v>
      </c>
    </row>
    <row r="188" spans="1:5" x14ac:dyDescent="0.55000000000000004">
      <c r="A188" s="25">
        <v>72.5</v>
      </c>
      <c r="B188" s="4">
        <f t="shared" si="13"/>
        <v>2.8404425300714857</v>
      </c>
      <c r="C188" s="4">
        <f t="shared" si="14"/>
        <v>4.9543424774809433</v>
      </c>
      <c r="D188" s="4">
        <f t="shared" si="12"/>
        <v>186.66242706951064</v>
      </c>
      <c r="E188" s="4">
        <f t="shared" si="15"/>
        <v>184.98949814615196</v>
      </c>
    </row>
    <row r="189" spans="1:5" x14ac:dyDescent="0.55000000000000004">
      <c r="A189" s="25">
        <v>72.75</v>
      </c>
      <c r="B189" s="4">
        <f t="shared" si="13"/>
        <v>2.838532626701129</v>
      </c>
      <c r="C189" s="4">
        <f t="shared" si="14"/>
        <v>4.9422537836615543</v>
      </c>
      <c r="D189" s="4">
        <f t="shared" si="12"/>
        <v>186.66659468399294</v>
      </c>
      <c r="E189" s="4">
        <f t="shared" si="15"/>
        <v>184.99774774035771</v>
      </c>
    </row>
    <row r="190" spans="1:5" x14ac:dyDescent="0.55000000000000004">
      <c r="A190" s="25">
        <v>73</v>
      </c>
      <c r="B190" s="4">
        <f t="shared" si="13"/>
        <v>2.836629238437876</v>
      </c>
      <c r="C190" s="4">
        <f t="shared" si="14"/>
        <v>4.9302381903810124</v>
      </c>
      <c r="D190" s="4">
        <f t="shared" si="12"/>
        <v>186.67057887839439</v>
      </c>
      <c r="E190" s="4">
        <f t="shared" si="15"/>
        <v>185.00578923068122</v>
      </c>
    </row>
    <row r="191" spans="1:5" x14ac:dyDescent="0.55000000000000004">
      <c r="A191" s="25">
        <v>73.25</v>
      </c>
      <c r="B191" s="4">
        <f t="shared" si="13"/>
        <v>2.8347323199821277</v>
      </c>
      <c r="C191" s="4">
        <f t="shared" si="14"/>
        <v>4.9182950070372158</v>
      </c>
      <c r="D191" s="4">
        <f t="shared" si="12"/>
        <v>186.67438179775735</v>
      </c>
      <c r="E191" s="4">
        <f t="shared" si="15"/>
        <v>185.01362499535992</v>
      </c>
    </row>
    <row r="192" spans="1:5" x14ac:dyDescent="0.55000000000000004">
      <c r="A192" s="25">
        <v>73.5</v>
      </c>
      <c r="B192" s="4">
        <f t="shared" si="13"/>
        <v>2.8328418265035928</v>
      </c>
      <c r="C192" s="4">
        <f t="shared" si="14"/>
        <v>4.9064235518880635</v>
      </c>
      <c r="D192" s="4">
        <f t="shared" si="12"/>
        <v>186.67800555713859</v>
      </c>
      <c r="E192" s="4">
        <f t="shared" si="15"/>
        <v>185.02125737965386</v>
      </c>
    </row>
    <row r="193" spans="1:6" x14ac:dyDescent="0.55000000000000004">
      <c r="A193" s="25">
        <v>73.75</v>
      </c>
      <c r="B193" s="4">
        <f t="shared" si="13"/>
        <v>2.8309577136348456</v>
      </c>
      <c r="C193" s="4">
        <f t="shared" si="14"/>
        <v>4.8946231519080721</v>
      </c>
      <c r="D193" s="4">
        <f t="shared" si="12"/>
        <v>186.68145224211779</v>
      </c>
      <c r="E193" s="4">
        <f t="shared" si="15"/>
        <v>185.02868869640272</v>
      </c>
      <c r="F193" s="25"/>
    </row>
    <row r="194" spans="1:6" x14ac:dyDescent="0.55000000000000004">
      <c r="A194" s="25">
        <v>74</v>
      </c>
      <c r="B194" s="4">
        <f t="shared" si="13"/>
        <v>2.8290799374649831</v>
      </c>
      <c r="C194" s="4">
        <f t="shared" si="14"/>
        <v>4.8828931426477453</v>
      </c>
      <c r="D194" s="4">
        <f t="shared" si="12"/>
        <v>186.68472390929588</v>
      </c>
      <c r="E194" s="4">
        <f t="shared" si="15"/>
        <v>185.03592122657167</v>
      </c>
      <c r="F194" s="25"/>
    </row>
    <row r="195" spans="1:6" x14ac:dyDescent="0.55000000000000004">
      <c r="A195" s="25">
        <v>74.25</v>
      </c>
      <c r="B195" s="4">
        <f t="shared" si="13"/>
        <v>2.827208454533404</v>
      </c>
      <c r="C195" s="4">
        <f t="shared" si="14"/>
        <v>4.8712328680957615</v>
      </c>
      <c r="D195" s="4">
        <f t="shared" si="12"/>
        <v>186.68782258678345</v>
      </c>
      <c r="E195" s="4">
        <f t="shared" si="15"/>
        <v>185.04295721978599</v>
      </c>
      <c r="F195" s="25"/>
    </row>
    <row r="196" spans="1:6" x14ac:dyDescent="0.55000000000000004">
      <c r="A196" s="25">
        <v>74.5</v>
      </c>
      <c r="B196" s="4">
        <f t="shared" si="13"/>
        <v>2.8253432218236791</v>
      </c>
      <c r="C196" s="4">
        <f t="shared" si="14"/>
        <v>4.8596416805437155</v>
      </c>
      <c r="D196" s="4">
        <f t="shared" si="12"/>
        <v>186.69075027467935</v>
      </c>
      <c r="E196" s="4">
        <f t="shared" si="15"/>
        <v>185.0497988948558</v>
      </c>
      <c r="F196" s="25"/>
    </row>
    <row r="197" spans="1:6" x14ac:dyDescent="0.55000000000000004">
      <c r="A197" s="25">
        <v>74.75</v>
      </c>
      <c r="B197" s="4">
        <f t="shared" si="13"/>
        <v>2.8234841967575384</v>
      </c>
      <c r="C197" s="4">
        <f t="shared" si="14"/>
        <v>4.8481189404536131</v>
      </c>
      <c r="D197" s="4">
        <f t="shared" si="12"/>
        <v>186.69350894553952</v>
      </c>
      <c r="E197" s="4">
        <f t="shared" si="15"/>
        <v>185.05644844028922</v>
      </c>
      <c r="F197" s="25"/>
    </row>
    <row r="198" spans="1:6" x14ac:dyDescent="0.55000000000000004">
      <c r="A198" s="25">
        <v>75</v>
      </c>
      <c r="B198" s="4">
        <f t="shared" si="13"/>
        <v>2.8216313371889474</v>
      </c>
      <c r="C198" s="4">
        <f t="shared" si="14"/>
        <v>4.8366640163277808</v>
      </c>
      <c r="D198" s="4">
        <f t="shared" si="12"/>
        <v>186.69610054483712</v>
      </c>
      <c r="E198" s="4">
        <f t="shared" si="15"/>
        <v>185.06290801479688</v>
      </c>
      <c r="F198" s="25"/>
    </row>
    <row r="199" spans="1:6" x14ac:dyDescent="0.55000000000000004">
      <c r="A199" s="25">
        <v>75.25</v>
      </c>
      <c r="B199" s="4">
        <f t="shared" si="13"/>
        <v>2.8197846013982955</v>
      </c>
      <c r="C199" s="4">
        <f t="shared" si="14"/>
        <v>4.8252762845813955</v>
      </c>
      <c r="D199" s="4">
        <f t="shared" si="12"/>
        <v>186.69852699141279</v>
      </c>
      <c r="E199" s="4">
        <f t="shared" si="15"/>
        <v>185.06917974778474</v>
      </c>
      <c r="F199" s="25"/>
    </row>
    <row r="200" spans="1:6" x14ac:dyDescent="0.55000000000000004">
      <c r="A200" s="25">
        <v>75.5</v>
      </c>
      <c r="B200" s="4">
        <f t="shared" si="13"/>
        <v>2.8179439480866684</v>
      </c>
      <c r="C200" s="4">
        <f t="shared" si="14"/>
        <v>4.8139551294173275</v>
      </c>
      <c r="D200" s="4">
        <f t="shared" si="12"/>
        <v>186.70079017791696</v>
      </c>
      <c r="E200" s="4">
        <f t="shared" si="15"/>
        <v>185.07526573983895</v>
      </c>
      <c r="F200" s="25"/>
    </row>
    <row r="201" spans="1:6" x14ac:dyDescent="0.55000000000000004">
      <c r="A201" s="25">
        <v>75.75</v>
      </c>
      <c r="B201" s="4">
        <f t="shared" si="13"/>
        <v>2.8161093363702259</v>
      </c>
      <c r="C201" s="4">
        <f t="shared" si="14"/>
        <v>4.8026999427034776</v>
      </c>
      <c r="D201" s="4">
        <f t="shared" si="12"/>
        <v>186.70289197124234</v>
      </c>
      <c r="E201" s="4">
        <f t="shared" si="15"/>
        <v>185.08116806319978</v>
      </c>
      <c r="F201" s="25"/>
    </row>
    <row r="202" spans="1:6" x14ac:dyDescent="0.55000000000000004">
      <c r="A202" s="25">
        <v>76</v>
      </c>
      <c r="B202" s="4">
        <f t="shared" si="13"/>
        <v>2.8142807257746711</v>
      </c>
      <c r="C202" s="4">
        <f t="shared" si="14"/>
        <v>4.7915101238523921</v>
      </c>
      <c r="D202" s="4">
        <f t="shared" si="12"/>
        <v>186.70483421294907</v>
      </c>
      <c r="E202" s="4">
        <f t="shared" si="15"/>
        <v>185.08688876222715</v>
      </c>
      <c r="F202" s="25"/>
    </row>
    <row r="203" spans="1:6" x14ac:dyDescent="0.55000000000000004">
      <c r="A203" s="25">
        <v>76.25</v>
      </c>
      <c r="B203" s="4">
        <f t="shared" si="13"/>
        <v>2.8124580762298086</v>
      </c>
      <c r="C203" s="4">
        <f t="shared" si="14"/>
        <v>4.7803850797031657</v>
      </c>
      <c r="D203" s="4">
        <f t="shared" si="12"/>
        <v>186.70661871968062</v>
      </c>
      <c r="E203" s="4">
        <f t="shared" si="15"/>
        <v>185.0924298538568</v>
      </c>
      <c r="F203" s="25"/>
    </row>
    <row r="204" spans="1:6" x14ac:dyDescent="0.55000000000000004">
      <c r="A204" s="25">
        <v>76.5</v>
      </c>
      <c r="B204" s="4">
        <f t="shared" si="13"/>
        <v>2.8106413480641952</v>
      </c>
      <c r="C204" s="4">
        <f t="shared" si="14"/>
        <v>4.769324224405584</v>
      </c>
      <c r="D204" s="4">
        <f t="shared" si="12"/>
        <v>186.70824728357249</v>
      </c>
      <c r="E204" s="4">
        <f t="shared" si="15"/>
        <v>185.09779332804777</v>
      </c>
      <c r="F204" s="25"/>
    </row>
    <row r="205" spans="1:6" x14ac:dyDescent="0.55000000000000004">
      <c r="A205" s="25">
        <v>76.75</v>
      </c>
      <c r="B205" s="4">
        <f t="shared" si="13"/>
        <v>2.8088305019998767</v>
      </c>
      <c r="C205" s="4">
        <f t="shared" si="14"/>
        <v>4.7583269793064016</v>
      </c>
      <c r="D205" s="4">
        <f t="shared" si="12"/>
        <v>186.70972167265199</v>
      </c>
      <c r="E205" s="4">
        <f t="shared" si="15"/>
        <v>185.10298114822075</v>
      </c>
      <c r="F205" s="25"/>
    </row>
    <row r="206" spans="1:6" x14ac:dyDescent="0.55000000000000004">
      <c r="A206" s="25">
        <v>77</v>
      </c>
      <c r="B206" s="4">
        <f t="shared" si="13"/>
        <v>2.807025499147211</v>
      </c>
      <c r="C206" s="4">
        <f t="shared" si="14"/>
        <v>4.7473927728378333</v>
      </c>
      <c r="D206" s="4">
        <f t="shared" si="12"/>
        <v>186.71104363123118</v>
      </c>
      <c r="E206" s="4">
        <f t="shared" si="15"/>
        <v>185.10799525168869</v>
      </c>
      <c r="F206" s="25"/>
    </row>
    <row r="207" spans="1:6" x14ac:dyDescent="0.55000000000000004">
      <c r="A207" s="25">
        <v>77.25</v>
      </c>
      <c r="B207" s="4">
        <f t="shared" si="13"/>
        <v>2.8052263009997818</v>
      </c>
      <c r="C207" s="4">
        <f t="shared" si="14"/>
        <v>4.736521040408058</v>
      </c>
      <c r="D207" s="4">
        <f t="shared" ref="D207:D270" si="16">$B$6*$B$12/9.81*($B$9*SQRT(2/($B$9-1)*(2/($B$9+1))^(($B$9+1)/($B$9-1))*(1 - (A207/$B$3)^(($B$9-1)/$B$9))) + C207/$B$3*(A207 - $E$5))</f>
        <v>186.7122148802917</v>
      </c>
      <c r="E207" s="4">
        <f t="shared" si="15"/>
        <v>185.11283755007844</v>
      </c>
      <c r="F207" s="25"/>
    </row>
    <row r="208" spans="1:6" x14ac:dyDescent="0.55000000000000004">
      <c r="A208" s="3">
        <v>77.5</v>
      </c>
      <c r="B208" s="5">
        <f t="shared" ref="B208:B271" si="17">SQRT(2/($B$9-1)*((A208/$B$3)^((1-$B$9)/$B$9) - 1))</f>
        <v>2.8034328694293866</v>
      </c>
      <c r="C208" s="5">
        <f t="shared" ref="C208:C271" si="18">1/B208*(2/($B$9+1)*(1 + ($B$9-1)/2*B208^2))^(($B$9+1)/(2*$B$9-2))</f>
        <v>4.7257112242938026</v>
      </c>
      <c r="D208" s="5">
        <f t="shared" si="16"/>
        <v>186.71323711786249</v>
      </c>
      <c r="E208" s="5">
        <f t="shared" ref="E208:E271" si="19">$B$6*$B$12/9.81*($B$9*SQRT(2/($B$9-1)*(2/($B$9+1))^(($B$9+1)/($B$9-1))*(1 - (A208/$B$3)^(($B$9-1)/$B$9))) + C208/$B$3*(A208 - $E$4))</f>
        <v>185.11750992974498</v>
      </c>
      <c r="F208" s="25" t="s">
        <v>80</v>
      </c>
    </row>
    <row r="209" spans="1:5" x14ac:dyDescent="0.55000000000000004">
      <c r="A209" s="25">
        <v>77.75</v>
      </c>
      <c r="B209" s="4">
        <f t="shared" si="17"/>
        <v>2.80164516668111</v>
      </c>
      <c r="C209" s="4">
        <f t="shared" si="18"/>
        <v>4.7149627735348973</v>
      </c>
      <c r="D209" s="4">
        <f t="shared" si="16"/>
        <v>186.71411201938989</v>
      </c>
      <c r="E209" s="4">
        <f t="shared" si="19"/>
        <v>185.12201425217688</v>
      </c>
    </row>
    <row r="210" spans="1:5" x14ac:dyDescent="0.55000000000000004">
      <c r="A210" s="25">
        <v>78</v>
      </c>
      <c r="B210" s="4">
        <f t="shared" si="17"/>
        <v>2.799863155368477</v>
      </c>
      <c r="C210" s="4">
        <f t="shared" si="18"/>
        <v>4.7042751438307944</v>
      </c>
      <c r="D210" s="4">
        <f t="shared" si="16"/>
        <v>186.71484123810117</v>
      </c>
      <c r="E210" s="4">
        <f t="shared" si="19"/>
        <v>185.12635235439498</v>
      </c>
    </row>
    <row r="211" spans="1:5" x14ac:dyDescent="0.55000000000000004">
      <c r="A211" s="25">
        <v>78.25</v>
      </c>
      <c r="B211" s="4">
        <f t="shared" si="17"/>
        <v>2.7980867984686877</v>
      </c>
      <c r="C211" s="4">
        <f t="shared" si="18"/>
        <v>4.6936477974389996</v>
      </c>
      <c r="D211" s="4">
        <f t="shared" si="16"/>
        <v>186.71542640536089</v>
      </c>
      <c r="E211" s="4">
        <f t="shared" si="19"/>
        <v>185.1305260493429</v>
      </c>
    </row>
    <row r="212" spans="1:5" x14ac:dyDescent="0.55000000000000004">
      <c r="A212" s="25">
        <v>78.5</v>
      </c>
      <c r="B212" s="4">
        <f t="shared" si="17"/>
        <v>2.796316059317923</v>
      </c>
      <c r="C212" s="4">
        <f t="shared" si="18"/>
        <v>4.6830802030753738</v>
      </c>
      <c r="D212" s="4">
        <f t="shared" si="16"/>
        <v>186.71586913102027</v>
      </c>
      <c r="E212" s="4">
        <f t="shared" si="19"/>
        <v>185.13453712627023</v>
      </c>
    </row>
    <row r="213" spans="1:5" x14ac:dyDescent="0.55000000000000004">
      <c r="A213" s="25">
        <v>78.75</v>
      </c>
      <c r="B213" s="4">
        <f t="shared" si="17"/>
        <v>2.7945509016067263</v>
      </c>
      <c r="C213" s="4">
        <f t="shared" si="18"/>
        <v>4.6725718358162371</v>
      </c>
      <c r="D213" s="4">
        <f t="shared" si="16"/>
        <v>186.71617100376034</v>
      </c>
      <c r="E213" s="4">
        <f t="shared" si="19"/>
        <v>185.13838735110849</v>
      </c>
    </row>
    <row r="214" spans="1:5" x14ac:dyDescent="0.55000000000000004">
      <c r="A214" s="25">
        <v>79</v>
      </c>
      <c r="B214" s="4">
        <f t="shared" si="17"/>
        <v>2.7927912893754647</v>
      </c>
      <c r="C214" s="4">
        <f t="shared" si="18"/>
        <v>4.662122177002308</v>
      </c>
      <c r="D214" s="4">
        <f t="shared" si="16"/>
        <v>186.71633359142862</v>
      </c>
      <c r="E214" s="4">
        <f t="shared" si="19"/>
        <v>185.1420784668405</v>
      </c>
    </row>
    <row r="215" spans="1:5" x14ac:dyDescent="0.55000000000000004">
      <c r="A215" s="25">
        <v>79.25</v>
      </c>
      <c r="B215" s="4">
        <f t="shared" si="17"/>
        <v>2.7910371870098567</v>
      </c>
      <c r="C215" s="4">
        <f t="shared" si="18"/>
        <v>4.6517307141443442</v>
      </c>
      <c r="D215" s="4">
        <f t="shared" si="16"/>
        <v>186.71635844136884</v>
      </c>
      <c r="E215" s="4">
        <f t="shared" si="19"/>
        <v>185.14561219386181</v>
      </c>
    </row>
    <row r="216" spans="1:5" x14ac:dyDescent="0.55000000000000004">
      <c r="A216" s="25">
        <v>79.5</v>
      </c>
      <c r="B216" s="4">
        <f t="shared" si="17"/>
        <v>2.7892885592365744</v>
      </c>
      <c r="C216" s="4">
        <f t="shared" si="18"/>
        <v>4.6413969408305302</v>
      </c>
      <c r="D216" s="4">
        <f t="shared" si="16"/>
        <v>186.71624708074529</v>
      </c>
      <c r="E216" s="4">
        <f t="shared" si="19"/>
        <v>185.14899023033641</v>
      </c>
    </row>
    <row r="217" spans="1:5" x14ac:dyDescent="0.55000000000000004">
      <c r="A217" s="25">
        <v>79.75</v>
      </c>
      <c r="B217" s="4">
        <f t="shared" si="17"/>
        <v>2.7875453711189127</v>
      </c>
      <c r="C217" s="4">
        <f t="shared" si="18"/>
        <v>4.6311203566355355</v>
      </c>
      <c r="D217" s="4">
        <f t="shared" si="16"/>
        <v>186.71600101686076</v>
      </c>
      <c r="E217" s="4">
        <f t="shared" si="19"/>
        <v>185.15221425254526</v>
      </c>
    </row>
    <row r="218" spans="1:5" x14ac:dyDescent="0.55000000000000004">
      <c r="A218" s="25">
        <v>80</v>
      </c>
      <c r="B218" s="4">
        <f t="shared" si="17"/>
        <v>2.7858075880525277</v>
      </c>
      <c r="C218" s="4">
        <f t="shared" si="18"/>
        <v>4.6209004670311904</v>
      </c>
      <c r="D218" s="4">
        <f t="shared" si="16"/>
        <v>186.71562173746818</v>
      </c>
      <c r="E218" s="4">
        <f t="shared" si="19"/>
        <v>185.15528591522832</v>
      </c>
    </row>
    <row r="219" spans="1:5" x14ac:dyDescent="0.55000000000000004">
      <c r="A219" s="25">
        <v>80.25</v>
      </c>
      <c r="B219" s="4">
        <f t="shared" si="17"/>
        <v>2.7840751757612479</v>
      </c>
      <c r="C219" s="4">
        <f t="shared" si="18"/>
        <v>4.6107367832988295</v>
      </c>
      <c r="D219" s="4">
        <f t="shared" si="16"/>
        <v>186.71511071107739</v>
      </c>
      <c r="E219" s="4">
        <f t="shared" si="19"/>
        <v>185.1582068519206</v>
      </c>
    </row>
    <row r="220" spans="1:5" x14ac:dyDescent="0.55000000000000004">
      <c r="A220" s="25">
        <v>80.5</v>
      </c>
      <c r="B220" s="4">
        <f t="shared" si="17"/>
        <v>2.7823481002929387</v>
      </c>
      <c r="C220" s="4">
        <f t="shared" si="18"/>
        <v>4.6006288224431158</v>
      </c>
      <c r="D220" s="4">
        <f t="shared" si="16"/>
        <v>186.71446938725504</v>
      </c>
      <c r="E220" s="4">
        <f t="shared" si="19"/>
        <v>185.16097867528148</v>
      </c>
    </row>
    <row r="221" spans="1:5" x14ac:dyDescent="0.55000000000000004">
      <c r="A221" s="4">
        <v>80.75</v>
      </c>
      <c r="B221" s="4">
        <f t="shared" si="17"/>
        <v>2.7806263280154444</v>
      </c>
      <c r="C221" s="4">
        <f t="shared" si="18"/>
        <v>4.5905761071074886</v>
      </c>
      <c r="D221" s="4">
        <f t="shared" si="16"/>
        <v>186.71369919692003</v>
      </c>
      <c r="E221" s="4">
        <f t="shared" si="19"/>
        <v>185.16360297741844</v>
      </c>
    </row>
    <row r="222" spans="1:5" x14ac:dyDescent="0.55000000000000004">
      <c r="A222" s="26">
        <v>81</v>
      </c>
      <c r="B222" s="4">
        <f t="shared" si="17"/>
        <v>2.7789098256125868</v>
      </c>
      <c r="C222" s="4">
        <f t="shared" si="18"/>
        <v>4.5805781654910813</v>
      </c>
      <c r="D222" s="4">
        <f t="shared" si="16"/>
        <v>186.7128015526329</v>
      </c>
      <c r="E222" s="4">
        <f t="shared" si="19"/>
        <v>185.16608133020458</v>
      </c>
    </row>
    <row r="223" spans="1:5" x14ac:dyDescent="0.55000000000000004">
      <c r="A223" s="25">
        <v>81.25</v>
      </c>
      <c r="B223" s="4">
        <f t="shared" si="17"/>
        <v>2.7771985600802251</v>
      </c>
      <c r="C223" s="4">
        <f t="shared" si="18"/>
        <v>4.5706345312671122</v>
      </c>
      <c r="D223" s="4">
        <f t="shared" si="16"/>
        <v>186.71177784887988</v>
      </c>
      <c r="E223" s="4">
        <f t="shared" si="19"/>
        <v>185.16841528559047</v>
      </c>
    </row>
    <row r="224" spans="1:5" x14ac:dyDescent="0.55000000000000004">
      <c r="A224" s="25">
        <v>81.5</v>
      </c>
      <c r="B224" s="4">
        <f t="shared" si="17"/>
        <v>2.7754924987223863</v>
      </c>
      <c r="C224" s="4">
        <f t="shared" si="18"/>
        <v>4.560744743502755</v>
      </c>
      <c r="D224" s="4">
        <f t="shared" si="16"/>
        <v>186.71062946235244</v>
      </c>
      <c r="E224" s="4">
        <f t="shared" si="19"/>
        <v>185.17060637591024</v>
      </c>
    </row>
    <row r="225" spans="1:6" x14ac:dyDescent="0.55000000000000004">
      <c r="A225" s="25">
        <v>81.75</v>
      </c>
      <c r="B225" s="4">
        <f t="shared" si="17"/>
        <v>2.7737916091474371</v>
      </c>
      <c r="C225" s="4">
        <f t="shared" si="18"/>
        <v>4.5509083465803606</v>
      </c>
      <c r="D225" s="4">
        <f t="shared" si="16"/>
        <v>186.7093577522204</v>
      </c>
      <c r="E225" s="4">
        <f t="shared" si="19"/>
        <v>185.1726561141819</v>
      </c>
      <c r="F225" s="25"/>
    </row>
    <row r="226" spans="1:6" x14ac:dyDescent="0.55000000000000004">
      <c r="A226" s="25">
        <v>82</v>
      </c>
      <c r="B226" s="4">
        <f t="shared" si="17"/>
        <v>2.772095859264335</v>
      </c>
      <c r="C226" s="4">
        <f t="shared" si="18"/>
        <v>4.541124890120126</v>
      </c>
      <c r="D226" s="4">
        <f t="shared" si="16"/>
        <v>186.70796406040165</v>
      </c>
      <c r="E226" s="4">
        <f t="shared" si="19"/>
        <v>185.17456599440266</v>
      </c>
      <c r="F226" s="25"/>
    </row>
    <row r="227" spans="1:6" x14ac:dyDescent="0.55000000000000004">
      <c r="A227" s="25">
        <v>82.25</v>
      </c>
      <c r="B227" s="4">
        <f t="shared" si="17"/>
        <v>2.7704052172789262</v>
      </c>
      <c r="C227" s="4">
        <f t="shared" si="18"/>
        <v>4.5313939289041203</v>
      </c>
      <c r="D227" s="4">
        <f t="shared" si="16"/>
        <v>186.70644971182571</v>
      </c>
      <c r="E227" s="4">
        <f t="shared" si="19"/>
        <v>185.17633749183844</v>
      </c>
      <c r="F227" s="25"/>
    </row>
    <row r="228" spans="1:6" x14ac:dyDescent="0.55000000000000004">
      <c r="A228" s="25">
        <v>82.5</v>
      </c>
      <c r="B228" s="4">
        <f t="shared" si="17"/>
        <v>2.7687196516902985</v>
      </c>
      <c r="C228" s="4">
        <f t="shared" si="18"/>
        <v>4.5217150228015726</v>
      </c>
      <c r="D228" s="4">
        <f t="shared" si="16"/>
        <v>186.70481601469322</v>
      </c>
      <c r="E228" s="4">
        <f t="shared" si="19"/>
        <v>185.17797206330852</v>
      </c>
      <c r="F228" s="25"/>
    </row>
    <row r="229" spans="1:6" x14ac:dyDescent="0.55000000000000004">
      <c r="A229" s="25">
        <v>82.75</v>
      </c>
      <c r="B229" s="4">
        <f t="shared" si="17"/>
        <v>2.7670391312871994</v>
      </c>
      <c r="C229" s="4">
        <f t="shared" si="18"/>
        <v>4.5120877366955616</v>
      </c>
      <c r="D229" s="4">
        <f t="shared" si="16"/>
        <v>186.70306426073057</v>
      </c>
      <c r="E229" s="4">
        <f t="shared" si="19"/>
        <v>185.17947114746482</v>
      </c>
      <c r="F229" s="25"/>
    </row>
    <row r="230" spans="1:6" x14ac:dyDescent="0.55000000000000004">
      <c r="A230" s="25">
        <v>83</v>
      </c>
      <c r="B230" s="4">
        <f t="shared" si="17"/>
        <v>2.7653636251444942</v>
      </c>
      <c r="C230" s="4">
        <f t="shared" si="18"/>
        <v>4.5025116404108747</v>
      </c>
      <c r="D230" s="4">
        <f t="shared" si="16"/>
        <v>186.70119572543973</v>
      </c>
      <c r="E230" s="4">
        <f t="shared" si="19"/>
        <v>185.18083616506627</v>
      </c>
      <c r="F230" s="25"/>
    </row>
    <row r="231" spans="1:6" x14ac:dyDescent="0.55000000000000004">
      <c r="A231" s="25">
        <v>83.25</v>
      </c>
      <c r="B231" s="4">
        <f t="shared" si="17"/>
        <v>2.7636931026196958</v>
      </c>
      <c r="C231" s="4">
        <f t="shared" si="18"/>
        <v>4.4929863086432382</v>
      </c>
      <c r="D231" s="4">
        <f t="shared" si="16"/>
        <v>186.69921166834388</v>
      </c>
      <c r="E231" s="4">
        <f t="shared" si="19"/>
        <v>185.18206851924822</v>
      </c>
      <c r="F231" s="25"/>
    </row>
    <row r="232" spans="1:6" x14ac:dyDescent="0.55000000000000004">
      <c r="A232" s="25">
        <v>83.5</v>
      </c>
      <c r="B232" s="4">
        <f t="shared" si="17"/>
        <v>2.762027533349531</v>
      </c>
      <c r="C232" s="4">
        <f t="shared" si="18"/>
        <v>4.4835113208896464</v>
      </c>
      <c r="D232" s="4">
        <f t="shared" si="16"/>
        <v>186.69711333322866</v>
      </c>
      <c r="E232" s="4">
        <f t="shared" si="19"/>
        <v>185.18316959578723</v>
      </c>
      <c r="F232" s="25"/>
    </row>
    <row r="233" spans="1:6" x14ac:dyDescent="0.55000000000000004">
      <c r="A233" s="25">
        <v>83.75</v>
      </c>
      <c r="B233" s="4">
        <f t="shared" si="17"/>
        <v>2.7603668872465685</v>
      </c>
      <c r="C233" s="4">
        <f t="shared" si="18"/>
        <v>4.4740862613799761</v>
      </c>
      <c r="D233" s="4">
        <f t="shared" si="16"/>
        <v>186.69490194837886</v>
      </c>
      <c r="E233" s="4">
        <f t="shared" si="19"/>
        <v>185.18414076336083</v>
      </c>
      <c r="F233" s="25"/>
    </row>
    <row r="234" spans="1:6" x14ac:dyDescent="0.55000000000000004">
      <c r="A234" s="25">
        <v>84</v>
      </c>
      <c r="B234" s="4">
        <f t="shared" si="17"/>
        <v>2.7587111344958926</v>
      </c>
      <c r="C234" s="4">
        <f t="shared" si="18"/>
        <v>4.4647107190097719</v>
      </c>
      <c r="D234" s="4">
        <f t="shared" si="16"/>
        <v>186.69257872681112</v>
      </c>
      <c r="E234" s="4">
        <f t="shared" si="19"/>
        <v>185.18498337380302</v>
      </c>
      <c r="F234" s="25"/>
    </row>
    <row r="235" spans="1:6" x14ac:dyDescent="0.55000000000000004">
      <c r="A235" s="25">
        <v>84.25</v>
      </c>
      <c r="B235" s="4">
        <f t="shared" si="17"/>
        <v>2.7570602455518292</v>
      </c>
      <c r="C235" s="4">
        <f t="shared" si="18"/>
        <v>4.4553842872741214</v>
      </c>
      <c r="D235" s="4">
        <f t="shared" si="16"/>
        <v>186.69014486650241</v>
      </c>
      <c r="E235" s="4">
        <f t="shared" si="19"/>
        <v>185.18569876235489</v>
      </c>
      <c r="F235" s="25"/>
    </row>
    <row r="236" spans="1:6" x14ac:dyDescent="0.55000000000000004">
      <c r="A236" s="25">
        <v>84.5</v>
      </c>
      <c r="B236" s="4">
        <f t="shared" si="17"/>
        <v>2.7554141911347201</v>
      </c>
      <c r="C236" s="4">
        <f t="shared" si="18"/>
        <v>4.4461065642027391</v>
      </c>
      <c r="D236" s="4">
        <f t="shared" si="16"/>
        <v>186.68760155061443</v>
      </c>
      <c r="E236" s="4">
        <f t="shared" si="19"/>
        <v>185.18628824791125</v>
      </c>
      <c r="F236" s="25"/>
    </row>
    <row r="237" spans="1:6" x14ac:dyDescent="0.55000000000000004">
      <c r="A237" s="25">
        <v>84.75</v>
      </c>
      <c r="B237" s="4">
        <f t="shared" si="17"/>
        <v>2.7537729422277466</v>
      </c>
      <c r="C237" s="4">
        <f t="shared" si="18"/>
        <v>4.4368771522961028</v>
      </c>
      <c r="D237" s="4">
        <f t="shared" si="16"/>
        <v>186.6849499477143</v>
      </c>
      <c r="E237" s="4">
        <f t="shared" si="19"/>
        <v>185.18675313326244</v>
      </c>
      <c r="F237" s="25"/>
    </row>
    <row r="238" spans="1:6" x14ac:dyDescent="0.55000000000000004">
      <c r="A238" s="25">
        <v>85</v>
      </c>
      <c r="B238" s="4">
        <f t="shared" si="17"/>
        <v>2.7521364700737951</v>
      </c>
      <c r="C238" s="4">
        <f t="shared" si="18"/>
        <v>4.4276956584626825</v>
      </c>
      <c r="D238" s="4">
        <f t="shared" si="16"/>
        <v>186.68219121199081</v>
      </c>
      <c r="E238" s="4">
        <f t="shared" si="19"/>
        <v>185.18709470533227</v>
      </c>
      <c r="F238" s="25"/>
    </row>
    <row r="239" spans="1:6" x14ac:dyDescent="0.55000000000000004">
      <c r="A239" s="25">
        <v>85.25</v>
      </c>
      <c r="B239" s="4">
        <f t="shared" si="17"/>
        <v>2.7505047461723771</v>
      </c>
      <c r="C239" s="4">
        <f t="shared" si="18"/>
        <v>4.418561693957253</v>
      </c>
      <c r="D239" s="4">
        <f t="shared" si="16"/>
        <v>186.67932648346769</v>
      </c>
      <c r="E239" s="4">
        <f t="shared" si="19"/>
        <v>185.18731423541169</v>
      </c>
      <c r="F239" s="25"/>
    </row>
    <row r="240" spans="1:6" x14ac:dyDescent="0.55000000000000004">
      <c r="A240" s="3">
        <v>85.5</v>
      </c>
      <c r="B240" s="5">
        <f t="shared" si="17"/>
        <v>2.7488777422765924</v>
      </c>
      <c r="C240" s="5">
        <f t="shared" si="18"/>
        <v>4.4094748743202601</v>
      </c>
      <c r="D240" s="5">
        <f t="shared" si="16"/>
        <v>186.67635688821255</v>
      </c>
      <c r="E240" s="5">
        <f t="shared" si="19"/>
        <v>185.18741297938845</v>
      </c>
      <c r="F240" s="2" t="s">
        <v>62</v>
      </c>
    </row>
    <row r="241" spans="1:5" x14ac:dyDescent="0.55000000000000004">
      <c r="A241" s="25">
        <v>85.75</v>
      </c>
      <c r="B241" s="4">
        <f t="shared" si="17"/>
        <v>2.7472554303901289</v>
      </c>
      <c r="C241" s="4">
        <f t="shared" si="18"/>
        <v>4.4004348193181322</v>
      </c>
      <c r="D241" s="4">
        <f t="shared" si="16"/>
        <v>186.67328353854205</v>
      </c>
      <c r="E241" s="4">
        <f t="shared" si="19"/>
        <v>185.18739217797244</v>
      </c>
    </row>
    <row r="242" spans="1:5" x14ac:dyDescent="0.55000000000000004">
      <c r="A242" s="25">
        <v>86</v>
      </c>
      <c r="B242" s="4">
        <f t="shared" si="17"/>
        <v>2.7456377827643172</v>
      </c>
      <c r="C242" s="4">
        <f t="shared" si="18"/>
        <v>4.3914411528846857</v>
      </c>
      <c r="D242" s="4">
        <f t="shared" si="16"/>
        <v>186.67010753322418</v>
      </c>
      <c r="E242" s="4">
        <f t="shared" si="19"/>
        <v>185.18725305691763</v>
      </c>
    </row>
    <row r="243" spans="1:5" x14ac:dyDescent="0.55000000000000004">
      <c r="A243" s="25">
        <v>86.25</v>
      </c>
      <c r="B243" s="4">
        <f t="shared" si="17"/>
        <v>2.7440247718952251</v>
      </c>
      <c r="C243" s="4">
        <f t="shared" si="18"/>
        <v>4.3824935030634506</v>
      </c>
      <c r="D243" s="4">
        <f t="shared" si="16"/>
        <v>186.6668299576765</v>
      </c>
      <c r="E243" s="4">
        <f t="shared" si="19"/>
        <v>185.18699682723977</v>
      </c>
    </row>
    <row r="244" spans="1:5" x14ac:dyDescent="0.55000000000000004">
      <c r="A244" s="25">
        <v>86.5</v>
      </c>
      <c r="B244" s="4">
        <f t="shared" si="17"/>
        <v>2.7424163705207918</v>
      </c>
      <c r="C244" s="4">
        <f>1/B244*(2/($B$9+1)*(1 + ($B$9-1)/2*B244^2))^(($B$9+1)/(2*$B$9-2))</f>
        <v>4.3735915019510028</v>
      </c>
      <c r="D244" s="4">
        <f t="shared" si="16"/>
        <v>186.66345188416108</v>
      </c>
      <c r="E244" s="4">
        <f t="shared" si="19"/>
        <v>185.18662468543062</v>
      </c>
    </row>
    <row r="245" spans="1:5" x14ac:dyDescent="0.55000000000000004">
      <c r="A245" s="25">
        <v>86.75</v>
      </c>
      <c r="B245" s="4">
        <f t="shared" si="17"/>
        <v>2.7408125516180033</v>
      </c>
      <c r="C245" s="4">
        <f t="shared" si="18"/>
        <v>4.3647347856411729</v>
      </c>
      <c r="D245" s="4">
        <f t="shared" si="16"/>
        <v>186.65997437197589</v>
      </c>
      <c r="E245" s="4">
        <f t="shared" si="19"/>
        <v>185.18613781366807</v>
      </c>
    </row>
    <row r="246" spans="1:5" x14ac:dyDescent="0.55000000000000004">
      <c r="A246" s="25">
        <v>87</v>
      </c>
      <c r="B246" s="4">
        <f t="shared" si="17"/>
        <v>2.7392132884001175</v>
      </c>
      <c r="C246" s="4">
        <f t="shared" si="18"/>
        <v>4.3559229941702808</v>
      </c>
      <c r="D246" s="4">
        <f t="shared" si="16"/>
        <v>186.65639846764353</v>
      </c>
      <c r="E246" s="4">
        <f t="shared" si="19"/>
        <v>185.18553738002333</v>
      </c>
    </row>
    <row r="247" spans="1:5" x14ac:dyDescent="0.55000000000000004">
      <c r="A247" s="25">
        <v>87.25</v>
      </c>
      <c r="B247" s="4">
        <f t="shared" si="17"/>
        <v>2.7376185543139164</v>
      </c>
      <c r="C247" s="4">
        <f t="shared" si="18"/>
        <v>4.3471557714631768</v>
      </c>
      <c r="D247" s="4">
        <f t="shared" si="16"/>
        <v>186.65272520509592</v>
      </c>
      <c r="E247" s="4">
        <f t="shared" si="19"/>
        <v>185.18482453866397</v>
      </c>
    </row>
    <row r="248" spans="1:5" x14ac:dyDescent="0.55000000000000004">
      <c r="A248" s="25">
        <v>87.5</v>
      </c>
      <c r="B248" s="4">
        <f t="shared" si="17"/>
        <v>2.7360283230370088</v>
      </c>
      <c r="C248" s="4">
        <f t="shared" si="18"/>
        <v>4.3384327652802277</v>
      </c>
      <c r="D248" s="4">
        <f t="shared" si="16"/>
        <v>186.64895560585634</v>
      </c>
      <c r="E248" s="4">
        <f t="shared" si="19"/>
        <v>185.1840004300538</v>
      </c>
    </row>
    <row r="249" spans="1:5" x14ac:dyDescent="0.55000000000000004">
      <c r="A249" s="25">
        <v>87.75</v>
      </c>
      <c r="B249" s="4">
        <f t="shared" si="17"/>
        <v>2.7344425684751665</v>
      </c>
      <c r="C249" s="4">
        <f t="shared" si="18"/>
        <v>4.329753627165176</v>
      </c>
      <c r="D249" s="4">
        <f t="shared" si="16"/>
        <v>186.64509067921836</v>
      </c>
      <c r="E249" s="4">
        <f t="shared" si="19"/>
        <v>185.1830661811492</v>
      </c>
    </row>
    <row r="250" spans="1:5" x14ac:dyDescent="0.55000000000000004">
      <c r="A250" s="25">
        <v>88</v>
      </c>
      <c r="B250" s="4">
        <f t="shared" si="17"/>
        <v>2.7328612647597006</v>
      </c>
      <c r="C250" s="4">
        <f t="shared" si="18"/>
        <v>4.3211180123938178</v>
      </c>
      <c r="D250" s="4">
        <f t="shared" si="16"/>
        <v>186.64113142242127</v>
      </c>
      <c r="E250" s="4">
        <f t="shared" si="19"/>
        <v>185.18202290559233</v>
      </c>
    </row>
    <row r="251" spans="1:5" x14ac:dyDescent="0.55000000000000004">
      <c r="A251" s="25">
        <v>88.25</v>
      </c>
      <c r="B251" s="4">
        <f t="shared" si="17"/>
        <v>2.7312843862448717</v>
      </c>
      <c r="C251" s="4">
        <f t="shared" si="18"/>
        <v>4.3125255799235678</v>
      </c>
      <c r="D251" s="4">
        <f t="shared" si="16"/>
        <v>186.63707882082301</v>
      </c>
      <c r="E251" s="4">
        <f t="shared" si="19"/>
        <v>185.18087170390069</v>
      </c>
    </row>
    <row r="252" spans="1:5" x14ac:dyDescent="0.55000000000000004">
      <c r="A252" s="25">
        <v>88.5</v>
      </c>
      <c r="B252" s="4">
        <f t="shared" si="17"/>
        <v>2.7297119075053446</v>
      </c>
      <c r="C252" s="4">
        <f t="shared" si="18"/>
        <v>4.3039759923438075</v>
      </c>
      <c r="D252" s="4">
        <f t="shared" si="16"/>
        <v>186.63293384807022</v>
      </c>
      <c r="E252" s="4">
        <f t="shared" si="19"/>
        <v>185.1796136636541</v>
      </c>
    </row>
    <row r="253" spans="1:5" x14ac:dyDescent="0.55000000000000004">
      <c r="A253" s="25">
        <v>88.75</v>
      </c>
      <c r="B253" s="4">
        <f t="shared" si="17"/>
        <v>2.7281438033336709</v>
      </c>
      <c r="C253" s="4">
        <f t="shared" si="18"/>
        <v>4.2954689158270662</v>
      </c>
      <c r="D253" s="4">
        <f t="shared" si="16"/>
        <v>186.62869746626495</v>
      </c>
      <c r="E253" s="4">
        <f t="shared" si="19"/>
        <v>185.17824985967783</v>
      </c>
    </row>
    <row r="254" spans="1:5" x14ac:dyDescent="0.55000000000000004">
      <c r="A254" s="25">
        <v>89</v>
      </c>
      <c r="B254" s="4">
        <f t="shared" si="17"/>
        <v>2.7265800487378162</v>
      </c>
      <c r="C254" s="4">
        <f t="shared" si="18"/>
        <v>4.287004020080988</v>
      </c>
      <c r="D254" s="4">
        <f t="shared" si="16"/>
        <v>186.62437062612898</v>
      </c>
      <c r="E254" s="4">
        <f t="shared" si="19"/>
        <v>185.17678135422321</v>
      </c>
    </row>
    <row r="255" spans="1:5" x14ac:dyDescent="0.55000000000000004">
      <c r="A255" s="25">
        <v>89.25</v>
      </c>
      <c r="B255" s="4">
        <f t="shared" si="17"/>
        <v>2.7250206189387094</v>
      </c>
      <c r="C255" s="4">
        <f t="shared" si="18"/>
        <v>4.2785809783010498</v>
      </c>
      <c r="D255" s="4">
        <f t="shared" si="16"/>
        <v>186.61995426716507</v>
      </c>
      <c r="E255" s="4">
        <f t="shared" si="19"/>
        <v>185.17520919714494</v>
      </c>
    </row>
    <row r="256" spans="1:5" x14ac:dyDescent="0.55000000000000004">
      <c r="A256" s="25">
        <v>89.5</v>
      </c>
      <c r="B256" s="4">
        <f t="shared" si="17"/>
        <v>2.7234654893678414</v>
      </c>
      <c r="C256" s="4">
        <f t="shared" si="18"/>
        <v>4.2701994671240993</v>
      </c>
      <c r="D256" s="4">
        <f t="shared" si="16"/>
        <v>186.615449317816</v>
      </c>
      <c r="E256" s="4">
        <f t="shared" si="19"/>
        <v>185.17353442607541</v>
      </c>
    </row>
    <row r="257" spans="1:5" x14ac:dyDescent="0.55000000000000004">
      <c r="A257" s="25">
        <v>89.75</v>
      </c>
      <c r="B257" s="4">
        <f t="shared" si="17"/>
        <v>2.7219146356648882</v>
      </c>
      <c r="C257" s="4">
        <f t="shared" si="18"/>
        <v>4.2618591665825791</v>
      </c>
      <c r="D257" s="4">
        <f t="shared" si="16"/>
        <v>186.61085669562027</v>
      </c>
      <c r="E257" s="4">
        <f t="shared" si="19"/>
        <v>185.17175806659645</v>
      </c>
    </row>
    <row r="258" spans="1:5" x14ac:dyDescent="0.55000000000000004">
      <c r="A258" s="25">
        <v>90</v>
      </c>
      <c r="B258" s="4">
        <f t="shared" si="17"/>
        <v>2.7203680336753693</v>
      </c>
      <c r="C258" s="4">
        <f t="shared" si="18"/>
        <v>4.253559760059515</v>
      </c>
      <c r="D258" s="4">
        <f t="shared" si="16"/>
        <v>186.60617730736581</v>
      </c>
      <c r="E258" s="4">
        <f t="shared" si="19"/>
        <v>185.16988113240774</v>
      </c>
    </row>
    <row r="259" spans="1:5" x14ac:dyDescent="0.55000000000000004">
      <c r="A259" s="25">
        <v>90.25</v>
      </c>
      <c r="B259" s="4">
        <f t="shared" si="17"/>
        <v>2.7188256594483393</v>
      </c>
      <c r="C259" s="4">
        <f t="shared" si="18"/>
        <v>4.2453009342442405</v>
      </c>
      <c r="D259" s="4">
        <f t="shared" si="16"/>
        <v>186.60141204924085</v>
      </c>
      <c r="E259" s="4">
        <f t="shared" si="19"/>
        <v>185.16790462549289</v>
      </c>
    </row>
    <row r="260" spans="1:5" x14ac:dyDescent="0.55000000000000004">
      <c r="A260" s="25">
        <v>90.5</v>
      </c>
      <c r="B260" s="4">
        <f t="shared" si="17"/>
        <v>2.7172874892341139</v>
      </c>
      <c r="C260" s="4">
        <f t="shared" si="18"/>
        <v>4.2370823790887906</v>
      </c>
      <c r="D260" s="4">
        <f t="shared" si="16"/>
        <v>186.59656180698227</v>
      </c>
      <c r="E260" s="4">
        <f t="shared" si="19"/>
        <v>185.16582953628242</v>
      </c>
    </row>
    <row r="261" spans="1:5" x14ac:dyDescent="0.55000000000000004">
      <c r="A261" s="25">
        <v>90.75</v>
      </c>
      <c r="B261" s="4">
        <f t="shared" si="17"/>
        <v>2.7157534994820209</v>
      </c>
      <c r="C261" s="4">
        <f t="shared" si="18"/>
        <v>4.2289037877649944</v>
      </c>
      <c r="D261" s="4">
        <f t="shared" si="16"/>
        <v>186.59162745602166</v>
      </c>
      <c r="E261" s="4">
        <f t="shared" si="19"/>
        <v>185.16365684381435</v>
      </c>
    </row>
    <row r="262" spans="1:5" x14ac:dyDescent="0.55000000000000004">
      <c r="A262" s="25">
        <v>91</v>
      </c>
      <c r="B262" s="4">
        <f t="shared" si="17"/>
        <v>2.7142236668381932</v>
      </c>
      <c r="C262" s="4">
        <f t="shared" si="18"/>
        <v>4.2207648566222957</v>
      </c>
      <c r="D262" s="4">
        <f t="shared" si="16"/>
        <v>186.58660986162883</v>
      </c>
      <c r="E262" s="4">
        <f t="shared" si="19"/>
        <v>185.16138751589193</v>
      </c>
    </row>
    <row r="263" spans="1:5" x14ac:dyDescent="0.55000000000000004">
      <c r="A263" s="25">
        <v>91.25</v>
      </c>
      <c r="B263" s="4">
        <f t="shared" si="17"/>
        <v>2.7126979681433814</v>
      </c>
      <c r="C263" s="4">
        <f t="shared" si="18"/>
        <v>4.2126652851461852</v>
      </c>
      <c r="D263" s="4">
        <f t="shared" si="16"/>
        <v>186.58150987905304</v>
      </c>
      <c r="E263" s="4">
        <f t="shared" si="19"/>
        <v>185.15902250923895</v>
      </c>
    </row>
    <row r="264" spans="1:5" x14ac:dyDescent="0.55000000000000004">
      <c r="A264" s="25">
        <v>91.5</v>
      </c>
      <c r="B264" s="4">
        <f t="shared" si="17"/>
        <v>2.711176380430802</v>
      </c>
      <c r="C264" s="4">
        <f t="shared" si="18"/>
        <v>4.2046047759173035</v>
      </c>
      <c r="D264" s="4">
        <f t="shared" si="16"/>
        <v>186.57632835366192</v>
      </c>
      <c r="E264" s="4">
        <f t="shared" si="19"/>
        <v>185.15656276965237</v>
      </c>
    </row>
    <row r="265" spans="1:5" x14ac:dyDescent="0.55000000000000004">
      <c r="A265" s="25">
        <v>91.75</v>
      </c>
      <c r="B265" s="4">
        <f t="shared" si="17"/>
        <v>2.7096588809240174</v>
      </c>
      <c r="C265" s="4">
        <f t="shared" si="18"/>
        <v>4.1965830345712112</v>
      </c>
      <c r="D265" s="4">
        <f t="shared" si="16"/>
        <v>186.57106612107802</v>
      </c>
      <c r="E265" s="4">
        <f t="shared" si="19"/>
        <v>185.15400923215256</v>
      </c>
    </row>
    <row r="266" spans="1:5" x14ac:dyDescent="0.55000000000000004">
      <c r="A266" s="25">
        <v>92</v>
      </c>
      <c r="B266" s="4">
        <f t="shared" si="17"/>
        <v>2.7081454470348381</v>
      </c>
      <c r="C266" s="4">
        <f t="shared" si="18"/>
        <v>4.18859976975875</v>
      </c>
      <c r="D266" s="4">
        <f t="shared" si="16"/>
        <v>186.56572400731329</v>
      </c>
      <c r="E266" s="4">
        <f t="shared" si="19"/>
        <v>185.15136282113104</v>
      </c>
    </row>
    <row r="267" spans="1:5" x14ac:dyDescent="0.55000000000000004">
      <c r="A267" s="25">
        <v>92.25</v>
      </c>
      <c r="B267" s="4">
        <f t="shared" si="17"/>
        <v>2.7066360563612601</v>
      </c>
      <c r="C267" s="4">
        <f t="shared" si="18"/>
        <v>4.1806546931070665</v>
      </c>
      <c r="D267" s="4">
        <f t="shared" si="16"/>
        <v>186.56030282890117</v>
      </c>
      <c r="E267" s="4">
        <f t="shared" si="19"/>
        <v>185.14862445049602</v>
      </c>
    </row>
    <row r="268" spans="1:5" x14ac:dyDescent="0.55000000000000004">
      <c r="A268" s="25">
        <v>92.5</v>
      </c>
      <c r="B268" s="4">
        <f t="shared" si="17"/>
        <v>2.7051306866854294</v>
      </c>
      <c r="C268" s="4">
        <f t="shared" si="18"/>
        <v>4.1727475191812253</v>
      </c>
      <c r="D268" s="4">
        <f t="shared" si="16"/>
        <v>186.55480339302684</v>
      </c>
      <c r="E268" s="4">
        <f t="shared" si="19"/>
        <v>185.14579502381517</v>
      </c>
    </row>
    <row r="269" spans="1:5" x14ac:dyDescent="0.55000000000000004">
      <c r="A269" s="25">
        <v>92.75</v>
      </c>
      <c r="B269" s="4">
        <f t="shared" si="17"/>
        <v>2.7036293159716287</v>
      </c>
      <c r="C269" s="4">
        <f t="shared" si="18"/>
        <v>4.164877965446391</v>
      </c>
      <c r="D269" s="4">
        <f t="shared" si="16"/>
        <v>186.54922649765501</v>
      </c>
      <c r="E269" s="4">
        <f t="shared" si="19"/>
        <v>185.14287543445658</v>
      </c>
    </row>
    <row r="270" spans="1:5" x14ac:dyDescent="0.55000000000000004">
      <c r="A270" s="25">
        <v>93</v>
      </c>
      <c r="B270" s="4">
        <f t="shared" si="17"/>
        <v>2.7021319223642988</v>
      </c>
      <c r="C270" s="4">
        <f t="shared" si="18"/>
        <v>4.1570457522306654</v>
      </c>
      <c r="D270" s="4">
        <f t="shared" si="16"/>
        <v>186.54357293165589</v>
      </c>
      <c r="E270" s="4">
        <f t="shared" si="19"/>
        <v>185.13986656572698</v>
      </c>
    </row>
    <row r="271" spans="1:5" x14ac:dyDescent="0.55000000000000004">
      <c r="A271" s="25">
        <v>93.25</v>
      </c>
      <c r="B271" s="4">
        <f t="shared" si="17"/>
        <v>2.7006384841860829</v>
      </c>
      <c r="C271" s="4">
        <f t="shared" si="18"/>
        <v>4.1492506026884231</v>
      </c>
      <c r="D271" s="4">
        <f t="shared" ref="D271:D318" si="20">$B$6*$B$12/9.81*($B$9*SQRT(2/($B$9-1)*(2/($B$9+1))^(($B$9+1)/($B$9-1))*(1 - (A271/$B$3)^(($B$9-1)/$B$9))) + C271/$B$3*(A271 - $E$5))</f>
        <v>186.53784347492908</v>
      </c>
      <c r="E271" s="4">
        <f t="shared" si="19"/>
        <v>185.13676929100825</v>
      </c>
    </row>
    <row r="272" spans="1:5" x14ac:dyDescent="0.55000000000000004">
      <c r="A272" s="25">
        <v>93.5</v>
      </c>
      <c r="B272" s="4">
        <f t="shared" ref="B272:B318" si="21">SQRT(2/($B$9-1)*((A272/$B$3)^((1-$B$9)/$B$9) - 1))</f>
        <v>2.699148979935897</v>
      </c>
      <c r="C272" s="4">
        <f t="shared" ref="C272:C318" si="22">1/B272*(2/($B$9+1)*(1 + ($B$9-1)/2*B272^2))^(($B$9+1)/(2*$B$9-2))</f>
        <v>4.1414922427642642</v>
      </c>
      <c r="D272" s="4">
        <f t="shared" si="20"/>
        <v>186.5320388985254</v>
      </c>
      <c r="E272" s="4">
        <f t="shared" ref="E272:E318" si="23">$B$6*$B$12/9.81*($B$9*SQRT(2/($B$9-1)*(2/($B$9+1))^(($B$9+1)/($B$9-1))*(1 - (A272/$B$3)^(($B$9-1)/$B$9))) + C272/$B$3*(A272 - $E$4))</f>
        <v>185.13358447389129</v>
      </c>
    </row>
    <row r="273" spans="1:5" x14ac:dyDescent="0.55000000000000004">
      <c r="A273" s="25">
        <v>93.75</v>
      </c>
      <c r="B273" s="4">
        <f t="shared" si="21"/>
        <v>2.6976633882870309</v>
      </c>
      <c r="C273" s="4">
        <f t="shared" si="22"/>
        <v>4.1337704011575243</v>
      </c>
      <c r="D273" s="4">
        <f t="shared" si="20"/>
        <v>186.52615996476695</v>
      </c>
      <c r="E273" s="4">
        <f t="shared" si="23"/>
        <v>185.13031296830806</v>
      </c>
    </row>
    <row r="274" spans="1:5" x14ac:dyDescent="0.55000000000000004">
      <c r="A274" s="25">
        <v>94</v>
      </c>
      <c r="B274" s="4">
        <f t="shared" si="21"/>
        <v>2.696181688085264</v>
      </c>
      <c r="C274" s="4">
        <f t="shared" si="22"/>
        <v>4.126084809287268</v>
      </c>
      <c r="D274" s="4">
        <f t="shared" si="20"/>
        <v>186.5202074273648</v>
      </c>
      <c r="E274" s="4">
        <f t="shared" si="23"/>
        <v>185.12695561866116</v>
      </c>
    </row>
    <row r="275" spans="1:5" x14ac:dyDescent="0.55000000000000004">
      <c r="A275" s="25">
        <v>94.25</v>
      </c>
      <c r="B275" s="4">
        <f t="shared" si="21"/>
        <v>2.6947038583470229</v>
      </c>
      <c r="C275" s="4">
        <f t="shared" si="22"/>
        <v>4.1184352012579231</v>
      </c>
      <c r="D275" s="4">
        <f t="shared" si="20"/>
        <v>186.51418203153563</v>
      </c>
      <c r="E275" s="4">
        <f t="shared" si="23"/>
        <v>185.12351325995203</v>
      </c>
    </row>
    <row r="276" spans="1:5" x14ac:dyDescent="0.55000000000000004">
      <c r="A276" s="25">
        <v>94.5</v>
      </c>
      <c r="B276" s="4">
        <f t="shared" si="21"/>
        <v>2.6932298782575455</v>
      </c>
      <c r="C276" s="4">
        <f t="shared" si="22"/>
        <v>4.1108213138253236</v>
      </c>
      <c r="D276" s="4">
        <f t="shared" si="20"/>
        <v>186.50808451411552</v>
      </c>
      <c r="E276" s="4">
        <f t="shared" si="23"/>
        <v>185.11998671790616</v>
      </c>
    </row>
    <row r="277" spans="1:5" x14ac:dyDescent="0.55000000000000004">
      <c r="A277" s="25">
        <v>94.75</v>
      </c>
      <c r="B277" s="4">
        <f t="shared" si="21"/>
        <v>2.6917597271690834</v>
      </c>
      <c r="C277" s="4">
        <f t="shared" si="22"/>
        <v>4.1032428863633568</v>
      </c>
      <c r="D277" s="4">
        <f t="shared" si="20"/>
        <v>186.50191560367281</v>
      </c>
      <c r="E277" s="4">
        <f t="shared" si="23"/>
        <v>185.11637680909737</v>
      </c>
    </row>
    <row r="278" spans="1:5" x14ac:dyDescent="0.55000000000000004">
      <c r="A278" s="25">
        <v>95</v>
      </c>
      <c r="B278" s="4">
        <f t="shared" si="21"/>
        <v>2.6902933845991219</v>
      </c>
      <c r="C278" s="4">
        <f t="shared" si="22"/>
        <v>4.0956996608310892</v>
      </c>
      <c r="D278" s="4">
        <f t="shared" si="20"/>
        <v>186.49567602061856</v>
      </c>
      <c r="E278" s="4">
        <f t="shared" si="23"/>
        <v>185.1126843410691</v>
      </c>
    </row>
    <row r="279" spans="1:5" x14ac:dyDescent="0.55000000000000004">
      <c r="A279" s="25">
        <v>95.25</v>
      </c>
      <c r="B279" s="4">
        <f t="shared" si="21"/>
        <v>2.6888308302286235</v>
      </c>
      <c r="C279" s="4">
        <f t="shared" si="22"/>
        <v>4.0881913817403603</v>
      </c>
      <c r="D279" s="4">
        <f t="shared" si="20"/>
        <v>186.48936647731554</v>
      </c>
      <c r="E279" s="4">
        <f t="shared" si="23"/>
        <v>185.10891011245468</v>
      </c>
    </row>
    <row r="280" spans="1:5" x14ac:dyDescent="0.55000000000000004">
      <c r="A280" s="25">
        <v>95.5</v>
      </c>
      <c r="B280" s="4">
        <f t="shared" si="21"/>
        <v>2.6873720439002993</v>
      </c>
      <c r="C280" s="4">
        <f t="shared" si="22"/>
        <v>4.0807177961239347</v>
      </c>
      <c r="D280" s="4">
        <f t="shared" si="20"/>
        <v>186.48298767818568</v>
      </c>
      <c r="E280" s="4">
        <f t="shared" si="23"/>
        <v>185.10505491309527</v>
      </c>
    </row>
    <row r="281" spans="1:5" x14ac:dyDescent="0.55000000000000004">
      <c r="A281" s="25">
        <v>95.75</v>
      </c>
      <c r="B281" s="4">
        <f t="shared" si="21"/>
        <v>2.6859170056168944</v>
      </c>
      <c r="C281" s="4">
        <f t="shared" si="22"/>
        <v>4.0732786535040493</v>
      </c>
      <c r="D281" s="4">
        <f t="shared" si="20"/>
        <v>186.47654031981523</v>
      </c>
      <c r="E281" s="4">
        <f t="shared" si="23"/>
        <v>185.10111952415576</v>
      </c>
    </row>
    <row r="282" spans="1:5" x14ac:dyDescent="0.55000000000000004">
      <c r="A282" s="25">
        <v>96</v>
      </c>
      <c r="B282" s="4">
        <f t="shared" si="21"/>
        <v>2.6844656955395063</v>
      </c>
      <c r="C282" s="4">
        <f t="shared" si="22"/>
        <v>4.0658737058615069</v>
      </c>
      <c r="D282" s="4">
        <f t="shared" si="20"/>
        <v>186.47002509105917</v>
      </c>
      <c r="E282" s="4">
        <f t="shared" si="23"/>
        <v>185.09710471823956</v>
      </c>
    </row>
    <row r="283" spans="1:5" x14ac:dyDescent="0.55000000000000004">
      <c r="A283" s="25">
        <v>96.25</v>
      </c>
      <c r="B283" s="4">
        <f t="shared" si="21"/>
        <v>2.6830180939859178</v>
      </c>
      <c r="C283" s="4">
        <f t="shared" si="22"/>
        <v>4.0585027076052107</v>
      </c>
      <c r="D283" s="4">
        <f t="shared" si="20"/>
        <v>186.46344267314305</v>
      </c>
      <c r="E283" s="4">
        <f t="shared" si="23"/>
        <v>185.09301125950074</v>
      </c>
    </row>
    <row r="284" spans="1:5" x14ac:dyDescent="0.55000000000000004">
      <c r="A284" s="25">
        <v>96.5</v>
      </c>
      <c r="B284" s="4">
        <f t="shared" si="21"/>
        <v>2.6815741814289562</v>
      </c>
      <c r="C284" s="4">
        <f t="shared" si="22"/>
        <v>4.0511654155421128</v>
      </c>
      <c r="D284" s="4">
        <f t="shared" si="20"/>
        <v>186.45679373976387</v>
      </c>
      <c r="E284" s="4">
        <f t="shared" si="23"/>
        <v>185.0888399037552</v>
      </c>
    </row>
    <row r="285" spans="1:5" x14ac:dyDescent="0.55000000000000004">
      <c r="A285" s="25">
        <v>96.75</v>
      </c>
      <c r="B285" s="4">
        <f t="shared" si="21"/>
        <v>2.6801339384948677</v>
      </c>
      <c r="C285" s="4">
        <f t="shared" si="22"/>
        <v>4.0438615888476779</v>
      </c>
      <c r="D285" s="4">
        <f t="shared" si="20"/>
        <v>186.45007895718922</v>
      </c>
      <c r="E285" s="4">
        <f t="shared" si="23"/>
        <v>185.08459139858945</v>
      </c>
    </row>
    <row r="286" spans="1:5" x14ac:dyDescent="0.55000000000000004">
      <c r="A286" s="25">
        <v>97</v>
      </c>
      <c r="B286" s="4">
        <f t="shared" si="21"/>
        <v>2.6786973459617234</v>
      </c>
      <c r="C286" s="4">
        <f t="shared" si="22"/>
        <v>4.0365909890367488</v>
      </c>
      <c r="D286" s="4">
        <f t="shared" si="20"/>
        <v>186.44329898435481</v>
      </c>
      <c r="E286" s="4">
        <f t="shared" si="23"/>
        <v>185.08026648346839</v>
      </c>
    </row>
    <row r="287" spans="1:5" x14ac:dyDescent="0.55000000000000004">
      <c r="A287" s="25">
        <v>97.25</v>
      </c>
      <c r="B287" s="4">
        <f t="shared" si="21"/>
        <v>2.6772643847578341</v>
      </c>
      <c r="C287" s="4">
        <f t="shared" si="22"/>
        <v>4.029353379934828</v>
      </c>
      <c r="D287" s="4">
        <f t="shared" si="20"/>
        <v>186.43645447296063</v>
      </c>
      <c r="E287" s="4">
        <f t="shared" si="23"/>
        <v>185.07586588984086</v>
      </c>
    </row>
    <row r="288" spans="1:5" x14ac:dyDescent="0.55000000000000004">
      <c r="A288" s="25">
        <v>97.5</v>
      </c>
      <c r="B288" s="4">
        <f t="shared" si="21"/>
        <v>2.675835035960195</v>
      </c>
      <c r="C288" s="4">
        <f t="shared" si="22"/>
        <v>4.0221485276498425</v>
      </c>
      <c r="D288" s="4">
        <f t="shared" si="20"/>
        <v>186.4295460675655</v>
      </c>
      <c r="E288" s="4">
        <f t="shared" si="23"/>
        <v>185.07139034124373</v>
      </c>
    </row>
    <row r="289" spans="1:5" x14ac:dyDescent="0.55000000000000004">
      <c r="A289" s="25">
        <v>97.75</v>
      </c>
      <c r="B289" s="4">
        <f t="shared" si="21"/>
        <v>2.6744092807929456</v>
      </c>
      <c r="C289" s="4">
        <f t="shared" si="22"/>
        <v>4.0149762005442646</v>
      </c>
      <c r="D289" s="4">
        <f t="shared" si="20"/>
        <v>186.42257440568008</v>
      </c>
      <c r="E289" s="4">
        <f t="shared" si="23"/>
        <v>185.06684055340463</v>
      </c>
    </row>
    <row r="290" spans="1:5" x14ac:dyDescent="0.55000000000000004">
      <c r="A290" s="25">
        <v>98</v>
      </c>
      <c r="B290" s="4">
        <f t="shared" si="21"/>
        <v>2.6729871006258503</v>
      </c>
      <c r="C290" s="4">
        <f t="shared" si="22"/>
        <v>4.0078361692076712</v>
      </c>
      <c r="D290" s="4">
        <f t="shared" si="20"/>
        <v>186.41554011785885</v>
      </c>
      <c r="E290" s="4">
        <f t="shared" si="23"/>
        <v>185.06221723434282</v>
      </c>
    </row>
    <row r="291" spans="1:5" x14ac:dyDescent="0.55000000000000004">
      <c r="A291" s="25">
        <v>98.25</v>
      </c>
      <c r="B291" s="4">
        <f t="shared" si="21"/>
        <v>2.6715684769728005</v>
      </c>
      <c r="C291" s="4">
        <f t="shared" si="22"/>
        <v>4.0007282064297156</v>
      </c>
      <c r="D291" s="4">
        <f t="shared" si="20"/>
        <v>186.40844382779028</v>
      </c>
      <c r="E291" s="4">
        <f t="shared" si="23"/>
        <v>185.0575210844687</v>
      </c>
    </row>
    <row r="292" spans="1:5" x14ac:dyDescent="0.55000000000000004">
      <c r="A292" s="25">
        <v>98.5</v>
      </c>
      <c r="B292" s="4">
        <f t="shared" si="21"/>
        <v>2.6701533914903317</v>
      </c>
      <c r="C292" s="4">
        <f t="shared" si="22"/>
        <v>3.9936520871734666</v>
      </c>
      <c r="D292" s="4">
        <f t="shared" si="20"/>
        <v>186.40128615238567</v>
      </c>
      <c r="E292" s="4">
        <f t="shared" si="23"/>
        <v>185.05275279668166</v>
      </c>
    </row>
    <row r="293" spans="1:5" x14ac:dyDescent="0.55000000000000004">
      <c r="A293" s="25">
        <v>98.75</v>
      </c>
      <c r="B293" s="4">
        <f t="shared" si="21"/>
        <v>2.6687418259761655</v>
      </c>
      <c r="C293" s="4">
        <f t="shared" si="22"/>
        <v>3.9866075885491705</v>
      </c>
      <c r="D293" s="4">
        <f t="shared" si="20"/>
        <v>186.39406770186676</v>
      </c>
      <c r="E293" s="4">
        <f t="shared" si="23"/>
        <v>185.04791305646646</v>
      </c>
    </row>
    <row r="294" spans="1:5" x14ac:dyDescent="0.55000000000000004">
      <c r="A294" s="25">
        <v>99</v>
      </c>
      <c r="B294" s="4">
        <f t="shared" si="21"/>
        <v>2.6673337623677629</v>
      </c>
      <c r="C294" s="4">
        <f t="shared" si="22"/>
        <v>3.9795944897883611</v>
      </c>
      <c r="D294" s="4">
        <f t="shared" si="20"/>
        <v>186.38678907985229</v>
      </c>
      <c r="E294" s="4">
        <f t="shared" si="23"/>
        <v>185.04300254198847</v>
      </c>
    </row>
    <row r="295" spans="1:5" x14ac:dyDescent="0.55000000000000004">
      <c r="A295" s="25">
        <v>99.25</v>
      </c>
      <c r="B295" s="4">
        <f t="shared" si="21"/>
        <v>2.6659291827409044</v>
      </c>
      <c r="C295" s="4">
        <f t="shared" si="22"/>
        <v>3.9726125722183911</v>
      </c>
      <c r="D295" s="4">
        <f t="shared" si="20"/>
        <v>186.3794508834423</v>
      </c>
      <c r="E295" s="4">
        <f t="shared" si="23"/>
        <v>185.03802192418684</v>
      </c>
    </row>
    <row r="296" spans="1:5" x14ac:dyDescent="0.55000000000000004">
      <c r="A296" s="25">
        <v>99.5</v>
      </c>
      <c r="B296" s="4">
        <f t="shared" si="21"/>
        <v>2.6645280693082807</v>
      </c>
      <c r="C296" s="4">
        <f t="shared" si="22"/>
        <v>3.9656616192372809</v>
      </c>
      <c r="D296" s="4">
        <f t="shared" si="20"/>
        <v>186.37205370330256</v>
      </c>
      <c r="E296" s="4">
        <f t="shared" si="23"/>
        <v>185.03297186686706</v>
      </c>
    </row>
    <row r="297" spans="1:5" x14ac:dyDescent="0.55000000000000004">
      <c r="A297" s="25">
        <v>99.75</v>
      </c>
      <c r="B297" s="4">
        <f t="shared" si="21"/>
        <v>2.663130404418105</v>
      </c>
      <c r="C297" s="4">
        <f t="shared" si="22"/>
        <v>3.9587414162889609</v>
      </c>
      <c r="D297" s="4">
        <f t="shared" si="20"/>
        <v>186.36459812374613</v>
      </c>
      <c r="E297" s="4">
        <f t="shared" si="23"/>
        <v>185.02785302679129</v>
      </c>
    </row>
    <row r="298" spans="1:5" x14ac:dyDescent="0.55000000000000004">
      <c r="A298" s="25">
        <v>100</v>
      </c>
      <c r="B298" s="4">
        <f t="shared" si="21"/>
        <v>2.661736170552742</v>
      </c>
      <c r="C298" s="4">
        <f t="shared" si="22"/>
        <v>3.951851750838876</v>
      </c>
      <c r="D298" s="4">
        <f t="shared" si="20"/>
        <v>186.35708472281522</v>
      </c>
      <c r="E298" s="4">
        <f t="shared" si="23"/>
        <v>185.02266605376806</v>
      </c>
    </row>
    <row r="299" spans="1:5" x14ac:dyDescent="0.55000000000000004">
      <c r="A299" s="25">
        <v>100.25</v>
      </c>
      <c r="B299" s="4">
        <f t="shared" si="21"/>
        <v>2.660345350327356</v>
      </c>
      <c r="C299" s="4">
        <f t="shared" si="22"/>
        <v>3.9449924123499325</v>
      </c>
      <c r="D299" s="4">
        <f t="shared" si="20"/>
        <v>186.34951407236062</v>
      </c>
      <c r="E299" s="4">
        <f t="shared" si="23"/>
        <v>185.01741159074004</v>
      </c>
    </row>
    <row r="300" spans="1:5" x14ac:dyDescent="0.55000000000000004">
      <c r="A300" s="25">
        <v>100.5</v>
      </c>
      <c r="B300" s="4">
        <f t="shared" si="21"/>
        <v>2.6589579264885708</v>
      </c>
      <c r="C300" s="4">
        <f t="shared" si="22"/>
        <v>3.9381631922587741</v>
      </c>
      <c r="D300" s="4">
        <f t="shared" si="20"/>
        <v>186.34188673812091</v>
      </c>
      <c r="E300" s="4">
        <f t="shared" si="23"/>
        <v>185.01209027387122</v>
      </c>
    </row>
    <row r="301" spans="1:5" x14ac:dyDescent="0.55000000000000004">
      <c r="A301" s="25">
        <v>100.75</v>
      </c>
      <c r="B301" s="4">
        <f t="shared" si="21"/>
        <v>2.6575738819131516</v>
      </c>
      <c r="C301" s="4">
        <f t="shared" si="22"/>
        <v>3.9313638839524354</v>
      </c>
      <c r="D301" s="4">
        <f t="shared" si="20"/>
        <v>186.33420327979934</v>
      </c>
      <c r="E301" s="4">
        <f t="shared" si="23"/>
        <v>185.00670273263171</v>
      </c>
    </row>
    <row r="302" spans="1:5" x14ac:dyDescent="0.55000000000000004">
      <c r="A302" s="25">
        <v>101</v>
      </c>
      <c r="B302" s="4">
        <f t="shared" si="21"/>
        <v>2.6561931996067045</v>
      </c>
      <c r="C302" s="4">
        <f t="shared" si="22"/>
        <v>3.9245942827452933</v>
      </c>
      <c r="D302" s="4">
        <f t="shared" si="20"/>
        <v>186.32646425114095</v>
      </c>
      <c r="E302" s="4">
        <f t="shared" si="23"/>
        <v>185.0012495898826</v>
      </c>
    </row>
    <row r="303" spans="1:5" x14ac:dyDescent="0.55000000000000004">
      <c r="A303" s="25">
        <v>101.25</v>
      </c>
      <c r="B303" s="4">
        <f t="shared" si="21"/>
        <v>2.654815862702383</v>
      </c>
      <c r="C303" s="4">
        <f t="shared" si="22"/>
        <v>3.9178541858563602</v>
      </c>
      <c r="D303" s="4">
        <f t="shared" si="20"/>
        <v>186.31867020000729</v>
      </c>
      <c r="E303" s="4">
        <f t="shared" si="23"/>
        <v>184.99573146195831</v>
      </c>
    </row>
    <row r="304" spans="1:5" x14ac:dyDescent="0.55000000000000004">
      <c r="A304" s="25">
        <v>101.5</v>
      </c>
      <c r="B304" s="4">
        <f t="shared" si="21"/>
        <v>2.6534418544596234</v>
      </c>
      <c r="C304" s="4">
        <f t="shared" si="22"/>
        <v>3.9111433923869097</v>
      </c>
      <c r="D304" s="4">
        <f t="shared" si="20"/>
        <v>186.31082166845087</v>
      </c>
      <c r="E304" s="4">
        <f t="shared" si="23"/>
        <v>184.9901489587487</v>
      </c>
    </row>
    <row r="305" spans="1:5" x14ac:dyDescent="0.55000000000000004">
      <c r="A305" s="25">
        <v>101.75</v>
      </c>
      <c r="B305" s="4">
        <f t="shared" si="21"/>
        <v>2.6520711582628849</v>
      </c>
      <c r="C305" s="4">
        <f t="shared" si="22"/>
        <v>3.9044617032984141</v>
      </c>
      <c r="D305" s="4">
        <f t="shared" si="20"/>
        <v>186.3029191927881</v>
      </c>
      <c r="E305" s="4">
        <f t="shared" si="23"/>
        <v>184.98450268377931</v>
      </c>
    </row>
    <row r="306" spans="1:5" x14ac:dyDescent="0.55000000000000004">
      <c r="A306" s="25">
        <v>102</v>
      </c>
      <c r="B306" s="4">
        <f t="shared" si="21"/>
        <v>2.6507037576204118</v>
      </c>
      <c r="C306" s="4">
        <f t="shared" si="22"/>
        <v>3.8978089213907654</v>
      </c>
      <c r="D306" s="4">
        <f t="shared" si="20"/>
        <v>186.29496330367118</v>
      </c>
      <c r="E306" s="4">
        <f t="shared" si="23"/>
        <v>184.97879323429083</v>
      </c>
    </row>
    <row r="307" spans="1:5" x14ac:dyDescent="0.55000000000000004">
      <c r="A307" s="25">
        <v>102.25</v>
      </c>
      <c r="B307" s="4">
        <f t="shared" si="21"/>
        <v>2.6493396361630088</v>
      </c>
      <c r="C307" s="4">
        <f t="shared" si="22"/>
        <v>3.8911848512808684</v>
      </c>
      <c r="D307" s="4">
        <f t="shared" si="20"/>
        <v>186.28695452615912</v>
      </c>
      <c r="E307" s="4">
        <f t="shared" si="23"/>
        <v>184.97302120131707</v>
      </c>
    </row>
    <row r="308" spans="1:5" x14ac:dyDescent="0.55000000000000004">
      <c r="A308" s="25">
        <v>102.5</v>
      </c>
      <c r="B308" s="4">
        <f t="shared" si="21"/>
        <v>2.6479787776428321</v>
      </c>
      <c r="C308" s="4">
        <f t="shared" si="22"/>
        <v>3.8845892993814601</v>
      </c>
      <c r="D308" s="4">
        <f t="shared" si="20"/>
        <v>186.27889337978766</v>
      </c>
      <c r="E308" s="4">
        <f t="shared" si="23"/>
        <v>184.96718716976213</v>
      </c>
    </row>
    <row r="309" spans="1:5" x14ac:dyDescent="0.55000000000000004">
      <c r="A309" s="25">
        <v>102.75</v>
      </c>
      <c r="B309" s="4">
        <f t="shared" si="21"/>
        <v>2.6466211659321921</v>
      </c>
      <c r="C309" s="4">
        <f t="shared" si="22"/>
        <v>3.8780220738802833</v>
      </c>
      <c r="D309" s="4">
        <f t="shared" si="20"/>
        <v>186.27078037863777</v>
      </c>
      <c r="E309" s="4">
        <f t="shared" si="23"/>
        <v>184.96129171847625</v>
      </c>
    </row>
    <row r="310" spans="1:5" x14ac:dyDescent="0.55000000000000004">
      <c r="A310" s="25">
        <v>103</v>
      </c>
      <c r="B310" s="4">
        <f t="shared" si="21"/>
        <v>2.6452667850223777</v>
      </c>
      <c r="C310" s="4">
        <f t="shared" si="22"/>
        <v>3.871482984719524</v>
      </c>
      <c r="D310" s="4">
        <f t="shared" si="20"/>
        <v>186.26261603140392</v>
      </c>
      <c r="E310" s="4">
        <f t="shared" si="23"/>
        <v>184.95533542033053</v>
      </c>
    </row>
    <row r="311" spans="1:5" x14ac:dyDescent="0.55000000000000004">
      <c r="A311" s="25">
        <v>103.25</v>
      </c>
      <c r="B311" s="4">
        <f t="shared" si="21"/>
        <v>2.6439156190224882</v>
      </c>
      <c r="C311" s="4">
        <f t="shared" si="22"/>
        <v>3.8649718435755553</v>
      </c>
      <c r="D311" s="4">
        <f t="shared" si="20"/>
        <v>186.25440084146064</v>
      </c>
      <c r="E311" s="4">
        <f t="shared" si="23"/>
        <v>184.9493188422905</v>
      </c>
    </row>
    <row r="312" spans="1:5" x14ac:dyDescent="0.55000000000000004">
      <c r="A312" s="25">
        <v>103.5</v>
      </c>
      <c r="B312" s="4">
        <f t="shared" si="21"/>
        <v>2.6425676521582804</v>
      </c>
      <c r="C312" s="4">
        <f t="shared" si="22"/>
        <v>3.8584884638389245</v>
      </c>
      <c r="D312" s="4">
        <f t="shared" si="20"/>
        <v>186.24613530692841</v>
      </c>
      <c r="E312" s="4">
        <f t="shared" si="23"/>
        <v>184.94324254548897</v>
      </c>
    </row>
    <row r="313" spans="1:5" x14ac:dyDescent="0.55000000000000004">
      <c r="A313" s="25">
        <v>103.75</v>
      </c>
      <c r="B313" s="4">
        <f t="shared" si="21"/>
        <v>2.6412228687710377</v>
      </c>
      <c r="C313" s="4">
        <f t="shared" si="22"/>
        <v>3.8520326605946833</v>
      </c>
      <c r="D313" s="4">
        <f t="shared" si="20"/>
        <v>186.23781992073867</v>
      </c>
      <c r="E313" s="4">
        <f t="shared" si="23"/>
        <v>184.93710708529744</v>
      </c>
    </row>
    <row r="314" spans="1:5" x14ac:dyDescent="0.55000000000000004">
      <c r="A314" s="25">
        <v>104</v>
      </c>
      <c r="B314" s="4">
        <f t="shared" si="21"/>
        <v>2.6398812533164375</v>
      </c>
      <c r="C314" s="4">
        <f t="shared" si="22"/>
        <v>3.8456042506029142</v>
      </c>
      <c r="D314" s="4">
        <f t="shared" si="20"/>
        <v>186.22945517069755</v>
      </c>
      <c r="E314" s="4">
        <f t="shared" si="23"/>
        <v>184.93091301139657</v>
      </c>
    </row>
    <row r="315" spans="1:5" x14ac:dyDescent="0.55000000000000004">
      <c r="A315" s="25">
        <v>104.25</v>
      </c>
      <c r="B315" s="4">
        <f t="shared" si="21"/>
        <v>2.6385427903634513</v>
      </c>
      <c r="C315" s="4">
        <f t="shared" si="22"/>
        <v>3.8392030522796143</v>
      </c>
      <c r="D315" s="4">
        <f t="shared" si="20"/>
        <v>186.22104153954939</v>
      </c>
      <c r="E315" s="4">
        <f t="shared" si="23"/>
        <v>184.92466086784597</v>
      </c>
    </row>
    <row r="316" spans="1:5" x14ac:dyDescent="0.55000000000000004">
      <c r="A316" s="25">
        <v>104.5</v>
      </c>
      <c r="B316" s="4">
        <f t="shared" si="21"/>
        <v>2.6372074645932391</v>
      </c>
      <c r="C316" s="4">
        <f t="shared" si="22"/>
        <v>3.8328288856777326</v>
      </c>
      <c r="D316" s="4">
        <f t="shared" si="20"/>
        <v>186.21257950503821</v>
      </c>
      <c r="E316" s="4">
        <f t="shared" si="23"/>
        <v>184.91835119315232</v>
      </c>
    </row>
    <row r="317" spans="1:5" x14ac:dyDescent="0.55000000000000004">
      <c r="A317" s="25">
        <v>104.75</v>
      </c>
      <c r="B317" s="4">
        <f t="shared" si="21"/>
        <v>2.6358752607980716</v>
      </c>
      <c r="C317" s="4">
        <f t="shared" si="22"/>
        <v>3.8264815724686003</v>
      </c>
      <c r="D317" s="4">
        <f t="shared" si="20"/>
        <v>186.20406953996951</v>
      </c>
      <c r="E317" s="4">
        <f t="shared" si="23"/>
        <v>184.91198452033706</v>
      </c>
    </row>
    <row r="318" spans="1:5" x14ac:dyDescent="0.55000000000000004">
      <c r="A318" s="25">
        <v>105</v>
      </c>
      <c r="B318" s="4">
        <f t="shared" si="21"/>
        <v>2.6345461638802594</v>
      </c>
      <c r="C318" s="4">
        <f t="shared" si="22"/>
        <v>3.8201609359234765</v>
      </c>
      <c r="D318" s="4">
        <f t="shared" si="20"/>
        <v>186.19551211227025</v>
      </c>
      <c r="E318" s="4">
        <f t="shared" si="23"/>
        <v>184.90556137700321</v>
      </c>
    </row>
  </sheetData>
  <pageMargins left="0.7" right="0.7" top="0.75" bottom="0.75" header="0.3" footer="0.3"/>
  <pageSetup orientation="portrait" horizontalDpi="300" verticalDpi="30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S318"/>
  <sheetViews>
    <sheetView zoomScaleNormal="100" workbookViewId="0">
      <selection activeCell="E1" sqref="E1"/>
    </sheetView>
  </sheetViews>
  <sheetFormatPr defaultRowHeight="14.4" x14ac:dyDescent="0.55000000000000004"/>
  <cols>
    <col min="1" max="1" width="11.68359375" bestFit="1" customWidth="1"/>
    <col min="2" max="3" width="9" bestFit="1" customWidth="1"/>
    <col min="4" max="5" width="9.578125" bestFit="1" customWidth="1"/>
    <col min="8" max="8" width="10.26171875" customWidth="1"/>
    <col min="9" max="9" width="9.578125" bestFit="1" customWidth="1"/>
    <col min="11" max="11" width="22.68359375" customWidth="1"/>
    <col min="12" max="12" width="11" bestFit="1" customWidth="1"/>
    <col min="14" max="14" width="9.15625" customWidth="1"/>
  </cols>
  <sheetData>
    <row r="1" spans="1:16" x14ac:dyDescent="0.55000000000000004">
      <c r="A1" s="25" t="s">
        <v>0</v>
      </c>
      <c r="B1" s="12">
        <v>6000</v>
      </c>
      <c r="C1" s="25" t="str">
        <f>"---&gt;"</f>
        <v>---&gt;</v>
      </c>
      <c r="D1" s="1" t="s">
        <v>1</v>
      </c>
      <c r="E1" s="4">
        <f>SQRT(2*9.81*(B1)) + E2</f>
        <v>568.10348293189918</v>
      </c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</row>
    <row r="2" spans="1:16" ht="16.8" x14ac:dyDescent="0.75">
      <c r="A2" s="25" t="s">
        <v>2</v>
      </c>
      <c r="B2" s="12">
        <v>4.5</v>
      </c>
      <c r="C2" s="25"/>
      <c r="D2" s="25" t="s">
        <v>81</v>
      </c>
      <c r="E2" s="12">
        <v>225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</row>
    <row r="3" spans="1:16" ht="16.8" x14ac:dyDescent="0.75">
      <c r="A3" s="25" t="s">
        <v>3</v>
      </c>
      <c r="B3" s="13">
        <f>CONVERT(350,"psi","Pa")/1000</f>
        <v>2413.165052608927</v>
      </c>
      <c r="C3" s="25"/>
      <c r="D3" s="25" t="s">
        <v>4</v>
      </c>
      <c r="E3" s="25">
        <v>1401</v>
      </c>
      <c r="F3" s="10" t="s">
        <v>77</v>
      </c>
      <c r="G3" s="25"/>
      <c r="H3" s="25"/>
      <c r="I3" s="25"/>
      <c r="J3" s="25"/>
      <c r="K3" s="25">
        <f>CONVERT(700, "psi", "kPa")</f>
        <v>4826.330105217854</v>
      </c>
      <c r="L3" s="25"/>
      <c r="M3" s="25"/>
      <c r="N3" s="25"/>
      <c r="O3" s="25"/>
      <c r="P3" s="25"/>
    </row>
    <row r="4" spans="1:16" ht="16.8" x14ac:dyDescent="0.75">
      <c r="A4" s="1" t="s">
        <v>78</v>
      </c>
      <c r="B4" s="12">
        <v>3500</v>
      </c>
      <c r="C4" s="25"/>
      <c r="D4" s="25" t="s">
        <v>6</v>
      </c>
      <c r="E4" s="4">
        <f>101.325*(1 - 0.0065*E3/288.16)^(-9.81/-0.0065/287)</f>
        <v>85.581205816462187</v>
      </c>
      <c r="F4" s="2" t="s">
        <v>7</v>
      </c>
      <c r="G4" s="25"/>
      <c r="H4" s="25"/>
      <c r="I4" s="25"/>
      <c r="J4" s="25"/>
      <c r="K4" s="25"/>
      <c r="L4" s="25"/>
      <c r="M4" s="25"/>
      <c r="N4" s="25"/>
      <c r="O4" s="25"/>
      <c r="P4" s="25"/>
    </row>
    <row r="5" spans="1:16" ht="16.8" x14ac:dyDescent="0.75">
      <c r="A5" s="1" t="s">
        <v>8</v>
      </c>
      <c r="B5" s="25">
        <v>0.9</v>
      </c>
      <c r="C5" s="25"/>
      <c r="D5" s="25" t="s">
        <v>82</v>
      </c>
      <c r="E5" s="12">
        <v>1091</v>
      </c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</row>
    <row r="6" spans="1:16" ht="16.8" x14ac:dyDescent="0.75">
      <c r="A6" s="1" t="s">
        <v>11</v>
      </c>
      <c r="B6" s="25">
        <v>0.9</v>
      </c>
      <c r="C6" s="25"/>
      <c r="D6" s="1" t="s">
        <v>9</v>
      </c>
      <c r="E6" s="4">
        <f>101.325*(1 - 0.0065*2/3*(E5 + E3)/288.16)^(-9.81/-0.0065/287)</f>
        <v>82.887185082332891</v>
      </c>
      <c r="F6" s="2" t="s">
        <v>83</v>
      </c>
      <c r="G6" s="25"/>
      <c r="H6" s="25"/>
      <c r="I6" s="25"/>
      <c r="J6" s="25"/>
      <c r="K6" s="25"/>
      <c r="L6" s="25"/>
      <c r="M6" s="25"/>
      <c r="N6" s="25"/>
      <c r="O6" s="25"/>
      <c r="P6" s="25"/>
    </row>
    <row r="7" spans="1:16" ht="16.8" x14ac:dyDescent="0.75">
      <c r="A7" s="1" t="s">
        <v>12</v>
      </c>
      <c r="B7" s="25">
        <f>19/30</f>
        <v>0.6333333333333333</v>
      </c>
      <c r="C7" s="25"/>
      <c r="D7" s="25"/>
      <c r="E7" s="25"/>
      <c r="F7" s="25"/>
      <c r="G7" s="25"/>
      <c r="H7" s="25"/>
      <c r="I7" s="25"/>
      <c r="J7" s="25"/>
      <c r="K7" s="25"/>
      <c r="L7" s="25"/>
      <c r="M7" s="25" t="s">
        <v>84</v>
      </c>
      <c r="N7" s="25"/>
      <c r="O7" s="25"/>
      <c r="P7" s="25"/>
    </row>
    <row r="8" spans="1:16" x14ac:dyDescent="0.55000000000000004">
      <c r="A8" s="25"/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 t="s">
        <v>85</v>
      </c>
      <c r="N8" s="25">
        <f>CONVERT(1.45, "in", "m")</f>
        <v>3.6830000000000002E-2</v>
      </c>
      <c r="O8" s="25">
        <f>PI()*N8^2/4</f>
        <v>1.0653524748024891E-3</v>
      </c>
      <c r="P8" s="25"/>
    </row>
    <row r="9" spans="1:16" x14ac:dyDescent="0.55000000000000004">
      <c r="A9" s="1" t="s">
        <v>13</v>
      </c>
      <c r="B9" s="25">
        <v>1.2343</v>
      </c>
      <c r="C9" s="25"/>
      <c r="D9" s="25"/>
      <c r="E9" s="25"/>
      <c r="F9" s="25"/>
      <c r="G9" s="25"/>
      <c r="H9" s="25" t="s">
        <v>73</v>
      </c>
      <c r="I9" s="25"/>
      <c r="J9" s="25"/>
      <c r="K9" s="25"/>
      <c r="L9" s="25"/>
      <c r="M9" s="25" t="s">
        <v>86</v>
      </c>
      <c r="N9" s="25">
        <f>CONVERT(3.275, "in", "m")</f>
        <v>8.3184999999999995E-2</v>
      </c>
      <c r="O9" s="25">
        <f>PI()*N9^2/4</f>
        <v>5.4347544054950984E-3</v>
      </c>
      <c r="P9" s="25"/>
    </row>
    <row r="10" spans="1:16" x14ac:dyDescent="0.55000000000000004">
      <c r="A10" s="1" t="s">
        <v>15</v>
      </c>
      <c r="B10" s="25">
        <v>23.103000000000002</v>
      </c>
      <c r="C10" s="25" t="str">
        <f>"---&gt;"</f>
        <v>---&gt;</v>
      </c>
      <c r="D10" s="25" t="s">
        <v>16</v>
      </c>
      <c r="E10" s="25">
        <f>8314/B10</f>
        <v>359.86668398043543</v>
      </c>
      <c r="F10" s="25"/>
      <c r="G10" s="25"/>
      <c r="H10" s="4">
        <f>E240</f>
        <v>185.18741297938845</v>
      </c>
      <c r="I10" s="25"/>
      <c r="J10" s="25"/>
      <c r="K10" s="25"/>
      <c r="L10" s="25"/>
      <c r="M10" s="6"/>
      <c r="N10" s="25" t="s">
        <v>87</v>
      </c>
      <c r="O10" s="25"/>
      <c r="P10" s="25"/>
    </row>
    <row r="11" spans="1:16" ht="16.8" x14ac:dyDescent="0.75">
      <c r="A11" s="1" t="s">
        <v>17</v>
      </c>
      <c r="B11" s="25">
        <v>2825.98</v>
      </c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</row>
    <row r="12" spans="1:16" x14ac:dyDescent="0.55000000000000004">
      <c r="A12" s="1" t="s">
        <v>18</v>
      </c>
      <c r="B12" s="4">
        <f>B5*SQRT(B9*E10*B11)/B9/(2/(B9 + 1))^((B9 + 1)/(2*B9 - 2))</f>
        <v>1385.4302060307175</v>
      </c>
      <c r="C12" s="25"/>
      <c r="D12" s="25"/>
      <c r="E12" s="25"/>
      <c r="F12" s="25"/>
      <c r="G12" s="25"/>
      <c r="H12" s="25" t="s">
        <v>19</v>
      </c>
      <c r="I12" s="25"/>
      <c r="J12" s="25" t="s">
        <v>20</v>
      </c>
      <c r="K12" s="25"/>
      <c r="L12" s="25"/>
      <c r="M12" s="25" t="s">
        <v>21</v>
      </c>
      <c r="N12" s="25"/>
      <c r="O12" s="25"/>
      <c r="P12" s="10" t="s">
        <v>63</v>
      </c>
    </row>
    <row r="13" spans="1:16" ht="16.8" x14ac:dyDescent="0.75">
      <c r="A13" s="25"/>
      <c r="B13" s="25"/>
      <c r="C13" s="25"/>
      <c r="D13" s="9" t="s">
        <v>22</v>
      </c>
      <c r="E13" s="3" t="s">
        <v>23</v>
      </c>
      <c r="F13" s="25"/>
      <c r="G13" s="25"/>
      <c r="H13" s="1" t="s">
        <v>24</v>
      </c>
      <c r="I13" s="25">
        <f>0.2*B3</f>
        <v>482.63301052178542</v>
      </c>
      <c r="J13" s="25">
        <f>CONVERT(I13*1000, "Pa", "psi")</f>
        <v>70.000000000000014</v>
      </c>
      <c r="K13" s="25"/>
      <c r="L13" s="25"/>
      <c r="M13" s="1" t="s">
        <v>28</v>
      </c>
      <c r="N13" s="4">
        <f>C240</f>
        <v>4.4094748743202601</v>
      </c>
      <c r="O13" s="25" t="s">
        <v>64</v>
      </c>
      <c r="P13" s="25"/>
    </row>
    <row r="14" spans="1:16" ht="17.7" x14ac:dyDescent="0.75">
      <c r="A14" s="25" t="s">
        <v>26</v>
      </c>
      <c r="B14" s="25" t="s">
        <v>27</v>
      </c>
      <c r="C14" s="1" t="s">
        <v>28</v>
      </c>
      <c r="D14" s="1" t="s">
        <v>29</v>
      </c>
      <c r="E14" s="1" t="s">
        <v>29</v>
      </c>
      <c r="F14" s="25"/>
      <c r="G14" s="25"/>
      <c r="H14" s="1" t="s">
        <v>30</v>
      </c>
      <c r="I14" s="25">
        <v>0</v>
      </c>
      <c r="J14" s="2" t="s">
        <v>31</v>
      </c>
      <c r="K14" s="25"/>
      <c r="L14" s="25"/>
      <c r="M14" s="25" t="s">
        <v>25</v>
      </c>
      <c r="N14" s="25">
        <f>I26*B12/(B3*1000)</f>
        <v>1.1060765811352622E-3</v>
      </c>
      <c r="O14" s="17">
        <f>SQRT(N14/PI())*2</f>
        <v>3.7527329276233964E-2</v>
      </c>
      <c r="P14" s="10" t="s">
        <v>65</v>
      </c>
    </row>
    <row r="15" spans="1:16" ht="17.7" x14ac:dyDescent="0.75">
      <c r="A15" s="25">
        <v>29.5</v>
      </c>
      <c r="B15" s="4">
        <f>SQRT(2/($B$9-1)*((A15/$B$3)^((1-$B$9)/$B$9) - 1))</f>
        <v>3.3404367470545555</v>
      </c>
      <c r="C15" s="4">
        <f>1/B15*(2/($B$9+1)*(1 + ($B$9-1)/2*B15^2))^(($B$9+1)/(2*$B$9-2))</f>
        <v>9.5064874290136565</v>
      </c>
      <c r="D15" s="4">
        <f t="shared" ref="D15:D78" si="0">$B$6*$B$12/9.81*($B$9*SQRT(2/($B$9-1)*(2/($B$9+1))^(($B$9+1)/($B$9-1))*(1 - (A15/$B$3)^(($B$9-1)/$B$9))) + C15/$B$3*(A15 - $E$6))</f>
        <v>176.71012291053884</v>
      </c>
      <c r="E15" s="4">
        <f t="shared" ref="E15:E78" si="1">$B$6*$B$12/9.81*($B$9*SQRT(2/($B$9-1)*(2/($B$9+1))^(($B$9+1)/($B$9-1))*(1 - (A15/$B$3)^(($B$9-1)/$B$9))) + C15/$B$3*(A15 - $E$4))</f>
        <v>175.36118444446961</v>
      </c>
      <c r="F15" s="25"/>
      <c r="G15" s="25"/>
      <c r="H15" s="1" t="s">
        <v>33</v>
      </c>
      <c r="I15" s="25">
        <f>0.5*B3/E10/B11*1^2</f>
        <v>1.1864414352845897E-3</v>
      </c>
      <c r="J15" s="2" t="s">
        <v>34</v>
      </c>
      <c r="K15" s="25"/>
      <c r="L15" s="25"/>
      <c r="M15" s="25" t="s">
        <v>32</v>
      </c>
      <c r="N15" s="25">
        <f>N14*N13</f>
        <v>4.877216893589993E-3</v>
      </c>
      <c r="O15" s="17">
        <f>SQRT(N15/PI())*2</f>
        <v>7.8802699301287693E-2</v>
      </c>
      <c r="P15" s="10" t="s">
        <v>66</v>
      </c>
    </row>
    <row r="16" spans="1:16" ht="16.8" x14ac:dyDescent="0.75">
      <c r="A16" s="25">
        <v>29.75</v>
      </c>
      <c r="B16" s="4">
        <f t="shared" ref="B16:B79" si="2">SQRT(2/($B$9-1)*((A16/$B$3)^((1-$B$9)/$B$9) - 1))</f>
        <v>3.3357149363902305</v>
      </c>
      <c r="C16" s="4">
        <f t="shared" ref="C16:C79" si="3">1/B16*(2/($B$9+1)*(1 + ($B$9-1)/2*B16^2))^(($B$9+1)/(2*$B$9-2))</f>
        <v>9.4475085928906601</v>
      </c>
      <c r="D16" s="4">
        <f t="shared" si="0"/>
        <v>176.87558131897973</v>
      </c>
      <c r="E16" s="4">
        <f t="shared" si="1"/>
        <v>175.53501175060532</v>
      </c>
      <c r="F16" s="25"/>
      <c r="G16" s="25"/>
      <c r="H16" s="1" t="s">
        <v>36</v>
      </c>
      <c r="I16" s="15">
        <f>B3+I13+I14+I15</f>
        <v>2895.7992495721478</v>
      </c>
      <c r="J16" s="4">
        <f>CONVERT(I16*1000, "Pa", "psi")</f>
        <v>420.00017207878176</v>
      </c>
      <c r="K16" s="25"/>
      <c r="L16" s="25"/>
      <c r="M16" s="25"/>
      <c r="N16" s="25"/>
      <c r="O16" s="25"/>
      <c r="P16" s="25"/>
    </row>
    <row r="17" spans="1:19" x14ac:dyDescent="0.55000000000000004">
      <c r="A17" s="25">
        <v>30</v>
      </c>
      <c r="B17" s="4">
        <f t="shared" si="2"/>
        <v>3.3310335087922911</v>
      </c>
      <c r="C17" s="4">
        <f t="shared" si="3"/>
        <v>9.3894007708211404</v>
      </c>
      <c r="D17" s="4">
        <f t="shared" si="0"/>
        <v>177.0378310401718</v>
      </c>
      <c r="E17" s="4">
        <f t="shared" si="1"/>
        <v>175.70550677553911</v>
      </c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1:19" x14ac:dyDescent="0.55000000000000004">
      <c r="A18" s="25">
        <v>30.25</v>
      </c>
      <c r="B18" s="4">
        <f t="shared" si="2"/>
        <v>3.3263917787238562</v>
      </c>
      <c r="C18" s="4">
        <f t="shared" si="3"/>
        <v>9.3321439710095646</v>
      </c>
      <c r="D18" s="4">
        <f t="shared" si="0"/>
        <v>177.19695057126063</v>
      </c>
      <c r="E18" s="4">
        <f t="shared" si="1"/>
        <v>175.87275085318487</v>
      </c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</row>
    <row r="19" spans="1:19" ht="16.8" x14ac:dyDescent="0.75">
      <c r="A19" s="25">
        <v>30.5</v>
      </c>
      <c r="B19" s="4">
        <f t="shared" si="2"/>
        <v>3.3217890778646746</v>
      </c>
      <c r="C19" s="4">
        <f t="shared" si="3"/>
        <v>9.2757188212254587</v>
      </c>
      <c r="D19" s="4">
        <f t="shared" si="0"/>
        <v>177.35301590599042</v>
      </c>
      <c r="E19" s="4">
        <f t="shared" si="1"/>
        <v>176.03682272614088</v>
      </c>
      <c r="F19" s="25"/>
      <c r="G19" s="25"/>
      <c r="H19" s="25" t="s">
        <v>37</v>
      </c>
      <c r="I19" s="25"/>
      <c r="J19" s="25"/>
      <c r="K19" s="25" t="s">
        <v>38</v>
      </c>
      <c r="L19" s="3" t="s">
        <v>74</v>
      </c>
      <c r="M19" s="25"/>
      <c r="N19" s="25"/>
      <c r="O19" s="25"/>
      <c r="P19" s="25"/>
      <c r="Q19" s="25"/>
      <c r="R19" s="25"/>
      <c r="S19" s="25"/>
    </row>
    <row r="20" spans="1:19" ht="17.7" x14ac:dyDescent="0.75">
      <c r="A20" s="25">
        <v>30.75</v>
      </c>
      <c r="B20" s="4">
        <f t="shared" si="2"/>
        <v>3.3172247545412712</v>
      </c>
      <c r="C20" s="4">
        <f t="shared" si="3"/>
        <v>9.2201065447076225</v>
      </c>
      <c r="D20" s="4">
        <f t="shared" si="0"/>
        <v>177.50610063366673</v>
      </c>
      <c r="E20" s="4">
        <f t="shared" si="1"/>
        <v>176.19779864807171</v>
      </c>
      <c r="F20" s="25"/>
      <c r="G20" s="25"/>
      <c r="H20" s="25" t="s">
        <v>39</v>
      </c>
      <c r="I20" s="13">
        <f>CONVERT(60, "lbm", "kg")</f>
        <v>27.215542200000002</v>
      </c>
      <c r="J20" s="25"/>
      <c r="K20" s="25" t="s">
        <v>40</v>
      </c>
      <c r="L20" s="12">
        <v>599.11966201553037</v>
      </c>
      <c r="M20" s="10" t="s">
        <v>41</v>
      </c>
      <c r="N20" s="25"/>
      <c r="O20" s="25"/>
      <c r="P20" s="25"/>
      <c r="Q20" s="25"/>
      <c r="R20" s="25"/>
      <c r="S20" s="25"/>
    </row>
    <row r="21" spans="1:19" ht="16.8" x14ac:dyDescent="0.75">
      <c r="A21" s="25">
        <v>31</v>
      </c>
      <c r="B21" s="4">
        <f t="shared" si="2"/>
        <v>3.3126981731804221</v>
      </c>
      <c r="C21" s="4">
        <f t="shared" si="3"/>
        <v>9.1652889371927362</v>
      </c>
      <c r="D21" s="4">
        <f t="shared" si="0"/>
        <v>177.65627603345243</v>
      </c>
      <c r="E21" s="4">
        <f t="shared" si="1"/>
        <v>176.35575248126375</v>
      </c>
      <c r="F21" s="25"/>
      <c r="G21" s="25"/>
      <c r="H21" s="25" t="s">
        <v>42</v>
      </c>
      <c r="I21" s="4">
        <f>I20*EXP(E1/H10/9.81)</f>
        <v>37.207187913338998</v>
      </c>
      <c r="J21" s="25"/>
      <c r="K21" s="25" t="s">
        <v>88</v>
      </c>
      <c r="L21" s="12">
        <v>1</v>
      </c>
      <c r="M21" s="25"/>
      <c r="N21" s="25"/>
      <c r="O21" s="25"/>
      <c r="P21" s="25"/>
      <c r="Q21" s="25"/>
      <c r="R21" s="25"/>
      <c r="S21" s="25"/>
    </row>
    <row r="22" spans="1:19" ht="17.7" x14ac:dyDescent="0.75">
      <c r="A22" s="25">
        <v>31.25</v>
      </c>
      <c r="B22" s="4">
        <f t="shared" si="2"/>
        <v>3.3082087137848255</v>
      </c>
      <c r="C22" s="4">
        <f t="shared" si="3"/>
        <v>9.1112483450070911</v>
      </c>
      <c r="D22" s="4">
        <f t="shared" si="0"/>
        <v>177.80361116425263</v>
      </c>
      <c r="E22" s="4">
        <f t="shared" si="1"/>
        <v>176.51075578961877</v>
      </c>
      <c r="F22" s="25"/>
      <c r="G22" s="25"/>
      <c r="H22" s="25" t="s">
        <v>45</v>
      </c>
      <c r="I22" s="7">
        <f>I21-I20</f>
        <v>9.9916457133389969</v>
      </c>
      <c r="J22" s="25"/>
      <c r="K22" s="25" t="s">
        <v>43</v>
      </c>
      <c r="L22" s="20">
        <f>I28/L21/L20</f>
        <v>2.6310180280097778E-3</v>
      </c>
      <c r="M22" s="4">
        <f>L22*100^2</f>
        <v>26.310180280097779</v>
      </c>
      <c r="N22" s="25" t="s">
        <v>44</v>
      </c>
      <c r="O22" s="25" t="s">
        <v>67</v>
      </c>
      <c r="P22" s="25"/>
      <c r="Q22" s="25"/>
      <c r="R22" s="25"/>
      <c r="S22" s="25"/>
    </row>
    <row r="23" spans="1:19" ht="16.8" x14ac:dyDescent="0.75">
      <c r="A23" s="25">
        <v>31.5</v>
      </c>
      <c r="B23" s="4">
        <f t="shared" si="2"/>
        <v>3.3037557714299073</v>
      </c>
      <c r="C23" s="4">
        <f t="shared" si="3"/>
        <v>9.0579676441645276</v>
      </c>
      <c r="D23" s="4">
        <f t="shared" si="0"/>
        <v>177.94817295042756</v>
      </c>
      <c r="E23" s="4">
        <f t="shared" si="1"/>
        <v>176.66287792733283</v>
      </c>
      <c r="F23" s="25"/>
      <c r="G23" s="25"/>
      <c r="H23" s="25" t="s">
        <v>48</v>
      </c>
      <c r="I23" s="14">
        <f>I22/(1+B2)</f>
        <v>1.8166628569707266</v>
      </c>
      <c r="J23" s="25"/>
      <c r="K23" s="25" t="s">
        <v>46</v>
      </c>
      <c r="L23" s="16">
        <f>2*SQRT(L22/PI())</f>
        <v>5.7878460554624075E-2</v>
      </c>
      <c r="M23" s="4">
        <f>L23*100</f>
        <v>5.7878460554624072</v>
      </c>
      <c r="N23" s="25" t="s">
        <v>47</v>
      </c>
      <c r="O23" s="8">
        <f>CONVERT(L23, "m", "in")</f>
        <v>2.2786795493946488</v>
      </c>
      <c r="P23" s="4"/>
      <c r="Q23" s="25"/>
      <c r="R23" s="25"/>
      <c r="S23" s="25"/>
    </row>
    <row r="24" spans="1:19" ht="17.100000000000001" thickBot="1" x14ac:dyDescent="0.8">
      <c r="A24" s="25">
        <v>31.75</v>
      </c>
      <c r="B24" s="4">
        <f t="shared" si="2"/>
        <v>3.2993387557807305</v>
      </c>
      <c r="C24" s="4">
        <f t="shared" si="3"/>
        <v>9.0054302204163896</v>
      </c>
      <c r="D24" s="4">
        <f t="shared" si="0"/>
        <v>178.09002626355817</v>
      </c>
      <c r="E24" s="4">
        <f t="shared" si="1"/>
        <v>176.81218612349264</v>
      </c>
      <c r="F24" s="25"/>
      <c r="G24" s="25"/>
      <c r="H24" s="25" t="s">
        <v>51</v>
      </c>
      <c r="I24" s="14">
        <f>I22-I23</f>
        <v>8.1749828563682705</v>
      </c>
      <c r="J24" s="25"/>
      <c r="K24" s="25" t="s">
        <v>49</v>
      </c>
      <c r="L24" s="17">
        <f>(I27/(900*0.000155*L20^0.5*PI()*L23))^(1/(0+1))</f>
        <v>0.56419215732411654</v>
      </c>
      <c r="M24" s="4">
        <f>L24*100</f>
        <v>56.419215732411651</v>
      </c>
      <c r="N24" s="25" t="s">
        <v>47</v>
      </c>
      <c r="O24" s="8">
        <f>CONVERT(L24, "m", "in")</f>
        <v>22.212289658429786</v>
      </c>
      <c r="P24" s="10" t="s">
        <v>68</v>
      </c>
      <c r="Q24" s="25"/>
      <c r="R24" s="25"/>
      <c r="S24" s="25"/>
    </row>
    <row r="25" spans="1:19" ht="17.399999999999999" thickTop="1" thickBot="1" x14ac:dyDescent="0.8">
      <c r="A25" s="25">
        <v>32</v>
      </c>
      <c r="B25" s="4">
        <f t="shared" si="2"/>
        <v>3.2949570906280714</v>
      </c>
      <c r="C25" s="4">
        <f t="shared" si="3"/>
        <v>8.9536199502032421</v>
      </c>
      <c r="D25" s="4">
        <f t="shared" si="0"/>
        <v>178.22923400047526</v>
      </c>
      <c r="E25" s="4">
        <f t="shared" si="1"/>
        <v>176.95874556280771</v>
      </c>
      <c r="F25" s="25"/>
      <c r="G25" s="25"/>
      <c r="H25" s="25" t="s">
        <v>53</v>
      </c>
      <c r="I25" s="7">
        <f>I20/I21</f>
        <v>0.73145926167247555</v>
      </c>
      <c r="J25" s="25"/>
      <c r="K25" s="25" t="s">
        <v>52</v>
      </c>
      <c r="L25" s="24">
        <f>SQRT(4*I23/PI()/L24/900/L21 + L23^2)</f>
        <v>8.8911159884394214E-2</v>
      </c>
      <c r="M25" s="4">
        <f t="shared" ref="M25:M26" si="4">L25*100</f>
        <v>8.891115988439422</v>
      </c>
      <c r="N25" s="25" t="s">
        <v>47</v>
      </c>
      <c r="O25" s="8">
        <f t="shared" ref="O25:O26" si="5">CONVERT(L25, "m", "in")</f>
        <v>3.5004393655273311</v>
      </c>
      <c r="P25" s="25" t="s">
        <v>89</v>
      </c>
      <c r="Q25" s="25">
        <v>3.5</v>
      </c>
      <c r="R25" s="25"/>
      <c r="S25" s="25"/>
    </row>
    <row r="26" spans="1:19" ht="17.100000000000001" thickTop="1" x14ac:dyDescent="0.75">
      <c r="A26" s="25">
        <v>32.25</v>
      </c>
      <c r="B26" s="4">
        <f t="shared" si="2"/>
        <v>3.2906102134427466</v>
      </c>
      <c r="C26" s="4">
        <f t="shared" si="3"/>
        <v>8.902521182460994</v>
      </c>
      <c r="D26" s="4">
        <f t="shared" si="0"/>
        <v>178.36585715775092</v>
      </c>
      <c r="E26" s="4">
        <f t="shared" si="1"/>
        <v>177.10261946268318</v>
      </c>
      <c r="F26" s="25"/>
      <c r="G26" s="25"/>
      <c r="H26" s="25" t="s">
        <v>55</v>
      </c>
      <c r="I26" s="23">
        <f>B4/H10/9.81</f>
        <v>1.9265823276308709</v>
      </c>
      <c r="J26" s="25"/>
      <c r="K26" s="25" t="s">
        <v>54</v>
      </c>
      <c r="L26" s="17">
        <f>(L25-L23)/2</f>
        <v>1.5516349664885069E-2</v>
      </c>
      <c r="M26" s="4">
        <f t="shared" si="4"/>
        <v>1.551634966488507</v>
      </c>
      <c r="N26" s="25" t="s">
        <v>47</v>
      </c>
      <c r="O26" s="4">
        <f t="shared" si="5"/>
        <v>0.61087990806634129</v>
      </c>
      <c r="P26" s="25"/>
      <c r="Q26" s="25"/>
      <c r="R26" s="25"/>
      <c r="S26" s="25"/>
    </row>
    <row r="27" spans="1:19" ht="16.8" x14ac:dyDescent="0.75">
      <c r="A27" s="25">
        <v>32.5</v>
      </c>
      <c r="B27" s="4">
        <f t="shared" si="2"/>
        <v>3.2862975749473473</v>
      </c>
      <c r="C27" s="4">
        <f t="shared" si="3"/>
        <v>8.8521187212365504</v>
      </c>
      <c r="D27" s="4">
        <f t="shared" si="0"/>
        <v>178.49995490283706</v>
      </c>
      <c r="E27" s="4">
        <f t="shared" si="1"/>
        <v>177.24386914682549</v>
      </c>
      <c r="F27" s="25"/>
      <c r="G27" s="25"/>
      <c r="H27" s="25" t="s">
        <v>57</v>
      </c>
      <c r="I27" s="8">
        <f>I26/(1 + B2)</f>
        <v>0.35028769593288561</v>
      </c>
      <c r="J27" s="25"/>
      <c r="K27" s="25"/>
      <c r="L27" s="25"/>
      <c r="M27" s="25"/>
      <c r="N27" s="25"/>
      <c r="O27" s="25"/>
      <c r="P27" s="25"/>
      <c r="Q27" s="25"/>
      <c r="R27" s="25"/>
      <c r="S27" s="25"/>
    </row>
    <row r="28" spans="1:19" ht="16.8" x14ac:dyDescent="0.75">
      <c r="A28" s="25">
        <v>32.75</v>
      </c>
      <c r="B28" s="4">
        <f t="shared" si="2"/>
        <v>3.2820186387045589</v>
      </c>
      <c r="C28" s="4">
        <f t="shared" si="3"/>
        <v>8.8023978090712589</v>
      </c>
      <c r="D28" s="4">
        <f t="shared" si="0"/>
        <v>178.63158464202772</v>
      </c>
      <c r="E28" s="4">
        <f t="shared" si="1"/>
        <v>177.3825541155621</v>
      </c>
      <c r="F28" s="25"/>
      <c r="G28" s="25"/>
      <c r="H28" s="25" t="s">
        <v>58</v>
      </c>
      <c r="I28" s="7">
        <f>I26-I27</f>
        <v>1.5762946316979853</v>
      </c>
      <c r="J28" s="25"/>
      <c r="K28" s="25"/>
      <c r="L28" s="25"/>
      <c r="M28" s="19"/>
      <c r="N28" s="25"/>
      <c r="O28" s="25"/>
      <c r="P28" s="25"/>
      <c r="Q28" s="25"/>
      <c r="R28" s="25"/>
      <c r="S28" s="25"/>
    </row>
    <row r="29" spans="1:19" x14ac:dyDescent="0.55000000000000004">
      <c r="A29" s="25">
        <v>33</v>
      </c>
      <c r="B29" s="4">
        <f t="shared" si="2"/>
        <v>3.27777288072132</v>
      </c>
      <c r="C29" s="4">
        <f t="shared" si="3"/>
        <v>8.7533441111126518</v>
      </c>
      <c r="D29" s="4">
        <f t="shared" si="0"/>
        <v>178.76080208540807</v>
      </c>
      <c r="E29" s="4">
        <f t="shared" si="1"/>
        <v>177.5187321130455</v>
      </c>
      <c r="F29" s="25"/>
      <c r="G29" s="25"/>
      <c r="H29" s="1"/>
      <c r="I29" s="7"/>
      <c r="J29" s="25"/>
      <c r="K29" s="25"/>
      <c r="L29" s="25"/>
      <c r="M29" s="25"/>
      <c r="N29" s="25"/>
      <c r="O29" s="25"/>
      <c r="P29" s="25"/>
      <c r="Q29" s="25"/>
      <c r="R29" s="25"/>
      <c r="S29" s="7"/>
    </row>
    <row r="30" spans="1:19" x14ac:dyDescent="0.55000000000000004">
      <c r="A30" s="25">
        <v>33.25</v>
      </c>
      <c r="B30" s="4">
        <f t="shared" si="2"/>
        <v>3.2735597890680772</v>
      </c>
      <c r="C30" s="4">
        <f t="shared" si="3"/>
        <v>8.7049436999171714</v>
      </c>
      <c r="D30" s="4">
        <f t="shared" si="0"/>
        <v>178.88766130894706</v>
      </c>
      <c r="E30" s="4">
        <f t="shared" si="1"/>
        <v>177.65245919150172</v>
      </c>
      <c r="F30" s="25"/>
      <c r="G30" s="25"/>
      <c r="H30" s="25"/>
      <c r="I30" s="25"/>
      <c r="J30" s="25"/>
      <c r="K30" s="4"/>
      <c r="L30" s="25"/>
      <c r="M30" s="4"/>
      <c r="N30" s="4"/>
      <c r="O30" s="25"/>
      <c r="P30" s="25"/>
      <c r="Q30" s="25"/>
      <c r="R30" s="25"/>
      <c r="S30" s="25"/>
    </row>
    <row r="31" spans="1:19" x14ac:dyDescent="0.55000000000000004">
      <c r="A31" s="25">
        <v>33.5</v>
      </c>
      <c r="B31" s="4">
        <f t="shared" si="2"/>
        <v>3.2693788635124679</v>
      </c>
      <c r="C31" s="4">
        <f t="shared" si="3"/>
        <v>8.657183040909036</v>
      </c>
      <c r="D31" s="4">
        <f t="shared" si="0"/>
        <v>179.01221481387748</v>
      </c>
      <c r="E31" s="4">
        <f t="shared" si="1"/>
        <v>177.78378977267423</v>
      </c>
      <c r="F31" s="25"/>
      <c r="G31" s="25"/>
      <c r="H31" s="21" t="s">
        <v>71</v>
      </c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</row>
    <row r="32" spans="1:19" x14ac:dyDescent="0.55000000000000004">
      <c r="A32" s="25">
        <v>33.75</v>
      </c>
      <c r="B32" s="4">
        <f t="shared" si="2"/>
        <v>3.2652296151667679</v>
      </c>
      <c r="C32" s="4">
        <f t="shared" si="3"/>
        <v>8.6100489784622951</v>
      </c>
      <c r="D32" s="4">
        <f t="shared" si="0"/>
        <v>179.13451358350207</v>
      </c>
      <c r="E32" s="4">
        <f t="shared" si="1"/>
        <v>177.91277670660466</v>
      </c>
      <c r="F32" s="25"/>
      <c r="G32" s="25"/>
      <c r="H32" s="25" t="s">
        <v>37</v>
      </c>
      <c r="I32" s="25"/>
      <c r="J32" s="25"/>
      <c r="K32" s="25" t="s">
        <v>38</v>
      </c>
      <c r="L32" s="25"/>
      <c r="M32" s="25"/>
      <c r="N32" s="25"/>
      <c r="O32" s="25"/>
      <c r="P32" s="25"/>
      <c r="Q32" s="25"/>
      <c r="R32" s="25"/>
      <c r="S32" s="25"/>
    </row>
    <row r="33" spans="1:15" ht="17.7" x14ac:dyDescent="0.75">
      <c r="A33" s="25">
        <v>34</v>
      </c>
      <c r="B33" s="4">
        <f t="shared" si="2"/>
        <v>3.2611115661484993</v>
      </c>
      <c r="C33" s="4">
        <f t="shared" si="3"/>
        <v>8.5635287225747501</v>
      </c>
      <c r="D33" s="4">
        <f t="shared" si="0"/>
        <v>179.25460713755569</v>
      </c>
      <c r="E33" s="4">
        <f t="shared" si="1"/>
        <v>178.03947132788596</v>
      </c>
      <c r="F33" s="25"/>
      <c r="G33" s="25"/>
      <c r="H33" s="25" t="s">
        <v>39</v>
      </c>
      <c r="I33" s="13">
        <f>I20</f>
        <v>27.215542200000002</v>
      </c>
      <c r="J33" s="25"/>
      <c r="K33" s="25" t="s">
        <v>40</v>
      </c>
      <c r="L33" s="12">
        <v>674.61547150345939</v>
      </c>
      <c r="M33" s="10" t="s">
        <v>41</v>
      </c>
      <c r="N33" s="25"/>
      <c r="O33" s="25"/>
    </row>
    <row r="34" spans="1:15" ht="16.8" x14ac:dyDescent="0.75">
      <c r="A34" s="25">
        <v>34.25</v>
      </c>
      <c r="B34" s="4">
        <f t="shared" si="2"/>
        <v>3.257024249253603</v>
      </c>
      <c r="C34" s="4">
        <f t="shared" si="3"/>
        <v>8.5176098361045494</v>
      </c>
      <c r="D34" s="4">
        <f t="shared" si="0"/>
        <v>179.37254358424417</v>
      </c>
      <c r="E34" s="4">
        <f t="shared" si="1"/>
        <v>178.16392350951244</v>
      </c>
      <c r="F34" s="25"/>
      <c r="G34" s="25"/>
      <c r="H34" s="25" t="s">
        <v>42</v>
      </c>
      <c r="I34" s="4">
        <f>I33+I35</f>
        <v>36.99331997777778</v>
      </c>
      <c r="J34" s="25"/>
      <c r="K34" s="25" t="s">
        <v>88</v>
      </c>
      <c r="L34" s="12">
        <v>1</v>
      </c>
      <c r="M34" s="25"/>
      <c r="N34" s="25"/>
      <c r="O34" s="25"/>
    </row>
    <row r="35" spans="1:15" ht="17.7" x14ac:dyDescent="0.75">
      <c r="A35" s="25">
        <v>34.5</v>
      </c>
      <c r="B35" s="4">
        <f t="shared" si="2"/>
        <v>3.2529672076416394</v>
      </c>
      <c r="C35" s="4">
        <f t="shared" si="3"/>
        <v>8.4722802225420732</v>
      </c>
      <c r="D35" s="4">
        <f t="shared" si="0"/>
        <v>179.4883696700756</v>
      </c>
      <c r="E35" s="4">
        <f t="shared" si="1"/>
        <v>178.286181714446</v>
      </c>
      <c r="F35" s="25"/>
      <c r="G35" s="25"/>
      <c r="H35" s="25" t="s">
        <v>45</v>
      </c>
      <c r="I35" s="7">
        <f>I36+I37</f>
        <v>9.7777777777777786</v>
      </c>
      <c r="J35" s="25"/>
      <c r="K35" s="25" t="s">
        <v>43</v>
      </c>
      <c r="L35" s="20">
        <f>I41/L34/L33</f>
        <v>2.3365823914251902E-3</v>
      </c>
      <c r="M35" s="4">
        <f>L35*100^2</f>
        <v>23.365823914251902</v>
      </c>
      <c r="N35" s="25" t="s">
        <v>44</v>
      </c>
      <c r="O35" s="25" t="s">
        <v>67</v>
      </c>
    </row>
    <row r="36" spans="1:15" ht="16.8" x14ac:dyDescent="0.75">
      <c r="A36" s="25">
        <v>34.75</v>
      </c>
      <c r="B36" s="4">
        <f t="shared" si="2"/>
        <v>3.2489399945324662</v>
      </c>
      <c r="C36" s="4">
        <f t="shared" si="3"/>
        <v>8.427528114290272</v>
      </c>
      <c r="D36" s="4">
        <f t="shared" si="0"/>
        <v>179.60213082759373</v>
      </c>
      <c r="E36" s="4">
        <f t="shared" si="1"/>
        <v>178.40629304501272</v>
      </c>
      <c r="F36" s="25"/>
      <c r="G36" s="25"/>
      <c r="H36" s="25" t="s">
        <v>48</v>
      </c>
      <c r="I36" s="14">
        <f>I37/B2</f>
        <v>1.7777777777777777</v>
      </c>
      <c r="J36" s="25"/>
      <c r="K36" s="25" t="s">
        <v>46</v>
      </c>
      <c r="L36" s="16">
        <f>2*SQRT(L35/PI())</f>
        <v>5.4543827334487698E-2</v>
      </c>
      <c r="M36" s="4">
        <f>L36*100</f>
        <v>5.45438273344877</v>
      </c>
      <c r="N36" s="25" t="s">
        <v>47</v>
      </c>
      <c r="O36" s="8">
        <f>CONVERT(L36, "m", "in")</f>
        <v>2.1473947769483348</v>
      </c>
    </row>
    <row r="37" spans="1:15" ht="17.100000000000001" thickBot="1" x14ac:dyDescent="0.8">
      <c r="A37" s="25">
        <v>35</v>
      </c>
      <c r="B37" s="4">
        <f t="shared" si="2"/>
        <v>3.244942172913921</v>
      </c>
      <c r="C37" s="4">
        <f t="shared" si="3"/>
        <v>8.3833420614295537</v>
      </c>
      <c r="D37" s="4">
        <f t="shared" si="0"/>
        <v>179.7138712211148</v>
      </c>
      <c r="E37" s="4">
        <f t="shared" si="1"/>
        <v>178.52430329023377</v>
      </c>
      <c r="F37" s="25"/>
      <c r="G37" s="25"/>
      <c r="H37" s="25" t="s">
        <v>51</v>
      </c>
      <c r="I37" s="22">
        <v>8</v>
      </c>
      <c r="J37" s="25"/>
      <c r="K37" s="25" t="s">
        <v>49</v>
      </c>
      <c r="L37" s="17">
        <f>(I40*PI()^(0.5-1)/(0.155/1000*(4*I39)^0.5*900)*L36^(2*0.5-1))^(1/(0+1))</f>
        <v>0.51033100786507068</v>
      </c>
      <c r="M37" s="4">
        <f>L37*100</f>
        <v>51.03310078650707</v>
      </c>
      <c r="N37" s="25" t="s">
        <v>47</v>
      </c>
      <c r="O37" s="8">
        <f t="shared" ref="O37:O39" si="6">CONVERT(L37, "m", "in")</f>
        <v>20.091771963191761</v>
      </c>
    </row>
    <row r="38" spans="1:15" ht="17.399999999999999" thickTop="1" thickBot="1" x14ac:dyDescent="0.8">
      <c r="A38" s="25">
        <v>35.25</v>
      </c>
      <c r="B38" s="4">
        <f t="shared" si="2"/>
        <v>3.2409733152600206</v>
      </c>
      <c r="C38" s="4">
        <f t="shared" si="3"/>
        <v>8.3397109209435314</v>
      </c>
      <c r="D38" s="4">
        <f t="shared" si="0"/>
        <v>179.82363379056468</v>
      </c>
      <c r="E38" s="4">
        <f t="shared" si="1"/>
        <v>178.64025697119141</v>
      </c>
      <c r="F38" s="25"/>
      <c r="G38" s="25"/>
      <c r="H38" s="25" t="s">
        <v>53</v>
      </c>
      <c r="I38" s="7">
        <f>I33/I34</f>
        <v>0.73568801654862614</v>
      </c>
      <c r="J38" s="25"/>
      <c r="K38" s="25" t="s">
        <v>52</v>
      </c>
      <c r="L38" s="24">
        <f>SQRT(4*I36/PI()/L37/900/L34 + L36^2)</f>
        <v>8.8900413838955222E-2</v>
      </c>
      <c r="M38" s="4">
        <f t="shared" ref="M38:M39" si="7">L38*100</f>
        <v>8.8900413838955217</v>
      </c>
      <c r="N38" s="25" t="s">
        <v>47</v>
      </c>
      <c r="O38" s="8">
        <f t="shared" si="6"/>
        <v>3.5000162928722527</v>
      </c>
    </row>
    <row r="39" spans="1:15" ht="17.100000000000001" thickTop="1" x14ac:dyDescent="0.75">
      <c r="A39" s="25">
        <v>35.5</v>
      </c>
      <c r="B39" s="4">
        <f t="shared" si="2"/>
        <v>3.2370330032592216</v>
      </c>
      <c r="C39" s="4">
        <f t="shared" si="3"/>
        <v>8.2966238463835058</v>
      </c>
      <c r="D39" s="4">
        <f t="shared" si="0"/>
        <v>179.93146029350905</v>
      </c>
      <c r="E39" s="4">
        <f t="shared" si="1"/>
        <v>178.75419738452572</v>
      </c>
      <c r="F39" s="25"/>
      <c r="G39" s="25"/>
      <c r="H39" s="25" t="s">
        <v>55</v>
      </c>
      <c r="I39" s="23">
        <f>B4/H10/9.81</f>
        <v>1.9265823276308709</v>
      </c>
      <c r="J39" s="25"/>
      <c r="K39" s="25" t="s">
        <v>54</v>
      </c>
      <c r="L39" s="17">
        <f>(L38-L36)/2</f>
        <v>1.7178293252233762E-2</v>
      </c>
      <c r="M39" s="4">
        <f t="shared" si="7"/>
        <v>1.7178293252233763</v>
      </c>
      <c r="N39" s="25" t="s">
        <v>47</v>
      </c>
      <c r="O39" s="4">
        <f t="shared" si="6"/>
        <v>0.67631075796195916</v>
      </c>
    </row>
    <row r="40" spans="1:15" ht="16.8" x14ac:dyDescent="0.75">
      <c r="A40" s="25">
        <v>35.75</v>
      </c>
      <c r="B40" s="4">
        <f t="shared" si="2"/>
        <v>3.233120827552332</v>
      </c>
      <c r="C40" s="4">
        <f t="shared" si="3"/>
        <v>8.2540702779511665</v>
      </c>
      <c r="D40" s="4">
        <f t="shared" si="0"/>
        <v>180.03739134546205</v>
      </c>
      <c r="E40" s="4">
        <f t="shared" si="1"/>
        <v>178.8661666441507</v>
      </c>
      <c r="F40" s="25"/>
      <c r="G40" s="25"/>
      <c r="H40" s="25" t="s">
        <v>57</v>
      </c>
      <c r="I40" s="8">
        <f>I39/(1 + B2)</f>
        <v>0.35028769593288561</v>
      </c>
      <c r="J40" s="25"/>
      <c r="K40" s="25"/>
      <c r="L40" s="25"/>
      <c r="M40" s="25"/>
      <c r="N40" s="25"/>
      <c r="O40" s="25"/>
    </row>
    <row r="41" spans="1:15" ht="16.8" x14ac:dyDescent="0.75">
      <c r="A41" s="25">
        <v>36</v>
      </c>
      <c r="B41" s="4">
        <f t="shared" si="2"/>
        <v>3.2292363874796473</v>
      </c>
      <c r="C41" s="4">
        <f t="shared" si="3"/>
        <v>8.212039932979609</v>
      </c>
      <c r="D41" s="4">
        <f t="shared" si="0"/>
        <v>180.14146645855533</v>
      </c>
      <c r="E41" s="4">
        <f t="shared" si="1"/>
        <v>178.97620572127352</v>
      </c>
      <c r="F41" s="25"/>
      <c r="G41" s="25"/>
      <c r="H41" s="25" t="s">
        <v>58</v>
      </c>
      <c r="I41" s="7">
        <f>I39-I40</f>
        <v>1.5762946316979853</v>
      </c>
      <c r="J41" s="25"/>
      <c r="K41" s="25"/>
      <c r="L41" s="25"/>
      <c r="M41" s="25"/>
      <c r="N41" s="25"/>
      <c r="O41" s="25"/>
    </row>
    <row r="42" spans="1:15" x14ac:dyDescent="0.55000000000000004">
      <c r="A42" s="25">
        <v>36.25</v>
      </c>
      <c r="B42" s="4">
        <f t="shared" si="2"/>
        <v>3.2253792908369414</v>
      </c>
      <c r="C42" s="4">
        <f t="shared" si="3"/>
        <v>8.1705227967940548</v>
      </c>
      <c r="D42" s="4">
        <f t="shared" si="0"/>
        <v>180.24372407864547</v>
      </c>
      <c r="E42" s="4">
        <f t="shared" si="1"/>
        <v>179.08435448279948</v>
      </c>
      <c r="F42" s="25"/>
      <c r="G42" s="25"/>
      <c r="H42" s="25"/>
      <c r="I42" s="25"/>
      <c r="J42" s="25"/>
      <c r="K42" s="25"/>
      <c r="L42" s="25"/>
      <c r="M42" s="25"/>
      <c r="N42" s="25"/>
      <c r="O42" s="25"/>
    </row>
    <row r="43" spans="1:15" x14ac:dyDescent="0.55000000000000004">
      <c r="A43" s="25">
        <v>36.5</v>
      </c>
      <c r="B43" s="4">
        <f t="shared" si="2"/>
        <v>3.221549153639927</v>
      </c>
      <c r="C43" s="4">
        <f t="shared" si="3"/>
        <v>8.1295091139345761</v>
      </c>
      <c r="D43" s="4">
        <f t="shared" si="0"/>
        <v>180.34420162093281</v>
      </c>
      <c r="E43" s="4">
        <f t="shared" si="1"/>
        <v>179.19065172819558</v>
      </c>
      <c r="F43" s="25"/>
      <c r="G43" s="25"/>
      <c r="H43" s="25"/>
      <c r="I43" s="25"/>
      <c r="J43" s="25"/>
      <c r="K43" s="25"/>
      <c r="L43" s="25"/>
      <c r="M43" s="25"/>
      <c r="N43" s="25"/>
      <c r="O43" s="25"/>
    </row>
    <row r="44" spans="1:15" x14ac:dyDescent="0.55000000000000004">
      <c r="A44" s="25">
        <v>36.75</v>
      </c>
      <c r="B44" s="4">
        <f t="shared" si="2"/>
        <v>3.2177455998968503</v>
      </c>
      <c r="C44" s="4">
        <f t="shared" si="3"/>
        <v>8.0889893797243175</v>
      </c>
      <c r="D44" s="4">
        <f t="shared" si="0"/>
        <v>180.44293550416006</v>
      </c>
      <c r="E44" s="4">
        <f t="shared" si="1"/>
        <v>179.2951352248862</v>
      </c>
      <c r="F44" s="25"/>
      <c r="G44" s="25"/>
      <c r="H44" s="25"/>
      <c r="I44" s="25"/>
      <c r="J44" s="25"/>
      <c r="K44" s="25"/>
      <c r="L44" s="25"/>
      <c r="M44" s="25"/>
      <c r="N44" s="25"/>
      <c r="O44" s="25"/>
    </row>
    <row r="45" spans="1:15" x14ac:dyDescent="0.55000000000000004">
      <c r="A45" s="25">
        <v>37</v>
      </c>
      <c r="B45" s="4">
        <f t="shared" si="2"/>
        <v>3.2139682613888803</v>
      </c>
      <c r="C45" s="4">
        <f t="shared" si="3"/>
        <v>8.0489543321671313</v>
      </c>
      <c r="D45" s="4">
        <f t="shared" si="0"/>
        <v>180.53996118345816</v>
      </c>
      <c r="E45" s="4">
        <f t="shared" si="1"/>
        <v>179.39784174224818</v>
      </c>
      <c r="F45" s="25"/>
      <c r="G45" s="25"/>
      <c r="H45" s="25"/>
      <c r="I45" s="25"/>
      <c r="J45" s="25"/>
      <c r="K45" s="25"/>
      <c r="L45" s="25"/>
      <c r="M45" s="25"/>
      <c r="N45" s="25"/>
      <c r="O45" s="25"/>
    </row>
    <row r="46" spans="1:15" x14ac:dyDescent="0.55000000000000004">
      <c r="A46" s="25">
        <v>37.25</v>
      </c>
      <c r="B46" s="4">
        <f t="shared" si="2"/>
        <v>3.2102167774579669</v>
      </c>
      <c r="C46" s="4">
        <f t="shared" si="3"/>
        <v>8.0093949441596859</v>
      </c>
      <c r="D46" s="4">
        <f t="shared" si="0"/>
        <v>180.6353131818999</v>
      </c>
      <c r="E46" s="4">
        <f t="shared" si="1"/>
        <v>179.49880708426988</v>
      </c>
      <c r="F46" s="25"/>
      <c r="G46" s="25"/>
      <c r="H46" s="25"/>
      <c r="I46" s="25"/>
      <c r="J46" s="25"/>
      <c r="K46" s="25"/>
      <c r="L46" s="25"/>
      <c r="M46" s="25"/>
      <c r="N46" s="25"/>
      <c r="O46" s="25"/>
    </row>
    <row r="47" spans="1:15" x14ac:dyDescent="0.55000000000000004">
      <c r="A47" s="25">
        <v>37.5</v>
      </c>
      <c r="B47" s="4">
        <f t="shared" si="2"/>
        <v>3.2064907948018808</v>
      </c>
      <c r="C47" s="4">
        <f t="shared" si="3"/>
        <v>7.9703024160040208</v>
      </c>
      <c r="D47" s="4">
        <f t="shared" si="0"/>
        <v>180.72902512082143</v>
      </c>
      <c r="E47" s="4">
        <f t="shared" si="1"/>
        <v>179.59806612093479</v>
      </c>
      <c r="F47" s="25"/>
      <c r="G47" s="25"/>
      <c r="H47" s="25"/>
      <c r="I47" s="25"/>
      <c r="J47" s="25"/>
      <c r="K47" s="25"/>
      <c r="L47" s="25"/>
      <c r="M47" s="25"/>
      <c r="N47" s="25"/>
      <c r="O47" s="25"/>
    </row>
    <row r="48" spans="1:15" x14ac:dyDescent="0.55000000000000004">
      <c r="A48" s="25">
        <v>37.75</v>
      </c>
      <c r="B48" s="4">
        <f t="shared" si="2"/>
        <v>3.2027899672761326</v>
      </c>
      <c r="C48" s="4">
        <f t="shared" si="3"/>
        <v>7.9316681682067163</v>
      </c>
      <c r="D48" s="4">
        <f t="shared" si="0"/>
        <v>180.82112974896643</v>
      </c>
      <c r="E48" s="4">
        <f t="shared" si="1"/>
        <v>179.69565281838777</v>
      </c>
      <c r="F48" s="25"/>
      <c r="G48" s="25"/>
      <c r="H48" s="25"/>
      <c r="I48" s="25"/>
      <c r="J48" s="25"/>
      <c r="K48" s="25"/>
      <c r="L48" s="25"/>
      <c r="M48" s="25"/>
      <c r="N48" s="25"/>
      <c r="O48" s="25"/>
    </row>
    <row r="49" spans="1:5" x14ac:dyDescent="0.55000000000000004">
      <c r="A49" s="25">
        <v>38</v>
      </c>
      <c r="B49" s="4">
        <f t="shared" si="2"/>
        <v>3.1991139557025012</v>
      </c>
      <c r="C49" s="4">
        <f t="shared" si="3"/>
        <v>7.8934838345521179</v>
      </c>
      <c r="D49" s="4">
        <f t="shared" si="0"/>
        <v>180.91165897050755</v>
      </c>
      <c r="E49" s="4">
        <f t="shared" si="1"/>
        <v>179.79160026793923</v>
      </c>
    </row>
    <row r="50" spans="1:5" x14ac:dyDescent="0.55000000000000004">
      <c r="A50" s="25">
        <v>38.25</v>
      </c>
      <c r="B50" s="4">
        <f t="shared" si="2"/>
        <v>3.1954624276839119</v>
      </c>
      <c r="C50" s="4">
        <f t="shared" si="3"/>
        <v>7.855741255437465</v>
      </c>
      <c r="D50" s="4">
        <f t="shared" si="0"/>
        <v>181.00064387199339</v>
      </c>
      <c r="E50" s="4">
        <f t="shared" si="1"/>
        <v>179.88594071395787</v>
      </c>
    </row>
    <row r="51" spans="1:5" x14ac:dyDescent="0.55000000000000004">
      <c r="A51" s="25">
        <v>38.5</v>
      </c>
      <c r="B51" s="4">
        <f t="shared" si="2"/>
        <v>3.1918350574254095</v>
      </c>
      <c r="C51" s="4">
        <f t="shared" si="3"/>
        <v>7.8184324714581699</v>
      </c>
      <c r="D51" s="4">
        <f t="shared" si="0"/>
        <v>181.08811474827084</v>
      </c>
      <c r="E51" s="4">
        <f t="shared" si="1"/>
        <v>179.97870558070318</v>
      </c>
    </row>
    <row r="52" spans="1:5" x14ac:dyDescent="0.55000000000000004">
      <c r="A52" s="25">
        <v>38.75</v>
      </c>
      <c r="B52" s="4">
        <f t="shared" si="2"/>
        <v>3.1882315255609885</v>
      </c>
      <c r="C52" s="4">
        <f t="shared" si="3"/>
        <v>7.7815497172326209</v>
      </c>
      <c r="D52" s="4">
        <f t="shared" si="0"/>
        <v>181.17410112742633</v>
      </c>
      <c r="E52" s="4">
        <f t="shared" si="1"/>
        <v>180.06992549814299</v>
      </c>
    </row>
    <row r="53" spans="1:5" x14ac:dyDescent="0.55000000000000004">
      <c r="A53" s="25">
        <v>39</v>
      </c>
      <c r="B53" s="4">
        <f t="shared" si="2"/>
        <v>3.1846515189860534</v>
      </c>
      <c r="C53" s="4">
        <f t="shared" si="3"/>
        <v>7.7450854154557671</v>
      </c>
      <c r="D53" s="4">
        <f t="shared" si="0"/>
        <v>181.25863179478998</v>
      </c>
      <c r="E53" s="4">
        <f t="shared" si="1"/>
        <v>180.15963032680153</v>
      </c>
    </row>
    <row r="54" spans="1:5" x14ac:dyDescent="0.55000000000000004">
      <c r="A54" s="25">
        <v>39.25</v>
      </c>
      <c r="B54" s="4">
        <f t="shared" si="2"/>
        <v>3.1810947306952846</v>
      </c>
      <c r="C54" s="4">
        <f t="shared" si="3"/>
        <v>7.709032171171744</v>
      </c>
      <c r="D54" s="4">
        <f t="shared" si="0"/>
        <v>181.34173481604404</v>
      </c>
      <c r="E54" s="4">
        <f t="shared" si="1"/>
        <v>180.24784918168018</v>
      </c>
    </row>
    <row r="55" spans="1:5" x14ac:dyDescent="0.55000000000000004">
      <c r="A55" s="25">
        <v>39.5</v>
      </c>
      <c r="B55" s="4">
        <f t="shared" si="2"/>
        <v>3.1775608596257192</v>
      </c>
      <c r="C55" s="4">
        <f t="shared" si="3"/>
        <v>7.6733827662562861</v>
      </c>
      <c r="D55" s="4">
        <f t="shared" si="0"/>
        <v>181.42343755947243</v>
      </c>
      <c r="E55" s="4">
        <f t="shared" si="1"/>
        <v>180.3346104552904</v>
      </c>
    </row>
    <row r="56" spans="1:5" x14ac:dyDescent="0.55000000000000004">
      <c r="A56" s="25">
        <v>39.75</v>
      </c>
      <c r="B56" s="4">
        <f t="shared" si="2"/>
        <v>3.1740496105048277</v>
      </c>
      <c r="C56" s="4">
        <f t="shared" si="3"/>
        <v>7.6381301540996827</v>
      </c>
      <c r="D56" s="4">
        <f t="shared" si="0"/>
        <v>181.50376671739107</v>
      </c>
      <c r="E56" s="4">
        <f t="shared" si="1"/>
        <v>180.41994183983823</v>
      </c>
    </row>
    <row r="57" spans="1:5" x14ac:dyDescent="0.55000000000000004">
      <c r="A57" s="25">
        <v>40</v>
      </c>
      <c r="B57" s="4">
        <f t="shared" si="2"/>
        <v>3.1705606937034028</v>
      </c>
      <c r="C57" s="4">
        <f t="shared" si="3"/>
        <v>7.6032674544818919</v>
      </c>
      <c r="D57" s="4">
        <f t="shared" si="0"/>
        <v>181.58274832679206</v>
      </c>
      <c r="E57" s="4">
        <f t="shared" si="1"/>
        <v>180.5038703485958</v>
      </c>
    </row>
    <row r="58" spans="1:5" x14ac:dyDescent="0.55000000000000004">
      <c r="A58" s="25">
        <v>40.25</v>
      </c>
      <c r="B58" s="4">
        <f t="shared" si="2"/>
        <v>3.1670938250930925</v>
      </c>
      <c r="C58" s="4">
        <f t="shared" si="3"/>
        <v>7.5687879486319005</v>
      </c>
      <c r="D58" s="4">
        <f t="shared" si="0"/>
        <v>181.66040778923568</v>
      </c>
      <c r="E58" s="4">
        <f t="shared" si="1"/>
        <v>180.58642233649417</v>
      </c>
    </row>
    <row r="59" spans="1:5" x14ac:dyDescent="0.55000000000000004">
      <c r="A59" s="25">
        <v>40.5</v>
      </c>
      <c r="B59" s="4">
        <f t="shared" si="2"/>
        <v>3.1636487259083772</v>
      </c>
      <c r="C59" s="4">
        <f t="shared" si="3"/>
        <v>7.5346850744632343</v>
      </c>
      <c r="D59" s="4">
        <f t="shared" si="0"/>
        <v>181.73676989002286</v>
      </c>
      <c r="E59" s="4">
        <f t="shared" si="1"/>
        <v>180.66762351997232</v>
      </c>
    </row>
    <row r="60" spans="1:5" x14ac:dyDescent="0.55000000000000004">
      <c r="A60" s="25">
        <v>40.75</v>
      </c>
      <c r="B60" s="4">
        <f t="shared" si="2"/>
        <v>3.1602251226128533</v>
      </c>
      <c r="C60" s="4">
        <f t="shared" si="3"/>
        <v>7.5009524219786661</v>
      </c>
      <c r="D60" s="4">
        <f t="shared" si="0"/>
        <v>181.8118588166769</v>
      </c>
      <c r="E60" s="4">
        <f t="shared" si="1"/>
        <v>180.74749899611047</v>
      </c>
    </row>
    <row r="61" spans="1:5" x14ac:dyDescent="0.55000000000000004">
      <c r="A61" s="25">
        <v>41</v>
      </c>
      <c r="B61" s="4">
        <f t="shared" si="2"/>
        <v>3.156822746769643</v>
      </c>
      <c r="C61" s="4">
        <f t="shared" si="3"/>
        <v>7.4675837288369022</v>
      </c>
      <c r="D61" s="4">
        <f t="shared" si="0"/>
        <v>181.88569817676486</v>
      </c>
      <c r="E61" s="4">
        <f t="shared" si="1"/>
        <v>180.82607326108072</v>
      </c>
    </row>
    <row r="62" spans="1:5" x14ac:dyDescent="0.55000000000000004">
      <c r="A62" s="25">
        <v>41.25</v>
      </c>
      <c r="B62" s="4">
        <f t="shared" si="2"/>
        <v>3.1534413349157853</v>
      </c>
      <c r="C62" s="4">
        <f t="shared" si="3"/>
        <v>7.4345728760745686</v>
      </c>
      <c r="D62" s="4">
        <f t="shared" si="0"/>
        <v>181.95831101508449</v>
      </c>
      <c r="E62" s="4">
        <f t="shared" si="1"/>
        <v>180.90337022794117</v>
      </c>
    </row>
    <row r="63" spans="1:5" x14ac:dyDescent="0.55000000000000004">
      <c r="A63" s="25">
        <v>41.5</v>
      </c>
      <c r="B63" s="4">
        <f t="shared" si="2"/>
        <v>3.1500806284404681</v>
      </c>
      <c r="C63" s="4">
        <f t="shared" si="3"/>
        <v>7.4019138839773548</v>
      </c>
      <c r="D63" s="4">
        <f t="shared" si="0"/>
        <v>182.0297198302446</v>
      </c>
      <c r="E63" s="4">
        <f t="shared" si="1"/>
        <v>180.97941324380182</v>
      </c>
    </row>
    <row r="64" spans="1:5" x14ac:dyDescent="0.55000000000000004">
      <c r="A64" s="25">
        <v>41.75</v>
      </c>
      <c r="B64" s="4">
        <f t="shared" si="2"/>
        <v>3.1467403734669519</v>
      </c>
      <c r="C64" s="4">
        <f t="shared" si="3"/>
        <v>7.3696009080940224</v>
      </c>
      <c r="D64" s="4">
        <f t="shared" si="0"/>
        <v>182.09994659066192</v>
      </c>
      <c r="E64" s="4">
        <f t="shared" si="1"/>
        <v>181.05422510638721</v>
      </c>
    </row>
    <row r="65" spans="1:5" x14ac:dyDescent="0.55000000000000004">
      <c r="A65" s="25">
        <v>42</v>
      </c>
      <c r="B65" s="4">
        <f t="shared" si="2"/>
        <v>3.1434203207380591</v>
      </c>
      <c r="C65" s="4">
        <f t="shared" si="3"/>
        <v>7.337628235387637</v>
      </c>
      <c r="D65" s="4">
        <f t="shared" si="0"/>
        <v>182.16901274999961</v>
      </c>
      <c r="E65" s="4">
        <f t="shared" si="1"/>
        <v>181.12782808002135</v>
      </c>
    </row>
    <row r="66" spans="1:5" x14ac:dyDescent="0.55000000000000004">
      <c r="A66" s="25">
        <v>42.25</v>
      </c>
      <c r="B66" s="4">
        <f t="shared" si="2"/>
        <v>3.1401202255050982</v>
      </c>
      <c r="C66" s="4">
        <f t="shared" si="3"/>
        <v>7.3059902805185173</v>
      </c>
      <c r="D66" s="4">
        <f t="shared" si="0"/>
        <v>182.23693926206988</v>
      </c>
      <c r="E66" s="4">
        <f t="shared" si="1"/>
        <v>181.20024391105716</v>
      </c>
    </row>
    <row r="67" spans="1:5" x14ac:dyDescent="0.55000000000000004">
      <c r="A67" s="25">
        <v>42.5</v>
      </c>
      <c r="B67" s="4">
        <f t="shared" si="2"/>
        <v>3.1368398474200943</v>
      </c>
      <c r="C67" s="4">
        <f t="shared" si="3"/>
        <v>7.2746815822535469</v>
      </c>
      <c r="D67" s="4">
        <f t="shared" si="0"/>
        <v>182.30374659522175</v>
      </c>
      <c r="E67" s="4">
        <f t="shared" si="1"/>
        <v>181.27149384277422</v>
      </c>
    </row>
    <row r="68" spans="1:5" x14ac:dyDescent="0.55000000000000004">
      <c r="A68" s="25">
        <v>42.75</v>
      </c>
      <c r="B68" s="4">
        <f t="shared" si="2"/>
        <v>3.1335789504312226</v>
      </c>
      <c r="C68" s="4">
        <f t="shared" si="3"/>
        <v>7.2436967999969823</v>
      </c>
      <c r="D68" s="4">
        <f t="shared" si="0"/>
        <v>182.36945474623485</v>
      </c>
      <c r="E68" s="4">
        <f t="shared" si="1"/>
        <v>181.34159862976472</v>
      </c>
    </row>
    <row r="69" spans="1:5" x14ac:dyDescent="0.55000000000000004">
      <c r="A69" s="25">
        <v>43</v>
      </c>
      <c r="B69" s="4">
        <f t="shared" si="2"/>
        <v>3.1303373026813204</v>
      </c>
      <c r="C69" s="4">
        <f t="shared" si="3"/>
        <v>7.2130307104378097</v>
      </c>
      <c r="D69" s="4">
        <f t="shared" si="0"/>
        <v>182.43408325373935</v>
      </c>
      <c r="E69" s="4">
        <f t="shared" si="1"/>
        <v>181.41057855182888</v>
      </c>
    </row>
    <row r="70" spans="1:5" x14ac:dyDescent="0.55000000000000004">
      <c r="A70" s="25">
        <v>43.25</v>
      </c>
      <c r="B70" s="4">
        <f t="shared" si="2"/>
        <v>3.1271146764093682</v>
      </c>
      <c r="C70" s="4">
        <f t="shared" si="3"/>
        <v>7.1826782043092638</v>
      </c>
      <c r="D70" s="4">
        <f t="shared" si="0"/>
        <v>182.49765121118017</v>
      </c>
      <c r="E70" s="4">
        <f t="shared" si="1"/>
        <v>181.47845342739944</v>
      </c>
    </row>
    <row r="71" spans="1:5" x14ac:dyDescent="0.55000000000000004">
      <c r="A71" s="25">
        <v>43.5</v>
      </c>
      <c r="B71" s="4">
        <f t="shared" si="2"/>
        <v>3.1239108478548445</v>
      </c>
      <c r="C71" s="4">
        <f t="shared" si="3"/>
        <v>7.152634283255888</v>
      </c>
      <c r="D71" s="4">
        <f t="shared" si="0"/>
        <v>182.56017727934392</v>
      </c>
      <c r="E71" s="4">
        <f t="shared" si="1"/>
        <v>181.54524262651282</v>
      </c>
    </row>
    <row r="72" spans="1:5" x14ac:dyDescent="0.55000000000000004">
      <c r="A72" s="25">
        <v>43.75</v>
      </c>
      <c r="B72" s="4">
        <f t="shared" si="2"/>
        <v>3.120725597164852</v>
      </c>
      <c r="C72" s="4">
        <f t="shared" si="3"/>
        <v>7.122894056804201</v>
      </c>
      <c r="D72" s="4">
        <f t="shared" si="0"/>
        <v>182.62167969846561</v>
      </c>
      <c r="E72" s="4">
        <f t="shared" si="1"/>
        <v>181.61096508334555</v>
      </c>
    </row>
    <row r="73" spans="1:5" x14ac:dyDescent="0.55000000000000004">
      <c r="A73" s="25">
        <v>44</v>
      </c>
      <c r="B73" s="4">
        <f t="shared" si="2"/>
        <v>3.1175587083039158</v>
      </c>
      <c r="C73" s="4">
        <f t="shared" si="3"/>
        <v>7.0934527394329052</v>
      </c>
      <c r="D73" s="4">
        <f t="shared" si="0"/>
        <v>182.68217629993083</v>
      </c>
      <c r="E73" s="4">
        <f t="shared" si="1"/>
        <v>181.67563930833265</v>
      </c>
    </row>
    <row r="74" spans="1:5" x14ac:dyDescent="0.55000000000000004">
      <c r="A74" s="25">
        <v>44.25</v>
      </c>
      <c r="B74" s="4">
        <f t="shared" si="2"/>
        <v>3.1144099689663598</v>
      </c>
      <c r="C74" s="4">
        <f t="shared" si="3"/>
        <v>7.0643056477386796</v>
      </c>
      <c r="D74" s="4">
        <f t="shared" si="0"/>
        <v>182.74168451759056</v>
      </c>
      <c r="E74" s="4">
        <f t="shared" si="1"/>
        <v>181.73928339988419</v>
      </c>
    </row>
    <row r="75" spans="1:5" x14ac:dyDescent="0.55000000000000004">
      <c r="A75" s="25">
        <v>44.5</v>
      </c>
      <c r="B75" s="4">
        <f t="shared" si="2"/>
        <v>3.1112791704911902</v>
      </c>
      <c r="C75" s="4">
        <f t="shared" si="3"/>
        <v>7.0354481976941807</v>
      </c>
      <c r="D75" s="4">
        <f t="shared" si="0"/>
        <v>182.80022139870175</v>
      </c>
      <c r="E75" s="4">
        <f t="shared" si="1"/>
        <v>181.80191505571514</v>
      </c>
    </row>
    <row r="76" spans="1:5" x14ac:dyDescent="0.55000000000000004">
      <c r="A76" s="25">
        <v>44.75</v>
      </c>
      <c r="B76" s="4">
        <f t="shared" si="2"/>
        <v>3.1081661077793763</v>
      </c>
      <c r="C76" s="4">
        <f t="shared" si="3"/>
        <v>7.0068759019945093</v>
      </c>
      <c r="D76" s="4">
        <f t="shared" si="0"/>
        <v>182.85780361450955</v>
      </c>
      <c r="E76" s="4">
        <f t="shared" si="1"/>
        <v>181.86355158380397</v>
      </c>
    </row>
    <row r="77" spans="1:5" x14ac:dyDescent="0.55000000000000004">
      <c r="A77" s="25">
        <v>45</v>
      </c>
      <c r="B77" s="4">
        <f t="shared" si="2"/>
        <v>3.1050705792134665</v>
      </c>
      <c r="C77" s="4">
        <f t="shared" si="3"/>
        <v>6.9785843674889536</v>
      </c>
      <c r="D77" s="4">
        <f t="shared" si="0"/>
        <v>182.91444747048348</v>
      </c>
      <c r="E77" s="4">
        <f t="shared" si="1"/>
        <v>181.92420991299355</v>
      </c>
    </row>
    <row r="78" spans="1:5" x14ac:dyDescent="0.55000000000000004">
      <c r="A78" s="25">
        <v>45.25</v>
      </c>
      <c r="B78" s="4">
        <f t="shared" si="2"/>
        <v>3.1019923865794516</v>
      </c>
      <c r="C78" s="4">
        <f t="shared" si="3"/>
        <v>6.9505692926947233</v>
      </c>
      <c r="D78" s="4">
        <f t="shared" si="0"/>
        <v>182.97016891622226</v>
      </c>
      <c r="E78" s="4">
        <f t="shared" si="1"/>
        <v>181.98390660324844</v>
      </c>
    </row>
    <row r="79" spans="1:5" x14ac:dyDescent="0.55000000000000004">
      <c r="A79" s="25">
        <v>45.5</v>
      </c>
      <c r="B79" s="4">
        <f t="shared" si="2"/>
        <v>3.0989313349908096</v>
      </c>
      <c r="C79" s="4">
        <f t="shared" si="3"/>
        <v>6.92282646538977</v>
      </c>
      <c r="D79" s="4">
        <f t="shared" ref="D79:D142" si="8">$B$6*$B$12/9.81*($B$9*SQRT(2/($B$9-1)*(2/($B$9+1))^(($B$9+1)/($B$9-1))*(1 - (A79/$B$3)^(($B$9-1)/$B$9))) + C79/$B$3*(A79 - $E$6))</f>
        <v>183.02498355503809</v>
      </c>
      <c r="E79" s="4">
        <f t="shared" ref="E79:E142" si="9">$B$6*$B$12/9.81*($B$9*SQRT(2/($B$9-1)*(2/($B$9+1))^(($B$9+1)/($B$9-1))*(1 - (A79/$B$3)^(($B$9-1)/$B$9))) + C79/$B$3*(A79 - $E$4))</f>
        <v>182.04265785558096</v>
      </c>
    </row>
    <row r="80" spans="1:5" x14ac:dyDescent="0.55000000000000004">
      <c r="A80" s="25">
        <v>45.75</v>
      </c>
      <c r="B80" s="4">
        <f t="shared" ref="B80:B143" si="10">SQRT(2/($B$9-1)*((A80/$B$3)^((1-$B$9)/$B$9) - 1))</f>
        <v>3.0958872328146447</v>
      </c>
      <c r="C80" s="4">
        <f t="shared" ref="C80:C143" si="11">1/B80*(2/($B$9+1)*(1 + ($B$9-1)/2*B80^2))^(($B$9+1)/(2*$B$9-2))</f>
        <v>6.8953517602815397</v>
      </c>
      <c r="D80" s="4">
        <f t="shared" si="8"/>
        <v>183.07890665323336</v>
      </c>
      <c r="E80" s="4">
        <f t="shared" si="9"/>
        <v>182.10047952165854</v>
      </c>
    </row>
    <row r="81" spans="1:5" x14ac:dyDescent="0.55000000000000004">
      <c r="A81" s="25">
        <v>46</v>
      </c>
      <c r="B81" s="4">
        <f t="shared" si="10"/>
        <v>3.092859891599868</v>
      </c>
      <c r="C81" s="4">
        <f t="shared" si="11"/>
        <v>6.8681411367490091</v>
      </c>
      <c r="D81" s="4">
        <f t="shared" si="8"/>
        <v>183.13195314908154</v>
      </c>
      <c r="E81" s="4">
        <f t="shared" si="9"/>
        <v>182.15738711310516</v>
      </c>
    </row>
    <row r="82" spans="1:5" x14ac:dyDescent="0.55000000000000004">
      <c r="A82" s="25">
        <v>46.25</v>
      </c>
      <c r="B82" s="4">
        <f t="shared" si="10"/>
        <v>3.0898491260073406</v>
      </c>
      <c r="C82" s="4">
        <f t="shared" si="11"/>
        <v>6.8411906366553605</v>
      </c>
      <c r="D82" s="4">
        <f t="shared" si="8"/>
        <v>183.18413766152204</v>
      </c>
      <c r="E82" s="4">
        <f t="shared" si="9"/>
        <v>182.21339581050648</v>
      </c>
    </row>
    <row r="83" spans="1:5" x14ac:dyDescent="0.55000000000000004">
      <c r="A83" s="25">
        <v>46.5</v>
      </c>
      <c r="B83" s="4">
        <f t="shared" si="10"/>
        <v>3.0868547537419229</v>
      </c>
      <c r="C83" s="4">
        <f t="shared" si="11"/>
        <v>6.814496382228536</v>
      </c>
      <c r="D83" s="4">
        <f t="shared" si="8"/>
        <v>183.23547449858094</v>
      </c>
      <c r="E83" s="4">
        <f t="shared" si="9"/>
        <v>182.26852047213131</v>
      </c>
    </row>
    <row r="84" spans="1:5" x14ac:dyDescent="0.55000000000000004">
      <c r="A84" s="25">
        <v>46.75</v>
      </c>
      <c r="B84" s="4">
        <f t="shared" si="10"/>
        <v>3.0838765954863607</v>
      </c>
      <c r="C84" s="4">
        <f t="shared" si="11"/>
        <v>6.7880545740073694</v>
      </c>
      <c r="D84" s="4">
        <f t="shared" si="8"/>
        <v>183.28597766552659</v>
      </c>
      <c r="E84" s="4">
        <f t="shared" si="9"/>
        <v>182.32277564237876</v>
      </c>
    </row>
    <row r="85" spans="1:5" x14ac:dyDescent="0.55000000000000004">
      <c r="A85" s="25">
        <v>47</v>
      </c>
      <c r="B85" s="4">
        <f t="shared" si="10"/>
        <v>3.0809144748369603</v>
      </c>
      <c r="C85" s="4">
        <f t="shared" si="11"/>
        <v>6.7618614888508874</v>
      </c>
      <c r="D85" s="4">
        <f t="shared" si="8"/>
        <v>183.33566087277069</v>
      </c>
      <c r="E85" s="4">
        <f t="shared" si="9"/>
        <v>182.37617555996158</v>
      </c>
    </row>
    <row r="86" spans="1:5" x14ac:dyDescent="0.55000000000000004">
      <c r="A86" s="25">
        <v>47.25</v>
      </c>
      <c r="B86" s="4">
        <f t="shared" si="10"/>
        <v>3.0779682182409793</v>
      </c>
      <c r="C86" s="4">
        <f t="shared" si="11"/>
        <v>6.7359134780085173</v>
      </c>
      <c r="D86" s="4">
        <f t="shared" si="8"/>
        <v>183.3845375435227</v>
      </c>
      <c r="E86" s="4">
        <f t="shared" si="9"/>
        <v>182.4287341658347</v>
      </c>
    </row>
    <row r="87" spans="1:5" x14ac:dyDescent="0.55000000000000004">
      <c r="A87" s="25">
        <v>47.5</v>
      </c>
      <c r="B87" s="4">
        <f t="shared" si="10"/>
        <v>3.0750376549356915</v>
      </c>
      <c r="C87" s="4">
        <f t="shared" si="11"/>
        <v>6.7102069652488998</v>
      </c>
      <c r="D87" s="4">
        <f t="shared" si="8"/>
        <v>183.43262082120856</v>
      </c>
      <c r="E87" s="4">
        <f t="shared" si="9"/>
        <v>182.48046511087918</v>
      </c>
    </row>
    <row r="88" spans="1:5" x14ac:dyDescent="0.55000000000000004">
      <c r="A88" s="25">
        <v>47.75</v>
      </c>
      <c r="B88" s="4">
        <f t="shared" si="10"/>
        <v>3.0721226168890694</v>
      </c>
      <c r="C88" s="4">
        <f t="shared" si="11"/>
        <v>6.684738445045519</v>
      </c>
      <c r="D88" s="4">
        <f t="shared" si="8"/>
        <v>183.47992357665993</v>
      </c>
      <c r="E88" s="4">
        <f t="shared" si="9"/>
        <v>182.53138176334903</v>
      </c>
    </row>
    <row r="89" spans="1:5" x14ac:dyDescent="0.55000000000000004">
      <c r="A89" s="25">
        <v>48</v>
      </c>
      <c r="B89" s="4">
        <f t="shared" si="10"/>
        <v>3.0692229387420293</v>
      </c>
      <c r="C89" s="4">
        <f t="shared" si="11"/>
        <v>6.6595044808168042</v>
      </c>
      <c r="D89" s="4">
        <f t="shared" si="8"/>
        <v>183.52645841508397</v>
      </c>
      <c r="E89" s="4">
        <f t="shared" si="9"/>
        <v>182.58149721609084</v>
      </c>
    </row>
    <row r="90" spans="1:5" x14ac:dyDescent="0.55000000000000004">
      <c r="A90" s="25">
        <v>48.25</v>
      </c>
      <c r="B90" s="4">
        <f t="shared" si="10"/>
        <v>3.0663384577521908</v>
      </c>
      <c r="C90" s="4">
        <f t="shared" si="11"/>
        <v>6.6345017032189988</v>
      </c>
      <c r="D90" s="4">
        <f t="shared" si="8"/>
        <v>183.57223768282049</v>
      </c>
      <c r="E90" s="4">
        <f t="shared" si="9"/>
        <v>182.63082429354276</v>
      </c>
    </row>
    <row r="91" spans="1:5" x14ac:dyDescent="0.55000000000000004">
      <c r="A91" s="25">
        <v>48.5</v>
      </c>
      <c r="B91" s="4">
        <f t="shared" si="10"/>
        <v>3.0634690137391121</v>
      </c>
      <c r="C91" s="4">
        <f t="shared" si="11"/>
        <v>6.6097268084899845</v>
      </c>
      <c r="D91" s="4">
        <f t="shared" si="8"/>
        <v>183.61727347389396</v>
      </c>
      <c r="E91" s="4">
        <f t="shared" si="9"/>
        <v>182.67937555852208</v>
      </c>
    </row>
    <row r="92" spans="1:5" x14ac:dyDescent="0.55000000000000004">
      <c r="A92" s="25">
        <v>48.75</v>
      </c>
      <c r="B92" s="4">
        <f t="shared" si="10"/>
        <v>3.0606144490309379</v>
      </c>
      <c r="C92" s="4">
        <f t="shared" si="11"/>
        <v>6.5851765568420388</v>
      </c>
      <c r="D92" s="4">
        <f t="shared" si="8"/>
        <v>183.66157763636824</v>
      </c>
      <c r="E92" s="4">
        <f t="shared" si="9"/>
        <v>182.72716331880753</v>
      </c>
    </row>
    <row r="93" spans="1:5" x14ac:dyDescent="0.55000000000000004">
      <c r="A93" s="25">
        <v>49</v>
      </c>
      <c r="B93" s="4">
        <f t="shared" si="10"/>
        <v>3.0577746084124313</v>
      </c>
      <c r="C93" s="4">
        <f t="shared" si="11"/>
        <v>6.5608477709021287</v>
      </c>
      <c r="D93" s="4">
        <f t="shared" si="8"/>
        <v>183.70516177851064</v>
      </c>
      <c r="E93" s="4">
        <f t="shared" si="9"/>
        <v>182.77419963352494</v>
      </c>
    </row>
    <row r="94" spans="1:5" x14ac:dyDescent="0.55000000000000004">
      <c r="A94" s="25">
        <v>49.25</v>
      </c>
      <c r="B94" s="4">
        <f t="shared" si="10"/>
        <v>3.0549493390743483</v>
      </c>
      <c r="C94" s="4">
        <f t="shared" si="11"/>
        <v>6.5367373341979382</v>
      </c>
      <c r="D94" s="4">
        <f t="shared" si="8"/>
        <v>183.74803727477121</v>
      </c>
      <c r="E94" s="4">
        <f t="shared" si="9"/>
        <v>182.82049631934123</v>
      </c>
    </row>
    <row r="95" spans="1:5" x14ac:dyDescent="0.55000000000000004">
      <c r="A95" s="25">
        <v>49.5</v>
      </c>
      <c r="B95" s="4">
        <f t="shared" si="10"/>
        <v>3.0521384905640931</v>
      </c>
      <c r="C95" s="4">
        <f t="shared" si="11"/>
        <v>6.512842189688036</v>
      </c>
      <c r="D95" s="4">
        <f t="shared" si="8"/>
        <v>183.79021527158545</v>
      </c>
      <c r="E95" s="4">
        <f t="shared" si="9"/>
        <v>182.86606495647584</v>
      </c>
    </row>
    <row r="96" spans="1:5" x14ac:dyDescent="0.55000000000000004">
      <c r="A96" s="25">
        <v>49.75</v>
      </c>
      <c r="B96" s="4">
        <f t="shared" si="10"/>
        <v>3.0493419147376444</v>
      </c>
      <c r="C96" s="4">
        <f t="shared" si="11"/>
        <v>6.4891593383348853</v>
      </c>
      <c r="D96" s="4">
        <f t="shared" si="8"/>
        <v>183.83170669300429</v>
      </c>
      <c r="E96" s="4">
        <f t="shared" si="9"/>
        <v>182.91091689453293</v>
      </c>
    </row>
    <row r="97" spans="1:5" x14ac:dyDescent="0.55000000000000004">
      <c r="A97" s="25">
        <v>50</v>
      </c>
      <c r="B97" s="4">
        <f t="shared" si="10"/>
        <v>3.046559465712682</v>
      </c>
      <c r="C97" s="4">
        <f t="shared" si="11"/>
        <v>6.4656858377188637</v>
      </c>
      <c r="D97" s="4">
        <f t="shared" si="8"/>
        <v>183.87252224615924</v>
      </c>
      <c r="E97" s="4">
        <f t="shared" si="9"/>
        <v>182.95506325816339</v>
      </c>
    </row>
    <row r="98" spans="1:5" x14ac:dyDescent="0.55000000000000004">
      <c r="A98" s="25">
        <v>50.25</v>
      </c>
      <c r="B98" s="4">
        <f t="shared" si="10"/>
        <v>3.0437909998229205</v>
      </c>
      <c r="C98" s="4">
        <f t="shared" si="11"/>
        <v>6.4424188006924359</v>
      </c>
      <c r="D98" s="4">
        <f t="shared" si="8"/>
        <v>183.91267242656707</v>
      </c>
      <c r="E98" s="4">
        <f t="shared" si="9"/>
        <v>182.99851495256056</v>
      </c>
    </row>
    <row r="99" spans="1:5" x14ac:dyDescent="0.55000000000000004">
      <c r="A99" s="25">
        <v>50.5</v>
      </c>
      <c r="B99" s="4">
        <f t="shared" si="10"/>
        <v>3.0410363755735546</v>
      </c>
      <c r="C99" s="4">
        <f t="shared" si="11"/>
        <v>6.4193553940725474</v>
      </c>
      <c r="D99" s="4">
        <f t="shared" si="8"/>
        <v>183.95216752328005</v>
      </c>
      <c r="E99" s="4">
        <f t="shared" si="9"/>
        <v>183.04128266879584</v>
      </c>
    </row>
    <row r="100" spans="1:5" x14ac:dyDescent="0.55000000000000004">
      <c r="A100" s="25">
        <v>50.75</v>
      </c>
      <c r="B100" s="4">
        <f t="shared" si="10"/>
        <v>3.0382954535978475</v>
      </c>
      <c r="C100" s="4">
        <f t="shared" si="11"/>
        <v>6.396492837370495</v>
      </c>
      <c r="D100" s="4">
        <f t="shared" si="8"/>
        <v>183.99101762388702</v>
      </c>
      <c r="E100" s="4">
        <f t="shared" si="9"/>
        <v>183.08337688899985</v>
      </c>
    </row>
    <row r="101" spans="1:5" x14ac:dyDescent="0.55000000000000004">
      <c r="A101" s="25">
        <v>51</v>
      </c>
      <c r="B101" s="4">
        <f t="shared" si="10"/>
        <v>3.0355680966147758</v>
      </c>
      <c r="C101" s="4">
        <f t="shared" si="11"/>
        <v>6.3738284015576285</v>
      </c>
      <c r="D101" s="4">
        <f t="shared" si="8"/>
        <v>184.02923261936962</v>
      </c>
      <c r="E101" s="4">
        <f t="shared" si="9"/>
        <v>183.1248078913944</v>
      </c>
    </row>
    <row r="102" spans="1:5" x14ac:dyDescent="0.55000000000000004">
      <c r="A102" s="25">
        <v>51.25</v>
      </c>
      <c r="B102" s="4">
        <f t="shared" si="10"/>
        <v>3.03285416938773</v>
      </c>
      <c r="C102" s="4">
        <f t="shared" si="11"/>
        <v>6.3513594078659086</v>
      </c>
      <c r="D102" s="4">
        <f t="shared" si="8"/>
        <v>184.0668222088197</v>
      </c>
      <c r="E102" s="4">
        <f t="shared" si="9"/>
        <v>183.16558575517936</v>
      </c>
    </row>
    <row r="103" spans="1:5" x14ac:dyDescent="0.55000000000000004">
      <c r="A103" s="25">
        <v>51.5</v>
      </c>
      <c r="B103" s="4">
        <f t="shared" si="10"/>
        <v>3.0301535386842313</v>
      </c>
      <c r="C103" s="4">
        <f t="shared" si="11"/>
        <v>6.3290832266221502</v>
      </c>
      <c r="D103" s="4">
        <f t="shared" si="8"/>
        <v>184.10379590402147</v>
      </c>
      <c r="E103" s="4">
        <f t="shared" si="9"/>
        <v>183.20572036528068</v>
      </c>
    </row>
    <row r="104" spans="1:5" x14ac:dyDescent="0.55000000000000004">
      <c r="A104" s="25">
        <v>51.75</v>
      </c>
      <c r="B104" s="4">
        <f t="shared" si="10"/>
        <v>3.0274660732366256</v>
      </c>
      <c r="C104" s="4">
        <f t="shared" si="11"/>
        <v>6.306997276114747</v>
      </c>
      <c r="D104" s="4">
        <f t="shared" si="8"/>
        <v>184.14016303390332</v>
      </c>
      <c r="E104" s="4">
        <f t="shared" si="9"/>
        <v>183.24522141696295</v>
      </c>
    </row>
    <row r="105" spans="1:5" x14ac:dyDescent="0.55000000000000004">
      <c r="A105" s="25">
        <v>52</v>
      </c>
      <c r="B105" s="4">
        <f t="shared" si="10"/>
        <v>3.0247916437037445</v>
      </c>
      <c r="C105" s="4">
        <f t="shared" si="11"/>
        <v>6.285099021491968</v>
      </c>
      <c r="D105" s="4">
        <f t="shared" si="8"/>
        <v>184.17593274886374</v>
      </c>
      <c r="E105" s="4">
        <f t="shared" si="9"/>
        <v>183.28409842031152</v>
      </c>
    </row>
    <row r="106" spans="1:5" x14ac:dyDescent="0.55000000000000004">
      <c r="A106" s="25">
        <v>52.25</v>
      </c>
      <c r="B106" s="4">
        <f t="shared" si="10"/>
        <v>3.0221301226334907</v>
      </c>
      <c r="C106" s="4">
        <f t="shared" si="11"/>
        <v>6.2633859736906823</v>
      </c>
      <c r="D106" s="4">
        <f t="shared" si="8"/>
        <v>184.21111402497519</v>
      </c>
      <c r="E106" s="4">
        <f t="shared" si="9"/>
        <v>183.32236070458856</v>
      </c>
    </row>
    <row r="107" spans="1:5" x14ac:dyDescent="0.55000000000000004">
      <c r="A107" s="25">
        <v>52.5</v>
      </c>
      <c r="B107" s="4">
        <f t="shared" si="10"/>
        <v>3.019481384426324</v>
      </c>
      <c r="C107" s="4">
        <f t="shared" si="11"/>
        <v>6.2418556883945522</v>
      </c>
      <c r="D107" s="4">
        <f t="shared" si="8"/>
        <v>184.24571566807029</v>
      </c>
      <c r="E107" s="4">
        <f t="shared" si="9"/>
        <v>183.36001742246685</v>
      </c>
    </row>
    <row r="108" spans="1:5" x14ac:dyDescent="0.55000000000000004">
      <c r="A108" s="25">
        <v>52.75</v>
      </c>
      <c r="B108" s="4">
        <f t="shared" si="10"/>
        <v>3.0168453052996256</v>
      </c>
      <c r="C108" s="4">
        <f t="shared" si="11"/>
        <v>6.2205057650207767</v>
      </c>
      <c r="D108" s="4">
        <f t="shared" si="8"/>
        <v>184.27974631771357</v>
      </c>
      <c r="E108" s="4">
        <f t="shared" si="9"/>
        <v>183.3970775541456</v>
      </c>
    </row>
    <row r="109" spans="1:5" x14ac:dyDescent="0.55000000000000004">
      <c r="A109" s="25">
        <v>53</v>
      </c>
      <c r="B109" s="4">
        <f t="shared" si="10"/>
        <v>3.0142217632529151</v>
      </c>
      <c r="C109" s="4">
        <f t="shared" si="11"/>
        <v>6.1993338457345217</v>
      </c>
      <c r="D109" s="4">
        <f t="shared" si="8"/>
        <v>184.31321445106317</v>
      </c>
      <c r="E109" s="4">
        <f t="shared" si="9"/>
        <v>183.43354991135169</v>
      </c>
    </row>
    <row r="110" spans="1:5" x14ac:dyDescent="0.55000000000000004">
      <c r="A110" s="25">
        <v>53.25</v>
      </c>
      <c r="B110" s="4">
        <f t="shared" si="10"/>
        <v>3.0116106380338907</v>
      </c>
      <c r="C110" s="4">
        <f t="shared" si="11"/>
        <v>6.1783376144900037</v>
      </c>
      <c r="D110" s="4">
        <f t="shared" si="8"/>
        <v>184.34612838662531</v>
      </c>
      <c r="E110" s="4">
        <f t="shared" si="9"/>
        <v>183.46944314123047</v>
      </c>
    </row>
    <row r="111" spans="1:5" x14ac:dyDescent="0.55000000000000004">
      <c r="A111" s="25">
        <v>53.5</v>
      </c>
      <c r="B111" s="4">
        <f t="shared" si="10"/>
        <v>3.0090118111052777</v>
      </c>
      <c r="C111" s="4">
        <f t="shared" si="11"/>
        <v>6.1575147960975025</v>
      </c>
      <c r="D111" s="4">
        <f t="shared" si="8"/>
        <v>184.37849628790622</v>
      </c>
      <c r="E111" s="4">
        <f t="shared" si="9"/>
        <v>183.50476573012983</v>
      </c>
    </row>
    <row r="112" spans="1:5" x14ac:dyDescent="0.55000000000000004">
      <c r="A112" s="25">
        <v>53.75</v>
      </c>
      <c r="B112" s="4">
        <f t="shared" si="10"/>
        <v>3.006425165612451</v>
      </c>
      <c r="C112" s="4">
        <f t="shared" si="11"/>
        <v>6.1368631553155151</v>
      </c>
      <c r="D112" s="4">
        <f t="shared" si="8"/>
        <v>184.41032616696265</v>
      </c>
      <c r="E112" s="4">
        <f t="shared" si="9"/>
        <v>183.53952600727979</v>
      </c>
    </row>
    <row r="113" spans="1:5" x14ac:dyDescent="0.55000000000000004">
      <c r="A113" s="25">
        <v>54</v>
      </c>
      <c r="B113" s="4">
        <f t="shared" si="10"/>
        <v>3.0038505863518234</v>
      </c>
      <c r="C113" s="4">
        <f t="shared" si="11"/>
        <v>6.1163804959670598</v>
      </c>
      <c r="D113" s="4">
        <f t="shared" si="8"/>
        <v>184.44162588785687</v>
      </c>
      <c r="E113" s="4">
        <f t="shared" si="9"/>
        <v>183.57373214837276</v>
      </c>
    </row>
    <row r="114" spans="1:5" x14ac:dyDescent="0.55000000000000004">
      <c r="A114" s="25">
        <v>54.25</v>
      </c>
      <c r="B114" s="4">
        <f t="shared" si="10"/>
        <v>3.0012879597399702</v>
      </c>
      <c r="C114" s="4">
        <f t="shared" si="11"/>
        <v>6.0960646600797332</v>
      </c>
      <c r="D114" s="4">
        <f t="shared" si="8"/>
        <v>184.47240317001686</v>
      </c>
      <c r="E114" s="4">
        <f t="shared" si="9"/>
        <v>183.6073921790456</v>
      </c>
    </row>
    <row r="115" spans="1:5" x14ac:dyDescent="0.55000000000000004">
      <c r="A115" s="25">
        <v>54.5</v>
      </c>
      <c r="B115" s="4">
        <f t="shared" si="10"/>
        <v>2.9987371737834652</v>
      </c>
      <c r="C115" s="4">
        <f t="shared" si="11"/>
        <v>6.0759135270483391</v>
      </c>
      <c r="D115" s="4">
        <f t="shared" si="8"/>
        <v>184.50266559150609</v>
      </c>
      <c r="E115" s="4">
        <f t="shared" si="9"/>
        <v>183.64051397826861</v>
      </c>
    </row>
    <row r="116" spans="1:5" x14ac:dyDescent="0.55000000000000004">
      <c r="A116" s="25">
        <v>54.75</v>
      </c>
      <c r="B116" s="4">
        <f t="shared" si="10"/>
        <v>2.9961981180494215</v>
      </c>
      <c r="C116" s="4">
        <f t="shared" si="11"/>
        <v>6.0559250128197588</v>
      </c>
      <c r="D116" s="4">
        <f t="shared" si="8"/>
        <v>184.53242059220509</v>
      </c>
      <c r="E116" s="4">
        <f t="shared" si="9"/>
        <v>183.67310528164239</v>
      </c>
    </row>
    <row r="117" spans="1:5" x14ac:dyDescent="0.55000000000000004">
      <c r="A117" s="25">
        <v>55</v>
      </c>
      <c r="B117" s="4">
        <f t="shared" si="10"/>
        <v>2.9936706836367066</v>
      </c>
      <c r="C117" s="4">
        <f t="shared" si="11"/>
        <v>6.0360970690991973</v>
      </c>
      <c r="D117" s="4">
        <f t="shared" si="8"/>
        <v>184.56167547690819</v>
      </c>
      <c r="E117" s="4">
        <f t="shared" si="9"/>
        <v>183.70517368460736</v>
      </c>
    </row>
    <row r="118" spans="1:5" x14ac:dyDescent="0.55000000000000004">
      <c r="A118" s="25">
        <v>55.25</v>
      </c>
      <c r="B118" s="4">
        <f t="shared" si="10"/>
        <v>2.991154763147815</v>
      </c>
      <c r="C118" s="4">
        <f t="shared" si="11"/>
        <v>6.0164276825771879</v>
      </c>
      <c r="D118" s="4">
        <f t="shared" si="8"/>
        <v>184.59043741833656</v>
      </c>
      <c r="E118" s="4">
        <f t="shared" si="9"/>
        <v>183.73672664556651</v>
      </c>
    </row>
    <row r="119" spans="1:5" x14ac:dyDescent="0.55000000000000004">
      <c r="A119" s="25">
        <v>55.5</v>
      </c>
      <c r="B119" s="4">
        <f t="shared" si="10"/>
        <v>2.9886502506613883</v>
      </c>
      <c r="C119" s="4">
        <f t="shared" si="11"/>
        <v>5.9969148741767029</v>
      </c>
      <c r="D119" s="4">
        <f t="shared" si="8"/>
        <v>184.6187134600728</v>
      </c>
      <c r="E119" s="4">
        <f t="shared" si="9"/>
        <v>183.76777148892677</v>
      </c>
    </row>
    <row r="120" spans="1:5" x14ac:dyDescent="0.55000000000000004">
      <c r="A120" s="25">
        <v>55.75</v>
      </c>
      <c r="B120" s="4">
        <f t="shared" si="10"/>
        <v>2.9861570417053533</v>
      </c>
      <c r="C120" s="4">
        <f t="shared" si="11"/>
        <v>5.9775566983198223</v>
      </c>
      <c r="D120" s="4">
        <f t="shared" si="8"/>
        <v>184.64651051941635</v>
      </c>
      <c r="E120" s="4">
        <f t="shared" si="9"/>
        <v>183.79831540805858</v>
      </c>
    </row>
    <row r="121" spans="1:5" x14ac:dyDescent="0.55000000000000004">
      <c r="A121" s="25">
        <v>56</v>
      </c>
      <c r="B121" s="4">
        <f t="shared" si="10"/>
        <v>2.9836750332306705</v>
      </c>
      <c r="C121" s="4">
        <f t="shared" si="11"/>
        <v>5.9583512422132792</v>
      </c>
      <c r="D121" s="4">
        <f t="shared" si="8"/>
        <v>184.6738353901647</v>
      </c>
      <c r="E121" s="4">
        <f t="shared" si="9"/>
        <v>183.8283654681783</v>
      </c>
    </row>
    <row r="122" spans="1:5" x14ac:dyDescent="0.55000000000000004">
      <c r="A122" s="25">
        <v>56.25</v>
      </c>
      <c r="B122" s="4">
        <f t="shared" si="10"/>
        <v>2.9812041235856697</v>
      </c>
      <c r="C122" s="4">
        <f t="shared" si="11"/>
        <v>5.9392966251523296</v>
      </c>
      <c r="D122" s="4">
        <f t="shared" si="8"/>
        <v>184.70069474532164</v>
      </c>
      <c r="E122" s="4">
        <f t="shared" si="9"/>
        <v>183.85792860915538</v>
      </c>
    </row>
    <row r="123" spans="1:5" x14ac:dyDescent="0.55000000000000004">
      <c r="A123" s="25">
        <v>56.5</v>
      </c>
      <c r="B123" s="4">
        <f t="shared" si="10"/>
        <v>2.978744212490966</v>
      </c>
      <c r="C123" s="4">
        <f t="shared" si="11"/>
        <v>5.9203909978425626</v>
      </c>
      <c r="D123" s="4">
        <f t="shared" si="8"/>
        <v>184.7270951397341</v>
      </c>
      <c r="E123" s="4">
        <f t="shared" si="9"/>
        <v>183.88701164824536</v>
      </c>
    </row>
    <row r="124" spans="1:5" x14ac:dyDescent="0.55000000000000004">
      <c r="A124" s="25">
        <v>56.75</v>
      </c>
      <c r="B124" s="4">
        <f t="shared" si="10"/>
        <v>2.9762952010149322</v>
      </c>
      <c r="C124" s="4">
        <f t="shared" si="11"/>
        <v>5.901632541738798</v>
      </c>
      <c r="D124" s="4">
        <f t="shared" si="8"/>
        <v>184.75304301266135</v>
      </c>
      <c r="E124" s="4">
        <f t="shared" si="9"/>
        <v>183.91562128275294</v>
      </c>
    </row>
    <row r="125" spans="1:5" x14ac:dyDescent="0.55000000000000004">
      <c r="A125" s="25">
        <v>57</v>
      </c>
      <c r="B125" s="4">
        <f t="shared" si="10"/>
        <v>2.9738569915497113</v>
      </c>
      <c r="C125" s="4">
        <f t="shared" si="11"/>
        <v>5.8830194684008319</v>
      </c>
      <c r="D125" s="4">
        <f t="shared" si="8"/>
        <v>184.77854469027713</v>
      </c>
      <c r="E125" s="4">
        <f t="shared" si="9"/>
        <v>183.94376409262546</v>
      </c>
    </row>
    <row r="126" spans="1:5" x14ac:dyDescent="0.55000000000000004">
      <c r="A126" s="25">
        <v>57.25</v>
      </c>
      <c r="B126" s="4">
        <f t="shared" si="10"/>
        <v>2.9714294877877707</v>
      </c>
      <c r="C126" s="4">
        <f t="shared" si="11"/>
        <v>5.8645500188654971</v>
      </c>
      <c r="D126" s="4">
        <f t="shared" si="8"/>
        <v>184.80360638810734</v>
      </c>
      <c r="E126" s="4">
        <f t="shared" si="9"/>
        <v>183.97144654297981</v>
      </c>
    </row>
    <row r="127" spans="1:5" x14ac:dyDescent="0.55000000000000004">
      <c r="A127" s="25">
        <v>57.5</v>
      </c>
      <c r="B127" s="4">
        <f t="shared" si="10"/>
        <v>2.9690125946989578</v>
      </c>
      <c r="C127" s="4">
        <f t="shared" si="11"/>
        <v>5.8462224630343291</v>
      </c>
      <c r="D127" s="4">
        <f t="shared" si="8"/>
        <v>184.82823421340564</v>
      </c>
      <c r="E127" s="4">
        <f t="shared" si="9"/>
        <v>183.99867498656477</v>
      </c>
    </row>
    <row r="128" spans="1:5" x14ac:dyDescent="0.55000000000000004">
      <c r="A128" s="25">
        <v>57.75</v>
      </c>
      <c r="B128" s="4">
        <f t="shared" si="10"/>
        <v>2.9666062185080739</v>
      </c>
      <c r="C128" s="4">
        <f t="shared" si="11"/>
        <v>5.8280350990767866</v>
      </c>
      <c r="D128" s="4">
        <f t="shared" si="8"/>
        <v>184.85243416746778</v>
      </c>
      <c r="E128" s="4">
        <f t="shared" si="9"/>
        <v>184.0254556661601</v>
      </c>
    </row>
    <row r="129" spans="1:5" x14ac:dyDescent="0.55000000000000004">
      <c r="A129" s="25">
        <v>58</v>
      </c>
      <c r="B129" s="4">
        <f t="shared" si="10"/>
        <v>2.9642102666729206</v>
      </c>
      <c r="C129" s="4">
        <f t="shared" si="11"/>
        <v>5.809986252848085</v>
      </c>
      <c r="D129" s="4">
        <f t="shared" si="8"/>
        <v>184.87621214788746</v>
      </c>
      <c r="E129" s="4">
        <f t="shared" si="9"/>
        <v>184.05179471691494</v>
      </c>
    </row>
    <row r="130" spans="1:5" x14ac:dyDescent="0.55000000000000004">
      <c r="A130" s="25">
        <v>58.25</v>
      </c>
      <c r="B130" s="4">
        <f t="shared" si="10"/>
        <v>2.9618246478628416</v>
      </c>
      <c r="C130" s="4">
        <f t="shared" si="11"/>
        <v>5.7920742773217029</v>
      </c>
      <c r="D130" s="4">
        <f t="shared" si="8"/>
        <v>184.89957395075464</v>
      </c>
      <c r="E130" s="4">
        <f t="shared" si="9"/>
        <v>184.0776981686268</v>
      </c>
    </row>
    <row r="131" spans="1:5" x14ac:dyDescent="0.55000000000000004">
      <c r="A131" s="25">
        <v>58.5</v>
      </c>
      <c r="B131" s="4">
        <f t="shared" si="10"/>
        <v>2.9594492719377126</v>
      </c>
      <c r="C131" s="4">
        <f t="shared" si="11"/>
        <v>5.7742975520357227</v>
      </c>
      <c r="D131" s="4">
        <f t="shared" si="8"/>
        <v>184.92252527279905</v>
      </c>
      <c r="E131" s="4">
        <f t="shared" si="9"/>
        <v>184.10317194796343</v>
      </c>
    </row>
    <row r="132" spans="1:5" x14ac:dyDescent="0.55000000000000004">
      <c r="A132" s="25">
        <v>58.75</v>
      </c>
      <c r="B132" s="4">
        <f t="shared" si="10"/>
        <v>2.9570840499273889</v>
      </c>
      <c r="C132" s="4">
        <f t="shared" si="11"/>
        <v>5.7566544825528707</v>
      </c>
      <c r="D132" s="4">
        <f t="shared" si="8"/>
        <v>184.94507171347894</v>
      </c>
      <c r="E132" s="4">
        <f t="shared" si="9"/>
        <v>184.12822188062842</v>
      </c>
    </row>
    <row r="133" spans="1:5" x14ac:dyDescent="0.55000000000000004">
      <c r="A133" s="25">
        <v>59</v>
      </c>
      <c r="B133" s="4">
        <f t="shared" si="10"/>
        <v>2.9547288940116028</v>
      </c>
      <c r="C133" s="4">
        <f t="shared" si="11"/>
        <v>5.7391434999338014</v>
      </c>
      <c r="D133" s="4">
        <f t="shared" si="8"/>
        <v>184.96721877701827</v>
      </c>
      <c r="E133" s="4">
        <f t="shared" si="9"/>
        <v>184.15285369347291</v>
      </c>
    </row>
    <row r="134" spans="1:5" x14ac:dyDescent="0.55000000000000004">
      <c r="A134" s="25">
        <v>59.25</v>
      </c>
      <c r="B134" s="4">
        <f t="shared" si="10"/>
        <v>2.9523837175002745</v>
      </c>
      <c r="C134" s="4">
        <f t="shared" si="11"/>
        <v>5.7217630602231608</v>
      </c>
      <c r="D134" s="4">
        <f t="shared" si="8"/>
        <v>184.98897187439312</v>
      </c>
      <c r="E134" s="4">
        <f t="shared" si="9"/>
        <v>184.17707301655497</v>
      </c>
    </row>
    <row r="135" spans="1:5" x14ac:dyDescent="0.55000000000000004">
      <c r="A135" s="25">
        <v>59.5</v>
      </c>
      <c r="B135" s="4">
        <f t="shared" si="10"/>
        <v>2.9500484348142555</v>
      </c>
      <c r="C135" s="4">
        <f t="shared" si="11"/>
        <v>5.704511643948166</v>
      </c>
      <c r="D135" s="4">
        <f t="shared" si="8"/>
        <v>185.01033632526804</v>
      </c>
      <c r="E135" s="4">
        <f t="shared" si="9"/>
        <v>184.2008853851473</v>
      </c>
    </row>
    <row r="136" spans="1:5" x14ac:dyDescent="0.55000000000000004">
      <c r="A136" s="25">
        <v>59.75</v>
      </c>
      <c r="B136" s="4">
        <f t="shared" si="10"/>
        <v>2.9477229614664706</v>
      </c>
      <c r="C136" s="4">
        <f t="shared" si="11"/>
        <v>5.6873877556292918</v>
      </c>
      <c r="D136" s="4">
        <f t="shared" si="8"/>
        <v>185.0313173598858</v>
      </c>
      <c r="E136" s="4">
        <f t="shared" si="9"/>
        <v>184.22429624169607</v>
      </c>
    </row>
    <row r="137" spans="1:5" x14ac:dyDescent="0.55000000000000004">
      <c r="A137" s="25">
        <v>60</v>
      </c>
      <c r="B137" s="4">
        <f t="shared" si="10"/>
        <v>2.9454072140434624</v>
      </c>
      <c r="C137" s="4">
        <f t="shared" si="11"/>
        <v>5.6703899233027668</v>
      </c>
      <c r="D137" s="4">
        <f t="shared" si="8"/>
        <v>185.05192012090944</v>
      </c>
      <c r="E137" s="4">
        <f t="shared" si="9"/>
        <v>184.24731093773104</v>
      </c>
    </row>
    <row r="138" spans="1:5" x14ac:dyDescent="0.55000000000000004">
      <c r="A138" s="25">
        <v>60.25</v>
      </c>
      <c r="B138" s="4">
        <f t="shared" si="10"/>
        <v>2.9431011101873223</v>
      </c>
      <c r="C138" s="4">
        <f t="shared" si="11"/>
        <v>5.6535166980544922</v>
      </c>
      <c r="D138" s="4">
        <f t="shared" si="8"/>
        <v>185.07214966521991</v>
      </c>
      <c r="E138" s="4">
        <f t="shared" si="9"/>
        <v>184.26993473572921</v>
      </c>
    </row>
    <row r="139" spans="1:5" x14ac:dyDescent="0.55000000000000004">
      <c r="A139" s="25">
        <v>60.5</v>
      </c>
      <c r="B139" s="4">
        <f t="shared" si="10"/>
        <v>2.9408045685779993</v>
      </c>
      <c r="C139" s="4">
        <f t="shared" si="11"/>
        <v>5.6367666535650747</v>
      </c>
      <c r="D139" s="4">
        <f t="shared" si="8"/>
        <v>185.0920109656692</v>
      </c>
      <c r="E139" s="4">
        <f t="shared" si="9"/>
        <v>184.29217281093247</v>
      </c>
    </row>
    <row r="140" spans="1:5" x14ac:dyDescent="0.55000000000000004">
      <c r="A140" s="25">
        <v>60.75</v>
      </c>
      <c r="B140" s="4">
        <f t="shared" si="10"/>
        <v>2.9385175089159752</v>
      </c>
      <c r="C140" s="4">
        <f t="shared" si="11"/>
        <v>5.6201383856657525</v>
      </c>
      <c r="D140" s="4">
        <f t="shared" si="8"/>
        <v>185.11150891279189</v>
      </c>
      <c r="E140" s="4">
        <f t="shared" si="9"/>
        <v>184.31403025312218</v>
      </c>
    </row>
    <row r="141" spans="1:5" x14ac:dyDescent="0.55000000000000004">
      <c r="A141" s="25">
        <v>61</v>
      </c>
      <c r="B141" s="4">
        <f t="shared" si="10"/>
        <v>2.9362398519053037</v>
      </c>
      <c r="C141" s="4">
        <f t="shared" si="11"/>
        <v>5.6036305119047221</v>
      </c>
      <c r="D141" s="4">
        <f t="shared" si="8"/>
        <v>185.13064831647384</v>
      </c>
      <c r="E141" s="4">
        <f t="shared" si="9"/>
        <v>184.33551206834949</v>
      </c>
    </row>
    <row r="142" spans="1:5" x14ac:dyDescent="0.55000000000000004">
      <c r="A142" s="25">
        <v>61.25</v>
      </c>
      <c r="B142" s="4">
        <f t="shared" si="10"/>
        <v>2.9339715192369962</v>
      </c>
      <c r="C142" s="4">
        <f t="shared" si="11"/>
        <v>5.5872416711238371</v>
      </c>
      <c r="D142" s="4">
        <f t="shared" si="8"/>
        <v>185.14943390758199</v>
      </c>
      <c r="E142" s="4">
        <f t="shared" si="9"/>
        <v>184.35662318062501</v>
      </c>
    </row>
    <row r="143" spans="1:5" x14ac:dyDescent="0.55000000000000004">
      <c r="A143" s="25">
        <v>61.5</v>
      </c>
      <c r="B143" s="4">
        <f t="shared" si="10"/>
        <v>2.9317124335727476</v>
      </c>
      <c r="C143" s="4">
        <f t="shared" si="11"/>
        <v>5.5709705230450721</v>
      </c>
      <c r="D143" s="4">
        <f t="shared" ref="D143:D206" si="12">$B$6*$B$12/9.81*($B$9*SQRT(2/($B$9-1)*(2/($B$9+1))^(($B$9+1)/($B$9-1))*(1 - (A143/$B$3)^(($B$9-1)/$B$9))) + C143/$B$3*(A143 - $E$6))</f>
        <v>185.16787033955376</v>
      </c>
      <c r="E143" s="4">
        <f t="shared" ref="E143:E206" si="13">$B$6*$B$12/9.81*($B$9*SQRT(2/($B$9-1)*(2/($B$9+1))^(($B$9+1)/($B$9-1))*(1 - (A143/$B$3)^(($B$9-1)/$B$9))) + C143/$B$3*(A143 - $E$4))</f>
        <v>184.37736843356711</v>
      </c>
    </row>
    <row r="144" spans="1:5" x14ac:dyDescent="0.55000000000000004">
      <c r="A144" s="25">
        <v>61.75</v>
      </c>
      <c r="B144" s="4">
        <f t="shared" ref="B144:B207" si="14">SQRT(2/($B$9-1)*((A144/$B$3)^((1-$B$9)/$B$9) - 1))</f>
        <v>2.9294625185290033</v>
      </c>
      <c r="C144" s="4">
        <f t="shared" ref="C144:C207" si="15">1/B144*(2/($B$9+1)*(1 + ($B$9-1)/2*B144^2))^(($B$9+1)/(2*$B$9-2))</f>
        <v>5.55481574786688</v>
      </c>
      <c r="D144" s="4">
        <f t="shared" si="12"/>
        <v>185.18596218994949</v>
      </c>
      <c r="E144" s="4">
        <f t="shared" si="13"/>
        <v>184.39775259201159</v>
      </c>
    </row>
    <row r="145" spans="1:5" x14ac:dyDescent="0.55000000000000004">
      <c r="A145" s="25">
        <v>62</v>
      </c>
      <c r="B145" s="4">
        <f t="shared" si="14"/>
        <v>2.9272216986613437</v>
      </c>
      <c r="C145" s="4">
        <f t="shared" si="15"/>
        <v>5.538776045869727</v>
      </c>
      <c r="D145" s="4">
        <f t="shared" si="12"/>
        <v>185.20371396196722</v>
      </c>
      <c r="E145" s="4">
        <f t="shared" si="13"/>
        <v>184.41778034358222</v>
      </c>
    </row>
    <row r="146" spans="1:5" x14ac:dyDescent="0.55000000000000004">
      <c r="A146" s="25">
        <v>62.25</v>
      </c>
      <c r="B146" s="4">
        <f t="shared" si="14"/>
        <v>2.9249898994491854</v>
      </c>
      <c r="C146" s="4">
        <f t="shared" si="15"/>
        <v>5.5228501370309484</v>
      </c>
      <c r="D146" s="4">
        <f t="shared" si="12"/>
        <v>185.22113008592177</v>
      </c>
      <c r="E146" s="4">
        <f t="shared" si="13"/>
        <v>184.43745630022474</v>
      </c>
    </row>
    <row r="147" spans="1:5" x14ac:dyDescent="0.55000000000000004">
      <c r="A147" s="25">
        <v>62.5</v>
      </c>
      <c r="B147" s="4">
        <f t="shared" si="14"/>
        <v>2.9227670472808023</v>
      </c>
      <c r="C147" s="4">
        <f t="shared" si="15"/>
        <v>5.5070367606484307</v>
      </c>
      <c r="D147" s="4">
        <f t="shared" si="12"/>
        <v>185.23821492068865</v>
      </c>
      <c r="E147" s="4">
        <f t="shared" si="13"/>
        <v>184.45678499970396</v>
      </c>
    </row>
    <row r="148" spans="1:5" x14ac:dyDescent="0.55000000000000004">
      <c r="A148" s="25">
        <v>62.75</v>
      </c>
      <c r="B148" s="4">
        <f t="shared" si="14"/>
        <v>2.9205530694386361</v>
      </c>
      <c r="C148" s="4">
        <f t="shared" si="15"/>
        <v>5.491334674972995</v>
      </c>
      <c r="D148" s="4">
        <f t="shared" si="12"/>
        <v>185.25497275511393</v>
      </c>
      <c r="E148" s="4">
        <f t="shared" si="13"/>
        <v>184.47577090706608</v>
      </c>
    </row>
    <row r="149" spans="1:5" x14ac:dyDescent="0.55000000000000004">
      <c r="A149" s="25">
        <v>63</v>
      </c>
      <c r="B149" s="4">
        <f t="shared" si="14"/>
        <v>2.9183478940849077</v>
      </c>
      <c r="C149" s="4">
        <f t="shared" si="15"/>
        <v>5.4757426568491301</v>
      </c>
      <c r="D149" s="4">
        <f t="shared" si="12"/>
        <v>185.27140780939152</v>
      </c>
      <c r="E149" s="4">
        <f t="shared" si="13"/>
        <v>184.49441841606662</v>
      </c>
    </row>
    <row r="150" spans="1:5" x14ac:dyDescent="0.55000000000000004">
      <c r="A150" s="25">
        <v>63.25</v>
      </c>
      <c r="B150" s="4">
        <f t="shared" si="14"/>
        <v>2.9161514502475194</v>
      </c>
      <c r="C150" s="4">
        <f t="shared" si="15"/>
        <v>5.4602595013640656</v>
      </c>
      <c r="D150" s="4">
        <f t="shared" si="12"/>
        <v>185.28752423640773</v>
      </c>
      <c r="E150" s="4">
        <f t="shared" si="13"/>
        <v>184.51273185056496</v>
      </c>
    </row>
    <row r="151" spans="1:5" x14ac:dyDescent="0.55000000000000004">
      <c r="A151" s="25">
        <v>63.5</v>
      </c>
      <c r="B151" s="4">
        <f t="shared" si="14"/>
        <v>2.9139636678062324</v>
      </c>
      <c r="C151" s="4">
        <f t="shared" si="15"/>
        <v>5.444884021504695</v>
      </c>
      <c r="D151" s="4">
        <f t="shared" si="12"/>
        <v>185.30332612305443</v>
      </c>
      <c r="E151" s="4">
        <f t="shared" si="13"/>
        <v>184.53071546588606</v>
      </c>
    </row>
    <row r="152" spans="1:5" x14ac:dyDescent="0.55000000000000004">
      <c r="A152" s="25">
        <v>63.75</v>
      </c>
      <c r="B152" s="4">
        <f t="shared" si="14"/>
        <v>2.9117844774791193</v>
      </c>
      <c r="C152" s="4">
        <f t="shared" si="15"/>
        <v>5.4296150478223515</v>
      </c>
      <c r="D152" s="4">
        <f t="shared" si="12"/>
        <v>185.31881749151231</v>
      </c>
      <c r="E152" s="4">
        <f t="shared" si="13"/>
        <v>184.54837345015142</v>
      </c>
    </row>
    <row r="153" spans="1:5" x14ac:dyDescent="0.55000000000000004">
      <c r="A153" s="25">
        <v>64</v>
      </c>
      <c r="B153" s="4">
        <f t="shared" si="14"/>
        <v>2.9096138108092879</v>
      </c>
      <c r="C153" s="4">
        <f t="shared" si="15"/>
        <v>5.4144514281051253</v>
      </c>
      <c r="D153" s="4">
        <f t="shared" si="12"/>
        <v>185.33400230050384</v>
      </c>
      <c r="E153" s="4">
        <f t="shared" si="13"/>
        <v>184.56570992557855</v>
      </c>
    </row>
    <row r="154" spans="1:5" x14ac:dyDescent="0.55000000000000004">
      <c r="A154" s="25">
        <v>64.25</v>
      </c>
      <c r="B154" s="4">
        <f t="shared" si="14"/>
        <v>2.9074516001518638</v>
      </c>
      <c r="C154" s="4">
        <f t="shared" si="15"/>
        <v>5.3993920270575382</v>
      </c>
      <c r="D154" s="4">
        <f t="shared" si="12"/>
        <v>185.34888444651807</v>
      </c>
      <c r="E154" s="4">
        <f t="shared" si="13"/>
        <v>184.58272894975107</v>
      </c>
    </row>
    <row r="155" spans="1:5" x14ac:dyDescent="0.55000000000000004">
      <c r="A155" s="25">
        <v>64.5</v>
      </c>
      <c r="B155" s="4">
        <f t="shared" si="14"/>
        <v>2.9052977786612297</v>
      </c>
      <c r="C155" s="4">
        <f t="shared" si="15"/>
        <v>5.3844357259874318</v>
      </c>
      <c r="D155" s="4">
        <f t="shared" si="12"/>
        <v>185.36346776500679</v>
      </c>
      <c r="E155" s="4">
        <f t="shared" si="13"/>
        <v>184.59943451685939</v>
      </c>
    </row>
    <row r="156" spans="1:5" x14ac:dyDescent="0.55000000000000004">
      <c r="A156" s="25">
        <v>64.75</v>
      </c>
      <c r="B156" s="4">
        <f t="shared" si="14"/>
        <v>2.9031522802785084</v>
      </c>
      <c r="C156" s="4">
        <f t="shared" si="15"/>
        <v>5.3695814224997687</v>
      </c>
      <c r="D156" s="4">
        <f t="shared" si="12"/>
        <v>185.37775603155325</v>
      </c>
      <c r="E156" s="4">
        <f t="shared" si="13"/>
        <v>184.61583055891293</v>
      </c>
    </row>
    <row r="157" spans="1:5" x14ac:dyDescent="0.55000000000000004">
      <c r="A157" s="25">
        <v>65</v>
      </c>
      <c r="B157" s="4">
        <f t="shared" si="14"/>
        <v>2.9010150397193009</v>
      </c>
      <c r="C157" s="4">
        <f t="shared" si="15"/>
        <v>5.3548280301973303</v>
      </c>
      <c r="D157" s="4">
        <f t="shared" si="12"/>
        <v>185.39175296301508</v>
      </c>
      <c r="E157" s="4">
        <f t="shared" si="13"/>
        <v>184.63192094692539</v>
      </c>
    </row>
    <row r="158" spans="1:5" x14ac:dyDescent="0.55000000000000004">
      <c r="A158" s="25">
        <v>65.25</v>
      </c>
      <c r="B158" s="4">
        <f t="shared" si="14"/>
        <v>2.8988859924616506</v>
      </c>
      <c r="C158" s="4">
        <f t="shared" si="15"/>
        <v>5.340174478387965</v>
      </c>
      <c r="D158" s="4">
        <f t="shared" si="12"/>
        <v>185.40546221864045</v>
      </c>
      <c r="E158" s="4">
        <f t="shared" si="13"/>
        <v>184.64770949207252</v>
      </c>
    </row>
    <row r="159" spans="1:5" x14ac:dyDescent="0.55000000000000004">
      <c r="A159" s="25">
        <v>65.5</v>
      </c>
      <c r="B159" s="4">
        <f t="shared" si="14"/>
        <v>2.8967650747342457</v>
      </c>
      <c r="C159" s="4">
        <f t="shared" si="15"/>
        <v>5.3256197117983186</v>
      </c>
      <c r="D159" s="4">
        <f t="shared" si="12"/>
        <v>185.41888740115937</v>
      </c>
      <c r="E159" s="4">
        <f t="shared" si="13"/>
        <v>184.66319994682414</v>
      </c>
    </row>
    <row r="160" spans="1:5" x14ac:dyDescent="0.55000000000000004">
      <c r="A160" s="25">
        <v>65.75</v>
      </c>
      <c r="B160" s="4">
        <f t="shared" si="14"/>
        <v>2.894652223504846</v>
      </c>
      <c r="C160" s="4">
        <f t="shared" si="15"/>
        <v>5.31116269029385</v>
      </c>
      <c r="D160" s="4">
        <f t="shared" si="12"/>
        <v>185.43203205785034</v>
      </c>
      <c r="E160" s="4">
        <f t="shared" si="13"/>
        <v>184.67839600605024</v>
      </c>
    </row>
    <row r="161" spans="1:6" x14ac:dyDescent="0.55000000000000004">
      <c r="A161" s="25">
        <v>66</v>
      </c>
      <c r="B161" s="4">
        <f t="shared" si="14"/>
        <v>2.8925473764689378</v>
      </c>
      <c r="C161" s="4">
        <f t="shared" si="15"/>
        <v>5.2968023886050215</v>
      </c>
      <c r="D161" s="4">
        <f t="shared" si="12"/>
        <v>185.44489968158331</v>
      </c>
      <c r="E161" s="4">
        <f t="shared" si="13"/>
        <v>184.69330130810312</v>
      </c>
      <c r="F161" s="25"/>
    </row>
    <row r="162" spans="1:6" x14ac:dyDescent="0.55000000000000004">
      <c r="A162" s="25">
        <v>66.25</v>
      </c>
      <c r="B162" s="4">
        <f t="shared" si="14"/>
        <v>2.8904504720385944</v>
      </c>
      <c r="C162" s="4">
        <f t="shared" si="15"/>
        <v>5.2825377960593594</v>
      </c>
      <c r="D162" s="4">
        <f t="shared" si="12"/>
        <v>185.45749371183902</v>
      </c>
      <c r="E162" s="4">
        <f t="shared" si="13"/>
        <v>184.70791943587449</v>
      </c>
      <c r="F162" s="25"/>
    </row>
    <row r="163" spans="1:6" x14ac:dyDescent="0.55000000000000004">
      <c r="A163" s="25">
        <v>66.5</v>
      </c>
      <c r="B163" s="4">
        <f t="shared" si="14"/>
        <v>2.8883614493315588</v>
      </c>
      <c r="C163" s="4">
        <f t="shared" si="15"/>
        <v>5.2683679163194244</v>
      </c>
      <c r="D163" s="4">
        <f t="shared" si="12"/>
        <v>185.46981753570566</v>
      </c>
      <c r="E163" s="4">
        <f t="shared" si="13"/>
        <v>184.72225391782942</v>
      </c>
      <c r="F163" s="25"/>
    </row>
    <row r="164" spans="1:6" x14ac:dyDescent="0.55000000000000004">
      <c r="A164" s="25">
        <v>66.75</v>
      </c>
      <c r="B164" s="4">
        <f t="shared" si="14"/>
        <v>2.8862802481605256</v>
      </c>
      <c r="C164" s="4">
        <f t="shared" si="15"/>
        <v>5.2542917671264062</v>
      </c>
      <c r="D164" s="4">
        <f t="shared" si="12"/>
        <v>185.48187448885372</v>
      </c>
      <c r="E164" s="4">
        <f t="shared" si="13"/>
        <v>184.73630822901774</v>
      </c>
      <c r="F164" s="25"/>
    </row>
    <row r="165" spans="1:6" x14ac:dyDescent="0.55000000000000004">
      <c r="A165" s="25">
        <v>67</v>
      </c>
      <c r="B165" s="4">
        <f t="shared" si="14"/>
        <v>2.8842068090226323</v>
      </c>
      <c r="C165" s="4">
        <f t="shared" si="15"/>
        <v>5.2403083800492647</v>
      </c>
      <c r="D165" s="4">
        <f t="shared" si="12"/>
        <v>185.49366785648894</v>
      </c>
      <c r="E165" s="4">
        <f t="shared" si="13"/>
        <v>184.75008579206215</v>
      </c>
      <c r="F165" s="25"/>
    </row>
    <row r="166" spans="1:6" x14ac:dyDescent="0.55000000000000004">
      <c r="A166" s="25">
        <v>67.25</v>
      </c>
      <c r="B166" s="4">
        <f t="shared" si="14"/>
        <v>2.8821410730891426</v>
      </c>
      <c r="C166" s="4">
        <f t="shared" si="15"/>
        <v>5.2264168002392619</v>
      </c>
      <c r="D166" s="4">
        <f t="shared" si="12"/>
        <v>185.50520087428458</v>
      </c>
      <c r="E166" s="4">
        <f t="shared" si="13"/>
        <v>184.76358997812579</v>
      </c>
      <c r="F166" s="25"/>
    </row>
    <row r="167" spans="1:6" x14ac:dyDescent="0.55000000000000004">
      <c r="A167" s="25">
        <v>67.5</v>
      </c>
      <c r="B167" s="4">
        <f t="shared" si="14"/>
        <v>2.8800829821953244</v>
      </c>
      <c r="C167" s="4">
        <f t="shared" si="15"/>
        <v>5.212616086189727</v>
      </c>
      <c r="D167" s="4">
        <f t="shared" si="12"/>
        <v>185.51647672929303</v>
      </c>
      <c r="E167" s="4">
        <f t="shared" si="13"/>
        <v>184.77682410785764</v>
      </c>
      <c r="F167" s="25"/>
    </row>
    <row r="168" spans="1:6" x14ac:dyDescent="0.55000000000000004">
      <c r="A168" s="25">
        <v>67.75</v>
      </c>
      <c r="B168" s="4">
        <f t="shared" si="14"/>
        <v>2.8780324788305185</v>
      </c>
      <c r="C168" s="4">
        <f t="shared" si="15"/>
        <v>5.1989053095009394</v>
      </c>
      <c r="D168" s="4">
        <f t="shared" si="12"/>
        <v>185.5274985608375</v>
      </c>
      <c r="E168" s="4">
        <f t="shared" si="13"/>
        <v>184.7897914523177</v>
      </c>
      <c r="F168" s="25"/>
    </row>
    <row r="169" spans="1:6" x14ac:dyDescent="0.55000000000000004">
      <c r="A169" s="25">
        <v>68</v>
      </c>
      <c r="B169" s="4">
        <f t="shared" si="14"/>
        <v>2.8759895061283896</v>
      </c>
      <c r="C169" s="4">
        <f t="shared" si="15"/>
        <v>5.185283554650046</v>
      </c>
      <c r="D169" s="4">
        <f t="shared" si="12"/>
        <v>185.5382694613844</v>
      </c>
      <c r="E169" s="4">
        <f t="shared" si="13"/>
        <v>184.80249523388204</v>
      </c>
      <c r="F169" s="25"/>
    </row>
    <row r="170" spans="1:6" x14ac:dyDescent="0.55000000000000004">
      <c r="A170" s="25">
        <v>68.25</v>
      </c>
      <c r="B170" s="4">
        <f t="shared" si="14"/>
        <v>2.8739540078573613</v>
      </c>
      <c r="C170" s="4">
        <f t="shared" si="15"/>
        <v>5.1717499187658165</v>
      </c>
      <c r="D170" s="4">
        <f t="shared" si="12"/>
        <v>185.54879247739672</v>
      </c>
      <c r="E170" s="4">
        <f t="shared" si="13"/>
        <v>184.8149386271279</v>
      </c>
      <c r="F170" s="25"/>
    </row>
    <row r="171" spans="1:6" x14ac:dyDescent="0.55000000000000004">
      <c r="A171" s="25">
        <v>68.5</v>
      </c>
      <c r="B171" s="4">
        <f t="shared" si="14"/>
        <v>2.8719259284112222</v>
      </c>
      <c r="C171" s="4">
        <f t="shared" si="15"/>
        <v>5.1583035114081213</v>
      </c>
      <c r="D171" s="4">
        <f t="shared" si="12"/>
        <v>185.55907061016882</v>
      </c>
      <c r="E171" s="4">
        <f t="shared" si="13"/>
        <v>184.82712475970024</v>
      </c>
      <c r="F171" s="25"/>
    </row>
    <row r="172" spans="1:6" x14ac:dyDescent="0.55000000000000004">
      <c r="A172" s="25">
        <v>68.75</v>
      </c>
      <c r="B172" s="4">
        <f t="shared" si="14"/>
        <v>2.8699052127999121</v>
      </c>
      <c r="C172" s="4">
        <f t="shared" si="15"/>
        <v>5.1449434543521413</v>
      </c>
      <c r="D172" s="4">
        <f t="shared" si="12"/>
        <v>185.56910681664354</v>
      </c>
      <c r="E172" s="4">
        <f t="shared" si="13"/>
        <v>184.83905671315893</v>
      </c>
      <c r="F172" s="25"/>
    </row>
    <row r="173" spans="1:6" x14ac:dyDescent="0.55000000000000004">
      <c r="A173" s="25">
        <v>69</v>
      </c>
      <c r="B173" s="4">
        <f t="shared" si="14"/>
        <v>2.8678918066404693</v>
      </c>
      <c r="C173" s="4">
        <f t="shared" si="15"/>
        <v>5.131668881376954</v>
      </c>
      <c r="D173" s="4">
        <f t="shared" si="12"/>
        <v>185.57890401021137</v>
      </c>
      <c r="E173" s="4">
        <f t="shared" si="13"/>
        <v>184.85073752380833</v>
      </c>
      <c r="F173" s="25"/>
    </row>
    <row r="174" spans="1:6" x14ac:dyDescent="0.55000000000000004">
      <c r="A174" s="25">
        <v>69.25</v>
      </c>
      <c r="B174" s="4">
        <f t="shared" si="14"/>
        <v>2.8658856561481469</v>
      </c>
      <c r="C174" s="4">
        <f t="shared" si="15"/>
        <v>5.1184789380586269</v>
      </c>
      <c r="D174" s="4">
        <f t="shared" si="12"/>
        <v>185.58846506149288</v>
      </c>
      <c r="E174" s="4">
        <f t="shared" si="13"/>
        <v>184.86217018350882</v>
      </c>
      <c r="F174" s="25"/>
    </row>
    <row r="175" spans="1:6" x14ac:dyDescent="0.55000000000000004">
      <c r="A175" s="25">
        <v>69.5</v>
      </c>
      <c r="B175" s="4">
        <f t="shared" si="14"/>
        <v>2.8638867081276977</v>
      </c>
      <c r="C175" s="4">
        <f t="shared" si="15"/>
        <v>5.1053727815676284</v>
      </c>
      <c r="D175" s="4">
        <f t="shared" si="12"/>
        <v>185.59779279910424</v>
      </c>
      <c r="E175" s="4">
        <f t="shared" si="13"/>
        <v>184.87335764047137</v>
      </c>
      <c r="F175" s="25"/>
    </row>
    <row r="176" spans="1:6" x14ac:dyDescent="0.55000000000000004">
      <c r="A176" s="11">
        <f>E6</f>
        <v>82.887185082332891</v>
      </c>
      <c r="B176" s="11">
        <f t="shared" si="14"/>
        <v>2.7661190946332024</v>
      </c>
      <c r="C176" s="11">
        <f t="shared" si="15"/>
        <v>4.5068266358392757</v>
      </c>
      <c r="D176" s="11">
        <f t="shared" si="12"/>
        <v>185.81974017829273</v>
      </c>
      <c r="E176" s="11">
        <f t="shared" si="13"/>
        <v>185.1802366966561</v>
      </c>
      <c r="F176" s="2" t="s">
        <v>90</v>
      </c>
    </row>
    <row r="177" spans="1:5" x14ac:dyDescent="0.55000000000000004">
      <c r="A177" s="25">
        <v>69.75</v>
      </c>
      <c r="B177" s="4">
        <f t="shared" si="14"/>
        <v>2.861894909964799</v>
      </c>
      <c r="C177" s="4">
        <f t="shared" si="15"/>
        <v>5.0923495804703176</v>
      </c>
      <c r="D177" s="4">
        <f t="shared" si="12"/>
        <v>185.60689001040649</v>
      </c>
      <c r="E177" s="4">
        <f t="shared" si="13"/>
        <v>184.88430280003448</v>
      </c>
    </row>
    <row r="178" spans="1:5" x14ac:dyDescent="0.55000000000000004">
      <c r="A178" s="25">
        <v>70</v>
      </c>
      <c r="B178" s="4">
        <f t="shared" si="14"/>
        <v>2.8599102096176545</v>
      </c>
      <c r="C178" s="4">
        <f t="shared" si="15"/>
        <v>5.0794085145346752</v>
      </c>
      <c r="D178" s="4">
        <f t="shared" si="12"/>
        <v>185.61575944223901</v>
      </c>
      <c r="E178" s="4">
        <f t="shared" si="13"/>
        <v>184.89500852542577</v>
      </c>
    </row>
    <row r="179" spans="1:5" x14ac:dyDescent="0.55000000000000004">
      <c r="A179" s="25">
        <v>70.25</v>
      </c>
      <c r="B179" s="4">
        <f t="shared" si="14"/>
        <v>2.8579325556087261</v>
      </c>
      <c r="C179" s="4">
        <f t="shared" si="15"/>
        <v>5.0665487745398972</v>
      </c>
      <c r="D179" s="4">
        <f t="shared" si="12"/>
        <v>185.62440380163733</v>
      </c>
      <c r="E179" s="4">
        <f t="shared" si="13"/>
        <v>184.90547763850643</v>
      </c>
    </row>
    <row r="180" spans="1:5" x14ac:dyDescent="0.55000000000000004">
      <c r="A180" s="25">
        <v>70.5</v>
      </c>
      <c r="B180" s="4">
        <f t="shared" si="14"/>
        <v>2.8559618970166341</v>
      </c>
      <c r="C180" s="4">
        <f t="shared" si="15"/>
        <v>5.0537695620899825</v>
      </c>
      <c r="D180" s="4">
        <f t="shared" si="12"/>
        <v>185.63282575653631</v>
      </c>
      <c r="E180" s="4">
        <f t="shared" si="13"/>
        <v>184.91571292050114</v>
      </c>
    </row>
    <row r="181" spans="1:5" x14ac:dyDescent="0.55000000000000004">
      <c r="A181" s="25">
        <v>70.75</v>
      </c>
      <c r="B181" s="4">
        <f t="shared" si="14"/>
        <v>2.8539981834681845</v>
      </c>
      <c r="C181" s="4">
        <f t="shared" si="15"/>
        <v>5.0410700894310914</v>
      </c>
      <c r="D181" s="4">
        <f t="shared" si="12"/>
        <v>185.6410279364579</v>
      </c>
      <c r="E181" s="4">
        <f t="shared" si="13"/>
        <v>184.92571711271131</v>
      </c>
    </row>
    <row r="182" spans="1:5" x14ac:dyDescent="0.55000000000000004">
      <c r="A182" s="25">
        <v>71</v>
      </c>
      <c r="B182" s="4">
        <f t="shared" si="14"/>
        <v>2.8520413651305518</v>
      </c>
      <c r="C182" s="4">
        <f t="shared" si="15"/>
        <v>5.0284495792726078</v>
      </c>
      <c r="D182" s="4">
        <f t="shared" si="12"/>
        <v>185.64901293318519</v>
      </c>
      <c r="E182" s="4">
        <f t="shared" si="13"/>
        <v>184.93549291721499</v>
      </c>
    </row>
    <row r="183" spans="1:5" x14ac:dyDescent="0.55000000000000004">
      <c r="A183" s="25">
        <v>71.25</v>
      </c>
      <c r="B183" s="4">
        <f t="shared" si="14"/>
        <v>2.85009139270359</v>
      </c>
      <c r="C183" s="4">
        <f t="shared" si="15"/>
        <v>5.015907264611843</v>
      </c>
      <c r="D183" s="4">
        <f t="shared" si="12"/>
        <v>185.65678330142177</v>
      </c>
      <c r="E183" s="4">
        <f t="shared" si="13"/>
        <v>184.94504299755087</v>
      </c>
    </row>
    <row r="184" spans="1:5" x14ac:dyDescent="0.55000000000000004">
      <c r="A184" s="25">
        <v>71.5</v>
      </c>
      <c r="B184" s="4">
        <f t="shared" si="14"/>
        <v>2.8481482174122879</v>
      </c>
      <c r="C184" s="4">
        <f t="shared" si="15"/>
        <v>5.0034423885622887</v>
      </c>
      <c r="D184" s="4">
        <f t="shared" si="12"/>
        <v>185.66434155943816</v>
      </c>
      <c r="E184" s="4">
        <f t="shared" si="13"/>
        <v>184.95436997938916</v>
      </c>
    </row>
    <row r="185" spans="1:5" x14ac:dyDescent="0.55000000000000004">
      <c r="A185" s="25">
        <v>71.75</v>
      </c>
      <c r="B185" s="4">
        <f t="shared" si="14"/>
        <v>2.8462117909993512</v>
      </c>
      <c r="C185" s="4">
        <f t="shared" si="15"/>
        <v>4.9910542041852892</v>
      </c>
      <c r="D185" s="4">
        <f t="shared" si="12"/>
        <v>185.67169018970412</v>
      </c>
      <c r="E185" s="4">
        <f t="shared" si="13"/>
        <v>184.9634764511876</v>
      </c>
    </row>
    <row r="186" spans="1:5" x14ac:dyDescent="0.55000000000000004">
      <c r="A186" s="25">
        <v>72</v>
      </c>
      <c r="B186" s="4">
        <f t="shared" si="14"/>
        <v>2.844282065717922</v>
      </c>
      <c r="C186" s="4">
        <f t="shared" si="15"/>
        <v>4.9787419743251693</v>
      </c>
      <c r="D186" s="4">
        <f t="shared" si="12"/>
        <v>185.67883163950847</v>
      </c>
      <c r="E186" s="4">
        <f t="shared" si="13"/>
        <v>184.97236496483501</v>
      </c>
    </row>
    <row r="187" spans="1:5" x14ac:dyDescent="0.55000000000000004">
      <c r="A187" s="25">
        <v>72.25</v>
      </c>
      <c r="B187" s="4">
        <f t="shared" si="14"/>
        <v>2.8423589943244134</v>
      </c>
      <c r="C187" s="4">
        <f t="shared" si="15"/>
        <v>4.9665049714475415</v>
      </c>
      <c r="D187" s="4">
        <f t="shared" si="12"/>
        <v>185.685768321566</v>
      </c>
      <c r="E187" s="4">
        <f t="shared" si="13"/>
        <v>184.98103803628072</v>
      </c>
    </row>
    <row r="188" spans="1:5" x14ac:dyDescent="0.55000000000000004">
      <c r="A188" s="25">
        <v>72.5</v>
      </c>
      <c r="B188" s="4">
        <f t="shared" si="14"/>
        <v>2.8404425300714857</v>
      </c>
      <c r="C188" s="4">
        <f t="shared" si="15"/>
        <v>4.9543424774809433</v>
      </c>
      <c r="D188" s="4">
        <f t="shared" si="12"/>
        <v>185.6925026146119</v>
      </c>
      <c r="E188" s="4">
        <f t="shared" si="13"/>
        <v>184.98949814615196</v>
      </c>
    </row>
    <row r="189" spans="1:5" x14ac:dyDescent="0.55000000000000004">
      <c r="A189" s="25">
        <v>72.75</v>
      </c>
      <c r="B189" s="4">
        <f t="shared" si="14"/>
        <v>2.838532626701129</v>
      </c>
      <c r="C189" s="4">
        <f t="shared" si="15"/>
        <v>4.9422537836615543</v>
      </c>
      <c r="D189" s="4">
        <f t="shared" si="12"/>
        <v>185.69903686398399</v>
      </c>
      <c r="E189" s="4">
        <f t="shared" si="13"/>
        <v>184.99774774035771</v>
      </c>
    </row>
    <row r="190" spans="1:5" x14ac:dyDescent="0.55000000000000004">
      <c r="A190" s="25">
        <v>73</v>
      </c>
      <c r="B190" s="4">
        <f t="shared" si="14"/>
        <v>2.836629238437876</v>
      </c>
      <c r="C190" s="4">
        <f t="shared" si="15"/>
        <v>4.9302381903810124</v>
      </c>
      <c r="D190" s="4">
        <f t="shared" si="12"/>
        <v>185.70537338219347</v>
      </c>
      <c r="E190" s="4">
        <f t="shared" si="13"/>
        <v>185.00578923068122</v>
      </c>
    </row>
    <row r="191" spans="1:5" x14ac:dyDescent="0.55000000000000004">
      <c r="A191" s="25">
        <v>73.25</v>
      </c>
      <c r="B191" s="4">
        <f t="shared" si="14"/>
        <v>2.8347323199821277</v>
      </c>
      <c r="C191" s="4">
        <f t="shared" si="15"/>
        <v>4.9182950070372158</v>
      </c>
      <c r="D191" s="4">
        <f t="shared" si="12"/>
        <v>185.71151444948367</v>
      </c>
      <c r="E191" s="4">
        <f t="shared" si="13"/>
        <v>185.01362499535992</v>
      </c>
    </row>
    <row r="192" spans="1:5" x14ac:dyDescent="0.55000000000000004">
      <c r="A192" s="25">
        <v>73.5</v>
      </c>
      <c r="B192" s="4">
        <f t="shared" si="14"/>
        <v>2.8328418265035928</v>
      </c>
      <c r="C192" s="4">
        <f t="shared" si="15"/>
        <v>4.9064235518880635</v>
      </c>
      <c r="D192" s="4">
        <f t="shared" si="12"/>
        <v>185.71746231437771</v>
      </c>
      <c r="E192" s="4">
        <f t="shared" si="13"/>
        <v>185.02125737965386</v>
      </c>
    </row>
    <row r="193" spans="1:5" x14ac:dyDescent="0.55000000000000004">
      <c r="A193" s="25">
        <v>73.75</v>
      </c>
      <c r="B193" s="4">
        <f t="shared" si="14"/>
        <v>2.8309577136348456</v>
      </c>
      <c r="C193" s="4">
        <f t="shared" si="15"/>
        <v>4.8946231519080721</v>
      </c>
      <c r="D193" s="4">
        <f t="shared" si="12"/>
        <v>185.72321919421529</v>
      </c>
      <c r="E193" s="4">
        <f t="shared" si="13"/>
        <v>185.02868869640272</v>
      </c>
    </row>
    <row r="194" spans="1:5" x14ac:dyDescent="0.55000000000000004">
      <c r="A194" s="25">
        <v>74</v>
      </c>
      <c r="B194" s="4">
        <f t="shared" si="14"/>
        <v>2.8290799374649831</v>
      </c>
      <c r="C194" s="4">
        <f t="shared" si="15"/>
        <v>4.8828931426477453</v>
      </c>
      <c r="D194" s="4">
        <f t="shared" si="12"/>
        <v>185.72878727567837</v>
      </c>
      <c r="E194" s="4">
        <f t="shared" si="13"/>
        <v>185.03592122657167</v>
      </c>
    </row>
    <row r="195" spans="1:5" x14ac:dyDescent="0.55000000000000004">
      <c r="A195" s="25">
        <v>74.25</v>
      </c>
      <c r="B195" s="4">
        <f t="shared" si="14"/>
        <v>2.827208454533404</v>
      </c>
      <c r="C195" s="4">
        <f t="shared" si="15"/>
        <v>4.8712328680957615</v>
      </c>
      <c r="D195" s="4">
        <f t="shared" si="12"/>
        <v>185.73416871530645</v>
      </c>
      <c r="E195" s="4">
        <f t="shared" si="13"/>
        <v>185.04295721978599</v>
      </c>
    </row>
    <row r="196" spans="1:5" x14ac:dyDescent="0.55000000000000004">
      <c r="A196" s="25">
        <v>74.5</v>
      </c>
      <c r="B196" s="4">
        <f t="shared" si="14"/>
        <v>2.8253432218236791</v>
      </c>
      <c r="C196" s="4">
        <f t="shared" si="15"/>
        <v>4.8596416805437155</v>
      </c>
      <c r="D196" s="4">
        <f t="shared" si="12"/>
        <v>185.73936564000201</v>
      </c>
      <c r="E196" s="4">
        <f t="shared" si="13"/>
        <v>185.0497988948558</v>
      </c>
    </row>
    <row r="197" spans="1:5" x14ac:dyDescent="0.55000000000000004">
      <c r="A197" s="25">
        <v>74.75</v>
      </c>
      <c r="B197" s="4">
        <f t="shared" si="14"/>
        <v>2.8234841967575384</v>
      </c>
      <c r="C197" s="4">
        <f t="shared" si="15"/>
        <v>4.8481189404536131</v>
      </c>
      <c r="D197" s="4">
        <f t="shared" si="12"/>
        <v>185.74438014752499</v>
      </c>
      <c r="E197" s="4">
        <f t="shared" si="13"/>
        <v>185.05644844028922</v>
      </c>
    </row>
    <row r="198" spans="1:5" x14ac:dyDescent="0.55000000000000004">
      <c r="A198" s="25">
        <v>75</v>
      </c>
      <c r="B198" s="4">
        <f t="shared" si="14"/>
        <v>2.8216313371889474</v>
      </c>
      <c r="C198" s="4">
        <f t="shared" si="15"/>
        <v>4.8366640163277808</v>
      </c>
      <c r="D198" s="4">
        <f t="shared" si="12"/>
        <v>185.74921430697847</v>
      </c>
      <c r="E198" s="4">
        <f t="shared" si="13"/>
        <v>185.06290801479688</v>
      </c>
    </row>
    <row r="199" spans="1:5" x14ac:dyDescent="0.55000000000000004">
      <c r="A199" s="25">
        <v>75.25</v>
      </c>
      <c r="B199" s="4">
        <f t="shared" si="14"/>
        <v>2.8197846013982955</v>
      </c>
      <c r="C199" s="4">
        <f t="shared" si="15"/>
        <v>4.8252762845813955</v>
      </c>
      <c r="D199" s="4">
        <f t="shared" si="12"/>
        <v>185.75387015928396</v>
      </c>
      <c r="E199" s="4">
        <f t="shared" si="13"/>
        <v>185.06917974778474</v>
      </c>
    </row>
    <row r="200" spans="1:5" x14ac:dyDescent="0.55000000000000004">
      <c r="A200" s="25">
        <v>75.5</v>
      </c>
      <c r="B200" s="4">
        <f t="shared" si="14"/>
        <v>2.8179439480866684</v>
      </c>
      <c r="C200" s="4">
        <f t="shared" si="15"/>
        <v>4.8139551294173275</v>
      </c>
      <c r="D200" s="4">
        <f t="shared" si="12"/>
        <v>185.758349717648</v>
      </c>
      <c r="E200" s="4">
        <f t="shared" si="13"/>
        <v>185.07526573983895</v>
      </c>
    </row>
    <row r="201" spans="1:5" x14ac:dyDescent="0.55000000000000004">
      <c r="A201" s="25">
        <v>75.75</v>
      </c>
      <c r="B201" s="4">
        <f t="shared" si="14"/>
        <v>2.8161093363702259</v>
      </c>
      <c r="C201" s="4">
        <f t="shared" si="15"/>
        <v>4.8026999427034776</v>
      </c>
      <c r="D201" s="4">
        <f t="shared" si="12"/>
        <v>185.76265496801898</v>
      </c>
      <c r="E201" s="4">
        <f t="shared" si="13"/>
        <v>185.08116806319978</v>
      </c>
    </row>
    <row r="202" spans="1:5" x14ac:dyDescent="0.55000000000000004">
      <c r="A202" s="25">
        <v>76</v>
      </c>
      <c r="B202" s="4">
        <f t="shared" si="14"/>
        <v>2.8142807257746711</v>
      </c>
      <c r="C202" s="4">
        <f t="shared" si="15"/>
        <v>4.7915101238523921</v>
      </c>
      <c r="D202" s="4">
        <f t="shared" si="12"/>
        <v>185.76678786953551</v>
      </c>
      <c r="E202" s="4">
        <f t="shared" si="13"/>
        <v>185.08688876222715</v>
      </c>
    </row>
    <row r="203" spans="1:5" x14ac:dyDescent="0.55000000000000004">
      <c r="A203" s="25">
        <v>76.25</v>
      </c>
      <c r="B203" s="4">
        <f t="shared" si="14"/>
        <v>2.8124580762298086</v>
      </c>
      <c r="C203" s="4">
        <f t="shared" si="15"/>
        <v>4.7803850797031657</v>
      </c>
      <c r="D203" s="4">
        <f t="shared" si="12"/>
        <v>185.7707503549658</v>
      </c>
      <c r="E203" s="4">
        <f t="shared" si="13"/>
        <v>185.0924298538568</v>
      </c>
    </row>
    <row r="204" spans="1:5" x14ac:dyDescent="0.55000000000000004">
      <c r="A204" s="25">
        <v>76.5</v>
      </c>
      <c r="B204" s="4">
        <f t="shared" si="14"/>
        <v>2.8106413480641952</v>
      </c>
      <c r="C204" s="4">
        <f t="shared" si="15"/>
        <v>4.769324224405584</v>
      </c>
      <c r="D204" s="4">
        <f t="shared" si="12"/>
        <v>185.77454433113871</v>
      </c>
      <c r="E204" s="4">
        <f t="shared" si="13"/>
        <v>185.09779332804777</v>
      </c>
    </row>
    <row r="205" spans="1:5" x14ac:dyDescent="0.55000000000000004">
      <c r="A205" s="25">
        <v>76.75</v>
      </c>
      <c r="B205" s="4">
        <f t="shared" si="14"/>
        <v>2.8088305019998767</v>
      </c>
      <c r="C205" s="4">
        <f t="shared" si="15"/>
        <v>4.7583269793064016</v>
      </c>
      <c r="D205" s="4">
        <f t="shared" si="12"/>
        <v>185.77817167936601</v>
      </c>
      <c r="E205" s="4">
        <f t="shared" si="13"/>
        <v>185.10298114822075</v>
      </c>
    </row>
    <row r="206" spans="1:5" x14ac:dyDescent="0.55000000000000004">
      <c r="A206" s="25">
        <v>77</v>
      </c>
      <c r="B206" s="4">
        <f t="shared" si="14"/>
        <v>2.807025499147211</v>
      </c>
      <c r="C206" s="4">
        <f t="shared" si="15"/>
        <v>4.7473927728378333</v>
      </c>
      <c r="D206" s="4">
        <f t="shared" si="12"/>
        <v>185.78163425585706</v>
      </c>
      <c r="E206" s="4">
        <f t="shared" si="13"/>
        <v>185.10799525168869</v>
      </c>
    </row>
    <row r="207" spans="1:5" x14ac:dyDescent="0.55000000000000004">
      <c r="A207" s="25">
        <v>77.25</v>
      </c>
      <c r="B207" s="4">
        <f t="shared" si="14"/>
        <v>2.8052263009997818</v>
      </c>
      <c r="C207" s="4">
        <f t="shared" si="15"/>
        <v>4.736521040408058</v>
      </c>
      <c r="D207" s="4">
        <f t="shared" ref="D207:D270" si="16">$B$6*$B$12/9.81*($B$9*SQRT(2/($B$9-1)*(2/($B$9+1))^(($B$9+1)/($B$9-1))*(1 - (A207/$B$3)^(($B$9-1)/$B$9))) + C207/$B$3*(A207 - $E$6))</f>
        <v>185.78493389212511</v>
      </c>
      <c r="E207" s="4">
        <f t="shared" ref="E207:E270" si="17">$B$6*$B$12/9.81*($B$9*SQRT(2/($B$9-1)*(2/($B$9+1))^(($B$9+1)/($B$9-1))*(1 - (A207/$B$3)^(($B$9-1)/$B$9))) + C207/$B$3*(A207 - $E$4))</f>
        <v>185.11283755007844</v>
      </c>
    </row>
    <row r="208" spans="1:5" x14ac:dyDescent="0.55000000000000004">
      <c r="A208" s="25">
        <v>77.5</v>
      </c>
      <c r="B208" s="4">
        <f t="shared" ref="B208:B271" si="18">SQRT(2/($B$9-1)*((A208/$B$3)^((1-$B$9)/$B$9) - 1))</f>
        <v>2.8034328694293866</v>
      </c>
      <c r="C208" s="4">
        <f t="shared" ref="C208:C271" si="19">1/B208*(2/($B$9+1)*(1 + ($B$9-1)/2*B208^2))^(($B$9+1)/(2*$B$9-2))</f>
        <v>4.7257112242938026</v>
      </c>
      <c r="D208" s="4">
        <f t="shared" si="16"/>
        <v>185.788072395386</v>
      </c>
      <c r="E208" s="4">
        <f t="shared" si="17"/>
        <v>185.11750992974498</v>
      </c>
    </row>
    <row r="209" spans="1:5" x14ac:dyDescent="0.55000000000000004">
      <c r="A209" s="25">
        <v>77.75</v>
      </c>
      <c r="B209" s="4">
        <f t="shared" si="18"/>
        <v>2.80164516668111</v>
      </c>
      <c r="C209" s="4">
        <f t="shared" si="19"/>
        <v>4.7149627735348973</v>
      </c>
      <c r="D209" s="4">
        <f t="shared" si="16"/>
        <v>185.79105154894901</v>
      </c>
      <c r="E209" s="4">
        <f t="shared" si="17"/>
        <v>185.12201425217688</v>
      </c>
    </row>
    <row r="210" spans="1:5" x14ac:dyDescent="0.55000000000000004">
      <c r="A210" s="25">
        <v>78</v>
      </c>
      <c r="B210" s="4">
        <f t="shared" si="18"/>
        <v>2.799863155368477</v>
      </c>
      <c r="C210" s="4">
        <f t="shared" si="19"/>
        <v>4.7042751438307944</v>
      </c>
      <c r="D210" s="4">
        <f t="shared" si="16"/>
        <v>185.79387311260052</v>
      </c>
      <c r="E210" s="4">
        <f t="shared" si="17"/>
        <v>185.12635235439498</v>
      </c>
    </row>
    <row r="211" spans="1:5" x14ac:dyDescent="0.55000000000000004">
      <c r="A211" s="25">
        <v>78.25</v>
      </c>
      <c r="B211" s="4">
        <f t="shared" si="18"/>
        <v>2.7980867984686877</v>
      </c>
      <c r="C211" s="4">
        <f t="shared" si="19"/>
        <v>4.6936477974389996</v>
      </c>
      <c r="D211" s="4">
        <f t="shared" si="16"/>
        <v>185.7965388229803</v>
      </c>
      <c r="E211" s="4">
        <f t="shared" si="17"/>
        <v>185.1305260493429</v>
      </c>
    </row>
    <row r="212" spans="1:5" x14ac:dyDescent="0.55000000000000004">
      <c r="A212" s="25">
        <v>78.5</v>
      </c>
      <c r="B212" s="4">
        <f t="shared" si="18"/>
        <v>2.796316059317923</v>
      </c>
      <c r="C212" s="4">
        <f t="shared" si="19"/>
        <v>4.6830802030753738</v>
      </c>
      <c r="D212" s="4">
        <f t="shared" si="16"/>
        <v>185.79905039395055</v>
      </c>
      <c r="E212" s="4">
        <f t="shared" si="17"/>
        <v>185.13453712627023</v>
      </c>
    </row>
    <row r="213" spans="1:5" x14ac:dyDescent="0.55000000000000004">
      <c r="A213" s="25">
        <v>78.75</v>
      </c>
      <c r="B213" s="4">
        <f t="shared" si="18"/>
        <v>2.7945509016067263</v>
      </c>
      <c r="C213" s="4">
        <f t="shared" si="19"/>
        <v>4.6725718358162371</v>
      </c>
      <c r="D213" s="4">
        <f t="shared" si="16"/>
        <v>185.80140951695782</v>
      </c>
      <c r="E213" s="4">
        <f t="shared" si="17"/>
        <v>185.13838735110849</v>
      </c>
    </row>
    <row r="214" spans="1:5" x14ac:dyDescent="0.55000000000000004">
      <c r="A214" s="25">
        <v>79</v>
      </c>
      <c r="B214" s="4">
        <f t="shared" si="18"/>
        <v>2.7927912893754647</v>
      </c>
      <c r="C214" s="4">
        <f t="shared" si="19"/>
        <v>4.662122177002308</v>
      </c>
      <c r="D214" s="4">
        <f t="shared" si="16"/>
        <v>185.803617861389</v>
      </c>
      <c r="E214" s="4">
        <f t="shared" si="17"/>
        <v>185.1420784668405</v>
      </c>
    </row>
    <row r="215" spans="1:5" x14ac:dyDescent="0.55000000000000004">
      <c r="A215" s="25">
        <v>79.25</v>
      </c>
      <c r="B215" s="4">
        <f t="shared" si="18"/>
        <v>2.7910371870098567</v>
      </c>
      <c r="C215" s="4">
        <f t="shared" si="19"/>
        <v>4.6517307141443442</v>
      </c>
      <c r="D215" s="4">
        <f t="shared" si="16"/>
        <v>185.80567707491912</v>
      </c>
      <c r="E215" s="4">
        <f t="shared" si="17"/>
        <v>185.14561219386181</v>
      </c>
    </row>
    <row r="216" spans="1:5" x14ac:dyDescent="0.55000000000000004">
      <c r="A216" s="25">
        <v>79.5</v>
      </c>
      <c r="B216" s="4">
        <f t="shared" si="18"/>
        <v>2.7892885592365744</v>
      </c>
      <c r="C216" s="4">
        <f t="shared" si="19"/>
        <v>4.6413969408305302</v>
      </c>
      <c r="D216" s="4">
        <f t="shared" si="16"/>
        <v>185.80758878385407</v>
      </c>
      <c r="E216" s="4">
        <f t="shared" si="17"/>
        <v>185.14899023033641</v>
      </c>
    </row>
    <row r="217" spans="1:5" x14ac:dyDescent="0.55000000000000004">
      <c r="A217" s="25">
        <v>79.75</v>
      </c>
      <c r="B217" s="4">
        <f t="shared" si="18"/>
        <v>2.7875453711189127</v>
      </c>
      <c r="C217" s="4">
        <f t="shared" si="19"/>
        <v>4.6311203566355355</v>
      </c>
      <c r="D217" s="4">
        <f t="shared" si="16"/>
        <v>185.80935459346611</v>
      </c>
      <c r="E217" s="4">
        <f t="shared" si="17"/>
        <v>185.15221425254526</v>
      </c>
    </row>
    <row r="218" spans="1:5" x14ac:dyDescent="0.55000000000000004">
      <c r="A218" s="25">
        <v>80</v>
      </c>
      <c r="B218" s="4">
        <f t="shared" si="18"/>
        <v>2.7858075880525277</v>
      </c>
      <c r="C218" s="4">
        <f t="shared" si="19"/>
        <v>4.6209004670311904</v>
      </c>
      <c r="D218" s="4">
        <f t="shared" si="16"/>
        <v>185.81097608832334</v>
      </c>
      <c r="E218" s="4">
        <f t="shared" si="17"/>
        <v>185.15528591522832</v>
      </c>
    </row>
    <row r="219" spans="1:5" x14ac:dyDescent="0.55000000000000004">
      <c r="A219" s="25">
        <v>80.25</v>
      </c>
      <c r="B219" s="4">
        <f t="shared" si="18"/>
        <v>2.7840751757612479</v>
      </c>
      <c r="C219" s="4">
        <f t="shared" si="19"/>
        <v>4.6107367832988295</v>
      </c>
      <c r="D219" s="4">
        <f t="shared" si="16"/>
        <v>185.81245483261324</v>
      </c>
      <c r="E219" s="4">
        <f t="shared" si="17"/>
        <v>185.1582068519206</v>
      </c>
    </row>
    <row r="220" spans="1:5" x14ac:dyDescent="0.55000000000000004">
      <c r="A220" s="25">
        <v>80.5</v>
      </c>
      <c r="B220" s="4">
        <f t="shared" si="18"/>
        <v>2.7823481002929387</v>
      </c>
      <c r="C220" s="4">
        <f t="shared" si="19"/>
        <v>4.6006288224431158</v>
      </c>
      <c r="D220" s="4">
        <f t="shared" si="16"/>
        <v>185.81379237045977</v>
      </c>
      <c r="E220" s="4">
        <f t="shared" si="17"/>
        <v>185.16097867528148</v>
      </c>
    </row>
    <row r="221" spans="1:5" x14ac:dyDescent="0.55000000000000004">
      <c r="A221" s="4">
        <v>80.75</v>
      </c>
      <c r="B221" s="4">
        <f t="shared" si="18"/>
        <v>2.7806263280154444</v>
      </c>
      <c r="C221" s="4">
        <f t="shared" si="19"/>
        <v>4.5905761071074886</v>
      </c>
      <c r="D221" s="4">
        <f t="shared" si="16"/>
        <v>185.8149902262351</v>
      </c>
      <c r="E221" s="4">
        <f t="shared" si="17"/>
        <v>185.16360297741844</v>
      </c>
    </row>
    <row r="222" spans="1:5" x14ac:dyDescent="0.55000000000000004">
      <c r="A222" s="26">
        <v>81</v>
      </c>
      <c r="B222" s="4">
        <f t="shared" si="18"/>
        <v>2.7789098256125868</v>
      </c>
      <c r="C222" s="4">
        <f t="shared" si="19"/>
        <v>4.5805781654910813</v>
      </c>
      <c r="D222" s="4">
        <f t="shared" si="16"/>
        <v>185.81604990486551</v>
      </c>
      <c r="E222" s="4">
        <f t="shared" si="17"/>
        <v>185.16608133020458</v>
      </c>
    </row>
    <row r="223" spans="1:5" x14ac:dyDescent="0.55000000000000004">
      <c r="A223" s="25">
        <v>81.25</v>
      </c>
      <c r="B223" s="4">
        <f t="shared" si="18"/>
        <v>2.7771985600802251</v>
      </c>
      <c r="C223" s="4">
        <f t="shared" si="19"/>
        <v>4.5706345312671122</v>
      </c>
      <c r="D223" s="4">
        <f t="shared" si="16"/>
        <v>185.81697289213119</v>
      </c>
      <c r="E223" s="4">
        <f t="shared" si="17"/>
        <v>185.16841528559047</v>
      </c>
    </row>
    <row r="224" spans="1:5" x14ac:dyDescent="0.55000000000000004">
      <c r="A224" s="25">
        <v>81.5</v>
      </c>
      <c r="B224" s="4">
        <f t="shared" si="18"/>
        <v>2.7754924987223863</v>
      </c>
      <c r="C224" s="4">
        <f t="shared" si="19"/>
        <v>4.560744743502755</v>
      </c>
      <c r="D224" s="4">
        <f t="shared" si="16"/>
        <v>185.81776065496157</v>
      </c>
      <c r="E224" s="4">
        <f t="shared" si="17"/>
        <v>185.17060637591024</v>
      </c>
    </row>
    <row r="225" spans="1:6" x14ac:dyDescent="0.55000000000000004">
      <c r="A225" s="25">
        <v>81.75</v>
      </c>
      <c r="B225" s="4">
        <f t="shared" si="18"/>
        <v>2.7737916091474371</v>
      </c>
      <c r="C225" s="4">
        <f t="shared" si="19"/>
        <v>4.5509083465803606</v>
      </c>
      <c r="D225" s="4">
        <f t="shared" si="16"/>
        <v>185.81841464172402</v>
      </c>
      <c r="E225" s="4">
        <f t="shared" si="17"/>
        <v>185.1726561141819</v>
      </c>
      <c r="F225" s="25"/>
    </row>
    <row r="226" spans="1:6" x14ac:dyDescent="0.55000000000000004">
      <c r="A226" s="25">
        <v>82</v>
      </c>
      <c r="B226" s="4">
        <f t="shared" si="18"/>
        <v>2.772095859264335</v>
      </c>
      <c r="C226" s="4">
        <f t="shared" si="19"/>
        <v>4.541124890120126</v>
      </c>
      <c r="D226" s="4">
        <f t="shared" si="16"/>
        <v>185.81893628250842</v>
      </c>
      <c r="E226" s="4">
        <f t="shared" si="17"/>
        <v>185.17456599440266</v>
      </c>
      <c r="F226" s="25"/>
    </row>
    <row r="227" spans="1:6" x14ac:dyDescent="0.55000000000000004">
      <c r="A227" s="25">
        <v>82.25</v>
      </c>
      <c r="B227" s="4">
        <f t="shared" si="18"/>
        <v>2.7704052172789262</v>
      </c>
      <c r="C227" s="4">
        <f t="shared" si="19"/>
        <v>4.5313939289041203</v>
      </c>
      <c r="D227" s="4">
        <f t="shared" si="16"/>
        <v>185.81932698940574</v>
      </c>
      <c r="E227" s="4">
        <f t="shared" si="17"/>
        <v>185.17633749183844</v>
      </c>
      <c r="F227" s="25"/>
    </row>
    <row r="228" spans="1:6" x14ac:dyDescent="0.55000000000000004">
      <c r="A228" s="25">
        <v>82.5</v>
      </c>
      <c r="B228" s="4">
        <f t="shared" si="18"/>
        <v>2.7687196516902985</v>
      </c>
      <c r="C228" s="4">
        <f t="shared" si="19"/>
        <v>4.5217150228015726</v>
      </c>
      <c r="D228" s="4">
        <f t="shared" si="16"/>
        <v>185.81958815678217</v>
      </c>
      <c r="E228" s="4">
        <f t="shared" si="17"/>
        <v>185.17797206330852</v>
      </c>
      <c r="F228" s="25"/>
    </row>
    <row r="229" spans="1:6" x14ac:dyDescent="0.55000000000000004">
      <c r="A229" s="25">
        <v>82.75</v>
      </c>
      <c r="B229" s="4">
        <f t="shared" si="18"/>
        <v>2.7670391312871994</v>
      </c>
      <c r="C229" s="4">
        <f t="shared" si="19"/>
        <v>4.5120877366955616</v>
      </c>
      <c r="D229" s="4">
        <f t="shared" si="16"/>
        <v>185.81972116154802</v>
      </c>
      <c r="E229" s="4">
        <f t="shared" si="17"/>
        <v>185.17947114746482</v>
      </c>
      <c r="F229" s="25"/>
    </row>
    <row r="230" spans="1:6" x14ac:dyDescent="0.55000000000000004">
      <c r="A230" s="25">
        <v>83</v>
      </c>
      <c r="B230" s="4">
        <f t="shared" si="18"/>
        <v>2.7653636251444942</v>
      </c>
      <c r="C230" s="4">
        <f t="shared" si="19"/>
        <v>4.5025116404108747</v>
      </c>
      <c r="D230" s="4">
        <f t="shared" si="16"/>
        <v>185.8197273634218</v>
      </c>
      <c r="E230" s="4">
        <f t="shared" si="17"/>
        <v>185.18083616506627</v>
      </c>
      <c r="F230" s="25"/>
    </row>
    <row r="231" spans="1:6" x14ac:dyDescent="0.55000000000000004">
      <c r="A231" s="25">
        <v>83.25</v>
      </c>
      <c r="B231" s="4">
        <f t="shared" si="18"/>
        <v>2.7636931026196958</v>
      </c>
      <c r="C231" s="4">
        <f t="shared" si="19"/>
        <v>4.4929863086432382</v>
      </c>
      <c r="D231" s="4">
        <f t="shared" si="16"/>
        <v>185.8196081051897</v>
      </c>
      <c r="E231" s="4">
        <f t="shared" si="17"/>
        <v>185.18206851924822</v>
      </c>
      <c r="F231" s="25"/>
    </row>
    <row r="232" spans="1:6" x14ac:dyDescent="0.55000000000000004">
      <c r="A232" s="25">
        <v>83.5</v>
      </c>
      <c r="B232" s="4">
        <f t="shared" si="18"/>
        <v>2.762027533349531</v>
      </c>
      <c r="C232" s="4">
        <f t="shared" si="19"/>
        <v>4.4835113208896464</v>
      </c>
      <c r="D232" s="4">
        <f t="shared" si="16"/>
        <v>185.81936471296021</v>
      </c>
      <c r="E232" s="4">
        <f t="shared" si="17"/>
        <v>185.18316959578723</v>
      </c>
      <c r="F232" s="25"/>
    </row>
    <row r="233" spans="1:6" x14ac:dyDescent="0.55000000000000004">
      <c r="A233" s="25">
        <v>83.75</v>
      </c>
      <c r="B233" s="4">
        <f t="shared" si="18"/>
        <v>2.7603668872465685</v>
      </c>
      <c r="C233" s="4">
        <f t="shared" si="19"/>
        <v>4.4740862613799761</v>
      </c>
      <c r="D233" s="4">
        <f t="shared" si="16"/>
        <v>185.81899849641454</v>
      </c>
      <c r="E233" s="4">
        <f t="shared" si="17"/>
        <v>185.18414076336083</v>
      </c>
      <c r="F233" s="25"/>
    </row>
    <row r="234" spans="1:6" x14ac:dyDescent="0.55000000000000004">
      <c r="A234" s="25">
        <v>84</v>
      </c>
      <c r="B234" s="4">
        <f t="shared" si="18"/>
        <v>2.7587111344958926</v>
      </c>
      <c r="C234" s="4">
        <f t="shared" si="19"/>
        <v>4.4647107190097719</v>
      </c>
      <c r="D234" s="4">
        <f t="shared" si="16"/>
        <v>185.81851074905236</v>
      </c>
      <c r="E234" s="4">
        <f t="shared" si="17"/>
        <v>185.18498337380302</v>
      </c>
      <c r="F234" s="25"/>
    </row>
    <row r="235" spans="1:6" x14ac:dyDescent="0.55000000000000004">
      <c r="A235" s="25">
        <v>84.25</v>
      </c>
      <c r="B235" s="4">
        <f t="shared" si="18"/>
        <v>2.7570602455518292</v>
      </c>
      <c r="C235" s="4">
        <f t="shared" si="19"/>
        <v>4.4553842872741214</v>
      </c>
      <c r="D235" s="4">
        <f t="shared" si="16"/>
        <v>185.81790274843308</v>
      </c>
      <c r="E235" s="4">
        <f t="shared" si="17"/>
        <v>185.18569876235489</v>
      </c>
      <c r="F235" s="25"/>
    </row>
    <row r="236" spans="1:6" x14ac:dyDescent="0.55000000000000004">
      <c r="A236" s="25">
        <v>84.5</v>
      </c>
      <c r="B236" s="4">
        <f t="shared" si="18"/>
        <v>2.7554141911347201</v>
      </c>
      <c r="C236" s="4">
        <f t="shared" si="19"/>
        <v>4.4461065642027391</v>
      </c>
      <c r="D236" s="4">
        <f t="shared" si="16"/>
        <v>185.81717575641323</v>
      </c>
      <c r="E236" s="4">
        <f t="shared" si="17"/>
        <v>185.18628824791125</v>
      </c>
      <c r="F236" s="25"/>
    </row>
    <row r="237" spans="1:6" x14ac:dyDescent="0.55000000000000004">
      <c r="A237" s="25">
        <v>84.75</v>
      </c>
      <c r="B237" s="4">
        <f t="shared" si="18"/>
        <v>2.7537729422277466</v>
      </c>
      <c r="C237" s="4">
        <f t="shared" si="19"/>
        <v>4.4368771522961028</v>
      </c>
      <c r="D237" s="4">
        <f t="shared" si="16"/>
        <v>185.81633101937942</v>
      </c>
      <c r="E237" s="4">
        <f t="shared" si="17"/>
        <v>185.18675313326244</v>
      </c>
      <c r="F237" s="25"/>
    </row>
    <row r="238" spans="1:6" x14ac:dyDescent="0.55000000000000004">
      <c r="A238" s="25">
        <v>85</v>
      </c>
      <c r="B238" s="4">
        <f t="shared" si="18"/>
        <v>2.7521364700737951</v>
      </c>
      <c r="C238" s="4">
        <f t="shared" si="19"/>
        <v>4.4276956584626825</v>
      </c>
      <c r="D238" s="4">
        <f t="shared" si="16"/>
        <v>185.81536976847698</v>
      </c>
      <c r="E238" s="4">
        <f t="shared" si="17"/>
        <v>185.18709470533227</v>
      </c>
      <c r="F238" s="25"/>
    </row>
    <row r="239" spans="1:6" x14ac:dyDescent="0.55000000000000004">
      <c r="A239" s="25">
        <v>85.25</v>
      </c>
      <c r="B239" s="4">
        <f t="shared" si="18"/>
        <v>2.7505047461723771</v>
      </c>
      <c r="C239" s="4">
        <f t="shared" si="19"/>
        <v>4.418561693957253</v>
      </c>
      <c r="D239" s="4">
        <f t="shared" si="16"/>
        <v>185.81429321983529</v>
      </c>
      <c r="E239" s="4">
        <f t="shared" si="17"/>
        <v>185.18731423541169</v>
      </c>
      <c r="F239" s="25"/>
    </row>
    <row r="240" spans="1:6" x14ac:dyDescent="0.55000000000000004">
      <c r="A240" s="3">
        <v>85.5</v>
      </c>
      <c r="B240" s="5">
        <f>SQRT(2/($B$9-1)*((A240/$B$3)^((1-$B$9)/$B$9) - 1))</f>
        <v>2.7488777422765924</v>
      </c>
      <c r="C240" s="5">
        <f t="shared" si="19"/>
        <v>4.4094748743202601</v>
      </c>
      <c r="D240" s="5">
        <f t="shared" si="16"/>
        <v>185.81310257478862</v>
      </c>
      <c r="E240" s="5">
        <f t="shared" si="17"/>
        <v>185.18741297938845</v>
      </c>
      <c r="F240" s="2" t="s">
        <v>62</v>
      </c>
    </row>
    <row r="241" spans="1:5" x14ac:dyDescent="0.55000000000000004">
      <c r="A241" s="25">
        <v>85.75</v>
      </c>
      <c r="B241" s="4">
        <f t="shared" si="18"/>
        <v>2.7472554303901289</v>
      </c>
      <c r="C241" s="4">
        <f t="shared" si="19"/>
        <v>4.4004348193181322</v>
      </c>
      <c r="D241" s="4">
        <f t="shared" si="16"/>
        <v>185.81179902009293</v>
      </c>
      <c r="E241" s="4">
        <f t="shared" si="17"/>
        <v>185.18739217797244</v>
      </c>
    </row>
    <row r="242" spans="1:5" x14ac:dyDescent="0.55000000000000004">
      <c r="A242" s="25">
        <v>86</v>
      </c>
      <c r="B242" s="4">
        <f t="shared" si="18"/>
        <v>2.7456377827643172</v>
      </c>
      <c r="C242" s="4">
        <f t="shared" si="19"/>
        <v>4.3914411528846857</v>
      </c>
      <c r="D242" s="4">
        <f t="shared" si="16"/>
        <v>185.8103837281397</v>
      </c>
      <c r="E242" s="4">
        <f t="shared" si="17"/>
        <v>185.18725305691763</v>
      </c>
    </row>
    <row r="243" spans="1:5" x14ac:dyDescent="0.55000000000000004">
      <c r="A243" s="25">
        <v>86.25</v>
      </c>
      <c r="B243" s="4">
        <f t="shared" si="18"/>
        <v>2.7440247718952251</v>
      </c>
      <c r="C243" s="4">
        <f t="shared" si="19"/>
        <v>4.3824935030634506</v>
      </c>
      <c r="D243" s="4">
        <f t="shared" si="16"/>
        <v>185.80885785716532</v>
      </c>
      <c r="E243" s="4">
        <f t="shared" si="17"/>
        <v>185.18699682723977</v>
      </c>
    </row>
    <row r="244" spans="1:5" x14ac:dyDescent="0.55000000000000004">
      <c r="A244" s="25">
        <v>86.5</v>
      </c>
      <c r="B244" s="4">
        <f t="shared" si="18"/>
        <v>2.7424163705207918</v>
      </c>
      <c r="C244" s="4">
        <f>1/B244*(2/($B$9+1)*(1 + ($B$9-1)/2*B244^2))^(($B$9+1)/(2*$B$9-2))</f>
        <v>4.3735915019510028</v>
      </c>
      <c r="D244" s="4">
        <f t="shared" si="16"/>
        <v>185.80722255145727</v>
      </c>
      <c r="E244" s="4">
        <f t="shared" si="17"/>
        <v>185.18662468543062</v>
      </c>
    </row>
    <row r="245" spans="1:5" x14ac:dyDescent="0.55000000000000004">
      <c r="A245" s="25">
        <v>86.75</v>
      </c>
      <c r="B245" s="4">
        <f t="shared" si="18"/>
        <v>2.7408125516180033</v>
      </c>
      <c r="C245" s="4">
        <f t="shared" si="19"/>
        <v>4.3647347856411729</v>
      </c>
      <c r="D245" s="4">
        <f t="shared" si="16"/>
        <v>185.8054789415564</v>
      </c>
      <c r="E245" s="4">
        <f t="shared" si="17"/>
        <v>185.18613781366807</v>
      </c>
    </row>
    <row r="246" spans="1:5" x14ac:dyDescent="0.55000000000000004">
      <c r="A246" s="25">
        <v>87</v>
      </c>
      <c r="B246" s="4">
        <f t="shared" si="18"/>
        <v>2.7392132884001175</v>
      </c>
      <c r="C246" s="4">
        <f t="shared" si="19"/>
        <v>4.3559229941702808</v>
      </c>
      <c r="D246" s="4">
        <f t="shared" si="16"/>
        <v>185.80362814445633</v>
      </c>
      <c r="E246" s="4">
        <f t="shared" si="17"/>
        <v>185.18553738002333</v>
      </c>
    </row>
    <row r="247" spans="1:5" x14ac:dyDescent="0.55000000000000004">
      <c r="A247" s="25">
        <v>87.25</v>
      </c>
      <c r="B247" s="4">
        <f t="shared" si="18"/>
        <v>2.7376185543139164</v>
      </c>
      <c r="C247" s="4">
        <f t="shared" si="19"/>
        <v>4.3471557714631768</v>
      </c>
      <c r="D247" s="4">
        <f t="shared" si="16"/>
        <v>185.80167126379871</v>
      </c>
      <c r="E247" s="4">
        <f t="shared" si="17"/>
        <v>185.18482453866397</v>
      </c>
    </row>
    <row r="248" spans="1:5" x14ac:dyDescent="0.55000000000000004">
      <c r="A248" s="25">
        <v>87.5</v>
      </c>
      <c r="B248" s="4">
        <f t="shared" si="18"/>
        <v>2.7360283230370088</v>
      </c>
      <c r="C248" s="4">
        <f t="shared" si="19"/>
        <v>4.3384327652802277</v>
      </c>
      <c r="D248" s="4">
        <f t="shared" si="16"/>
        <v>185.79960939006571</v>
      </c>
      <c r="E248" s="4">
        <f t="shared" si="17"/>
        <v>185.1840004300538</v>
      </c>
    </row>
    <row r="249" spans="1:5" x14ac:dyDescent="0.55000000000000004">
      <c r="A249" s="25">
        <v>87.75</v>
      </c>
      <c r="B249" s="4">
        <f t="shared" si="18"/>
        <v>2.7344425684751665</v>
      </c>
      <c r="C249" s="4">
        <f t="shared" si="19"/>
        <v>4.329753627165176</v>
      </c>
      <c r="D249" s="4">
        <f t="shared" si="16"/>
        <v>185.79744360076904</v>
      </c>
      <c r="E249" s="4">
        <f t="shared" si="17"/>
        <v>185.1830661811492</v>
      </c>
    </row>
    <row r="250" spans="1:5" x14ac:dyDescent="0.55000000000000004">
      <c r="A250" s="25">
        <v>88</v>
      </c>
      <c r="B250" s="4">
        <f t="shared" si="18"/>
        <v>2.7328612647597006</v>
      </c>
      <c r="C250" s="4">
        <f t="shared" si="19"/>
        <v>4.3211180123938178</v>
      </c>
      <c r="D250" s="4">
        <f t="shared" si="16"/>
        <v>185.79517496063559</v>
      </c>
      <c r="E250" s="4">
        <f t="shared" si="17"/>
        <v>185.18202290559233</v>
      </c>
    </row>
    <row r="251" spans="1:5" x14ac:dyDescent="0.55000000000000004">
      <c r="A251" s="25">
        <v>88.25</v>
      </c>
      <c r="B251" s="4">
        <f t="shared" si="18"/>
        <v>2.7312843862448717</v>
      </c>
      <c r="C251" s="4">
        <f t="shared" si="19"/>
        <v>4.3125255799235678</v>
      </c>
      <c r="D251" s="4">
        <f t="shared" si="16"/>
        <v>185.79280452179009</v>
      </c>
      <c r="E251" s="4">
        <f t="shared" si="17"/>
        <v>185.18087170390069</v>
      </c>
    </row>
    <row r="252" spans="1:5" x14ac:dyDescent="0.55000000000000004">
      <c r="A252" s="25">
        <v>88.5</v>
      </c>
      <c r="B252" s="4">
        <f t="shared" si="18"/>
        <v>2.7297119075053446</v>
      </c>
      <c r="C252" s="4">
        <f t="shared" si="19"/>
        <v>4.3039759923438075</v>
      </c>
      <c r="D252" s="4">
        <f t="shared" si="16"/>
        <v>185.7903333239349</v>
      </c>
      <c r="E252" s="4">
        <f t="shared" si="17"/>
        <v>185.1796136636541</v>
      </c>
    </row>
    <row r="253" spans="1:5" x14ac:dyDescent="0.55000000000000004">
      <c r="A253" s="25">
        <v>88.75</v>
      </c>
      <c r="B253" s="4">
        <f t="shared" si="18"/>
        <v>2.7281438033336709</v>
      </c>
      <c r="C253" s="4">
        <f t="shared" si="19"/>
        <v>4.2954689158270662</v>
      </c>
      <c r="D253" s="4">
        <f t="shared" si="16"/>
        <v>185.78776239452637</v>
      </c>
      <c r="E253" s="4">
        <f t="shared" si="17"/>
        <v>185.17824985967783</v>
      </c>
    </row>
    <row r="254" spans="1:5" x14ac:dyDescent="0.55000000000000004">
      <c r="A254" s="25">
        <v>89</v>
      </c>
      <c r="B254" s="4">
        <f t="shared" si="18"/>
        <v>2.7265800487378162</v>
      </c>
      <c r="C254" s="4">
        <f t="shared" si="19"/>
        <v>4.287004020080988</v>
      </c>
      <c r="D254" s="4">
        <f t="shared" si="16"/>
        <v>185.78509274894839</v>
      </c>
      <c r="E254" s="4">
        <f t="shared" si="17"/>
        <v>185.17678135422321</v>
      </c>
    </row>
    <row r="255" spans="1:5" x14ac:dyDescent="0.55000000000000004">
      <c r="A255" s="25">
        <v>89.25</v>
      </c>
      <c r="B255" s="4">
        <f t="shared" si="18"/>
        <v>2.7250206189387094</v>
      </c>
      <c r="C255" s="4">
        <f t="shared" si="19"/>
        <v>4.2785809783010498</v>
      </c>
      <c r="D255" s="4">
        <f t="shared" si="16"/>
        <v>185.78232539068318</v>
      </c>
      <c r="E255" s="4">
        <f t="shared" si="17"/>
        <v>185.17520919714494</v>
      </c>
    </row>
    <row r="256" spans="1:5" x14ac:dyDescent="0.55000000000000004">
      <c r="A256" s="25">
        <v>89.5</v>
      </c>
      <c r="B256" s="4">
        <f t="shared" si="18"/>
        <v>2.7234654893678414</v>
      </c>
      <c r="C256" s="4">
        <f t="shared" si="19"/>
        <v>4.2701994671240993</v>
      </c>
      <c r="D256" s="4">
        <f t="shared" si="16"/>
        <v>185.77946131147914</v>
      </c>
      <c r="E256" s="4">
        <f t="shared" si="17"/>
        <v>185.17353442607541</v>
      </c>
    </row>
    <row r="257" spans="1:5" x14ac:dyDescent="0.55000000000000004">
      <c r="A257" s="25">
        <v>89.75</v>
      </c>
      <c r="B257" s="4">
        <f t="shared" si="18"/>
        <v>2.7219146356648882</v>
      </c>
      <c r="C257" s="4">
        <f t="shared" si="19"/>
        <v>4.2618591665825791</v>
      </c>
      <c r="D257" s="4">
        <f t="shared" si="16"/>
        <v>185.77650149151563</v>
      </c>
      <c r="E257" s="4">
        <f t="shared" si="17"/>
        <v>185.17175806659645</v>
      </c>
    </row>
    <row r="258" spans="1:5" x14ac:dyDescent="0.55000000000000004">
      <c r="A258" s="25">
        <v>90</v>
      </c>
      <c r="B258" s="4">
        <f t="shared" si="18"/>
        <v>2.7203680336753693</v>
      </c>
      <c r="C258" s="4">
        <f t="shared" si="19"/>
        <v>4.253559760059515</v>
      </c>
      <c r="D258" s="4">
        <f t="shared" si="16"/>
        <v>185.77344689956553</v>
      </c>
      <c r="E258" s="4">
        <f t="shared" si="17"/>
        <v>185.16988113240774</v>
      </c>
    </row>
    <row r="259" spans="1:5" x14ac:dyDescent="0.55000000000000004">
      <c r="A259" s="25">
        <v>90.25</v>
      </c>
      <c r="B259" s="4">
        <f t="shared" si="18"/>
        <v>2.7188256594483393</v>
      </c>
      <c r="C259" s="4">
        <f t="shared" si="19"/>
        <v>4.2453009342442405</v>
      </c>
      <c r="D259" s="4">
        <f t="shared" si="16"/>
        <v>185.77029849315468</v>
      </c>
      <c r="E259" s="4">
        <f t="shared" si="17"/>
        <v>185.16790462549289</v>
      </c>
    </row>
    <row r="260" spans="1:5" x14ac:dyDescent="0.55000000000000004">
      <c r="A260" s="25">
        <v>90.5</v>
      </c>
      <c r="B260" s="4">
        <f t="shared" si="18"/>
        <v>2.7172874892341139</v>
      </c>
      <c r="C260" s="4">
        <f t="shared" si="19"/>
        <v>4.2370823790887906</v>
      </c>
      <c r="D260" s="4">
        <f t="shared" si="16"/>
        <v>185.76705721871886</v>
      </c>
      <c r="E260" s="4">
        <f t="shared" si="17"/>
        <v>185.16582953628242</v>
      </c>
    </row>
    <row r="261" spans="1:5" x14ac:dyDescent="0.55000000000000004">
      <c r="A261" s="25">
        <v>90.75</v>
      </c>
      <c r="B261" s="4">
        <f t="shared" si="18"/>
        <v>2.7157534994820209</v>
      </c>
      <c r="C261" s="4">
        <f t="shared" si="19"/>
        <v>4.2289037877649944</v>
      </c>
      <c r="D261" s="4">
        <f t="shared" si="16"/>
        <v>185.7637240117582</v>
      </c>
      <c r="E261" s="4">
        <f t="shared" si="17"/>
        <v>185.16365684381435</v>
      </c>
    </row>
    <row r="262" spans="1:5" x14ac:dyDescent="0.55000000000000004">
      <c r="A262" s="25">
        <v>91</v>
      </c>
      <c r="B262" s="4">
        <f t="shared" si="18"/>
        <v>2.7142236668381932</v>
      </c>
      <c r="C262" s="4">
        <f t="shared" si="19"/>
        <v>4.2207648566222957</v>
      </c>
      <c r="D262" s="4">
        <f t="shared" si="16"/>
        <v>185.76029979698896</v>
      </c>
      <c r="E262" s="4">
        <f t="shared" si="17"/>
        <v>185.16138751589193</v>
      </c>
    </row>
    <row r="263" spans="1:5" x14ac:dyDescent="0.55000000000000004">
      <c r="A263" s="25">
        <v>91.25</v>
      </c>
      <c r="B263" s="4">
        <f t="shared" si="18"/>
        <v>2.7126979681433814</v>
      </c>
      <c r="C263" s="4">
        <f t="shared" si="19"/>
        <v>4.2126652851461852</v>
      </c>
      <c r="D263" s="4">
        <f t="shared" si="16"/>
        <v>185.75678548849299</v>
      </c>
      <c r="E263" s="4">
        <f t="shared" si="17"/>
        <v>185.15902250923895</v>
      </c>
    </row>
    <row r="264" spans="1:5" x14ac:dyDescent="0.55000000000000004">
      <c r="A264" s="25">
        <v>91.5</v>
      </c>
      <c r="B264" s="4">
        <f t="shared" si="18"/>
        <v>2.711176380430802</v>
      </c>
      <c r="C264" s="4">
        <f t="shared" si="19"/>
        <v>4.2046047759173035</v>
      </c>
      <c r="D264" s="4">
        <f t="shared" si="16"/>
        <v>185.75318198986434</v>
      </c>
      <c r="E264" s="4">
        <f t="shared" si="17"/>
        <v>185.15656276965237</v>
      </c>
    </row>
    <row r="265" spans="1:5" x14ac:dyDescent="0.55000000000000004">
      <c r="A265" s="25">
        <v>91.75</v>
      </c>
      <c r="B265" s="4">
        <f t="shared" si="18"/>
        <v>2.7096588809240174</v>
      </c>
      <c r="C265" s="4">
        <f t="shared" si="19"/>
        <v>4.1965830345712112</v>
      </c>
      <c r="D265" s="4">
        <f t="shared" si="16"/>
        <v>185.74949019435417</v>
      </c>
      <c r="E265" s="4">
        <f t="shared" si="17"/>
        <v>185.15400923215256</v>
      </c>
    </row>
    <row r="266" spans="1:5" x14ac:dyDescent="0.55000000000000004">
      <c r="A266" s="25">
        <v>92</v>
      </c>
      <c r="B266" s="4">
        <f t="shared" si="18"/>
        <v>2.7081454470348381</v>
      </c>
      <c r="C266" s="4">
        <f t="shared" si="19"/>
        <v>4.18859976975875</v>
      </c>
      <c r="D266" s="4">
        <f t="shared" si="16"/>
        <v>185.74571098501249</v>
      </c>
      <c r="E266" s="4">
        <f t="shared" si="17"/>
        <v>185.15136282113104</v>
      </c>
    </row>
    <row r="267" spans="1:5" x14ac:dyDescent="0.55000000000000004">
      <c r="A267" s="25">
        <v>92.25</v>
      </c>
      <c r="B267" s="4">
        <f t="shared" si="18"/>
        <v>2.7066360563612601</v>
      </c>
      <c r="C267" s="4">
        <f t="shared" si="19"/>
        <v>4.1806546931070665</v>
      </c>
      <c r="D267" s="4">
        <f t="shared" si="16"/>
        <v>185.74184523482836</v>
      </c>
      <c r="E267" s="4">
        <f t="shared" si="17"/>
        <v>185.14862445049602</v>
      </c>
    </row>
    <row r="268" spans="1:5" x14ac:dyDescent="0.55000000000000004">
      <c r="A268" s="25">
        <v>92.5</v>
      </c>
      <c r="B268" s="4">
        <f t="shared" si="18"/>
        <v>2.7051306866854294</v>
      </c>
      <c r="C268" s="4">
        <f t="shared" si="19"/>
        <v>4.1727475191812253</v>
      </c>
      <c r="D268" s="4">
        <f t="shared" si="16"/>
        <v>185.73789380686722</v>
      </c>
      <c r="E268" s="4">
        <f t="shared" si="17"/>
        <v>185.14579502381517</v>
      </c>
    </row>
    <row r="269" spans="1:5" x14ac:dyDescent="0.55000000000000004">
      <c r="A269" s="25">
        <v>92.75</v>
      </c>
      <c r="B269" s="4">
        <f t="shared" si="18"/>
        <v>2.7036293159716287</v>
      </c>
      <c r="C269" s="4">
        <f t="shared" si="19"/>
        <v>4.164877965446391</v>
      </c>
      <c r="D269" s="4">
        <f t="shared" si="16"/>
        <v>185.7338575544064</v>
      </c>
      <c r="E269" s="4">
        <f t="shared" si="17"/>
        <v>185.14287543445658</v>
      </c>
    </row>
    <row r="270" spans="1:5" x14ac:dyDescent="0.55000000000000004">
      <c r="A270" s="25">
        <v>93</v>
      </c>
      <c r="B270" s="4">
        <f t="shared" si="18"/>
        <v>2.7021319223642988</v>
      </c>
      <c r="C270" s="4">
        <f t="shared" si="19"/>
        <v>4.1570457522306654</v>
      </c>
      <c r="D270" s="4">
        <f t="shared" si="16"/>
        <v>185.72973732106814</v>
      </c>
      <c r="E270" s="4">
        <f t="shared" si="17"/>
        <v>185.13986656572698</v>
      </c>
    </row>
    <row r="271" spans="1:5" x14ac:dyDescent="0.55000000000000004">
      <c r="A271" s="25">
        <v>93.25</v>
      </c>
      <c r="B271" s="4">
        <f t="shared" si="18"/>
        <v>2.7006384841860829</v>
      </c>
      <c r="C271" s="4">
        <f t="shared" si="19"/>
        <v>4.1492506026884231</v>
      </c>
      <c r="D271" s="4">
        <f t="shared" ref="D271:D318" si="20">$B$6*$B$12/9.81*($B$9*SQRT(2/($B$9-1)*(2/($B$9+1))^(($B$9+1)/($B$9-1))*(1 - (A271/$B$3)^(($B$9-1)/$B$9))) + C271/$B$3*(A271 - $E$6))</f>
        <v>185.7255339409509</v>
      </c>
      <c r="E271" s="4">
        <f t="shared" ref="E271:E318" si="21">$B$6*$B$12/9.81*($B$9*SQRT(2/($B$9-1)*(2/($B$9+1))^(($B$9+1)/($B$9-1))*(1 - (A271/$B$3)^(($B$9-1)/$B$9))) + C271/$B$3*(A271 - $E$4))</f>
        <v>185.13676929100825</v>
      </c>
    </row>
    <row r="272" spans="1:5" x14ac:dyDescent="0.55000000000000004">
      <c r="A272" s="25">
        <v>93.5</v>
      </c>
      <c r="B272" s="4">
        <f t="shared" ref="B272:B318" si="22">SQRT(2/($B$9-1)*((A272/$B$3)^((1-$B$9)/$B$9) - 1))</f>
        <v>2.699148979935897</v>
      </c>
      <c r="C272" s="4">
        <f t="shared" ref="C272:C318" si="23">1/B272*(2/($B$9+1)*(1 + ($B$9-1)/2*B272^2))^(($B$9+1)/(2*$B$9-2))</f>
        <v>4.1414922427642642</v>
      </c>
      <c r="D272" s="4">
        <f t="shared" si="20"/>
        <v>185.72124823875799</v>
      </c>
      <c r="E272" s="4">
        <f t="shared" si="21"/>
        <v>185.13358447389129</v>
      </c>
    </row>
    <row r="273" spans="1:5" x14ac:dyDescent="0.55000000000000004">
      <c r="A273" s="25">
        <v>93.75</v>
      </c>
      <c r="B273" s="4">
        <f t="shared" si="22"/>
        <v>2.6976633882870309</v>
      </c>
      <c r="C273" s="4">
        <f t="shared" si="23"/>
        <v>4.1337704011575243</v>
      </c>
      <c r="D273" s="4">
        <f t="shared" si="20"/>
        <v>185.71688102992471</v>
      </c>
      <c r="E273" s="4">
        <f t="shared" si="21"/>
        <v>185.13031296830806</v>
      </c>
    </row>
    <row r="274" spans="1:5" x14ac:dyDescent="0.55000000000000004">
      <c r="A274" s="25">
        <v>94</v>
      </c>
      <c r="B274" s="4">
        <f t="shared" si="22"/>
        <v>2.696181688085264</v>
      </c>
      <c r="C274" s="4">
        <f t="shared" si="23"/>
        <v>4.126084809287268</v>
      </c>
      <c r="D274" s="4">
        <f t="shared" si="20"/>
        <v>185.71243312074304</v>
      </c>
      <c r="E274" s="4">
        <f t="shared" si="21"/>
        <v>185.12695561866116</v>
      </c>
    </row>
    <row r="275" spans="1:5" x14ac:dyDescent="0.55000000000000004">
      <c r="A275" s="25">
        <v>94.25</v>
      </c>
      <c r="B275" s="4">
        <f t="shared" si="22"/>
        <v>2.6947038583470229</v>
      </c>
      <c r="C275" s="4">
        <f t="shared" si="23"/>
        <v>4.1184352012579231</v>
      </c>
      <c r="D275" s="4">
        <f t="shared" si="20"/>
        <v>185.70790530848461</v>
      </c>
      <c r="E275" s="4">
        <f t="shared" si="21"/>
        <v>185.12351325995203</v>
      </c>
    </row>
    <row r="276" spans="1:5" x14ac:dyDescent="0.55000000000000004">
      <c r="A276" s="25">
        <v>94.5</v>
      </c>
      <c r="B276" s="4">
        <f t="shared" si="22"/>
        <v>2.6932298782575455</v>
      </c>
      <c r="C276" s="4">
        <f t="shared" si="23"/>
        <v>4.1108213138253236</v>
      </c>
      <c r="D276" s="4">
        <f t="shared" si="20"/>
        <v>185.70329838152148</v>
      </c>
      <c r="E276" s="4">
        <f t="shared" si="21"/>
        <v>185.11998671790616</v>
      </c>
    </row>
    <row r="277" spans="1:5" x14ac:dyDescent="0.55000000000000004">
      <c r="A277" s="25">
        <v>94.75</v>
      </c>
      <c r="B277" s="4">
        <f t="shared" si="22"/>
        <v>2.6917597271690834</v>
      </c>
      <c r="C277" s="4">
        <f t="shared" si="23"/>
        <v>4.1032428863633568</v>
      </c>
      <c r="D277" s="4">
        <f t="shared" si="20"/>
        <v>185.69861311944555</v>
      </c>
      <c r="E277" s="4">
        <f t="shared" si="21"/>
        <v>185.11637680909737</v>
      </c>
    </row>
    <row r="278" spans="1:5" x14ac:dyDescent="0.55000000000000004">
      <c r="A278" s="25">
        <v>95</v>
      </c>
      <c r="B278" s="4">
        <f t="shared" si="22"/>
        <v>2.6902933845991219</v>
      </c>
      <c r="C278" s="4">
        <f t="shared" si="23"/>
        <v>4.0956996608310892</v>
      </c>
      <c r="D278" s="4">
        <f t="shared" si="20"/>
        <v>185.69385029318511</v>
      </c>
      <c r="E278" s="4">
        <f t="shared" si="21"/>
        <v>185.1126843410691</v>
      </c>
    </row>
    <row r="279" spans="1:5" x14ac:dyDescent="0.55000000000000004">
      <c r="A279" s="25">
        <v>95.25</v>
      </c>
      <c r="B279" s="4">
        <f t="shared" si="22"/>
        <v>2.6888308302286235</v>
      </c>
      <c r="C279" s="4">
        <f t="shared" si="23"/>
        <v>4.0881913817403603</v>
      </c>
      <c r="D279" s="4">
        <f t="shared" si="20"/>
        <v>185.68901066512055</v>
      </c>
      <c r="E279" s="4">
        <f t="shared" si="21"/>
        <v>185.10891011245468</v>
      </c>
    </row>
    <row r="280" spans="1:5" x14ac:dyDescent="0.55000000000000004">
      <c r="A280" s="25">
        <v>95.5</v>
      </c>
      <c r="B280" s="4">
        <f t="shared" si="22"/>
        <v>2.6873720439002993</v>
      </c>
      <c r="C280" s="4">
        <f t="shared" si="23"/>
        <v>4.0807177961239347</v>
      </c>
      <c r="D280" s="4">
        <f t="shared" si="20"/>
        <v>185.68409498919792</v>
      </c>
      <c r="E280" s="4">
        <f t="shared" si="21"/>
        <v>185.10505491309527</v>
      </c>
    </row>
    <row r="281" spans="1:5" x14ac:dyDescent="0.55000000000000004">
      <c r="A281" s="25">
        <v>95.75</v>
      </c>
      <c r="B281" s="4">
        <f t="shared" si="22"/>
        <v>2.6859170056168944</v>
      </c>
      <c r="C281" s="4">
        <f t="shared" si="23"/>
        <v>4.0732786535040493</v>
      </c>
      <c r="D281" s="4">
        <f t="shared" si="20"/>
        <v>185.67910401104004</v>
      </c>
      <c r="E281" s="4">
        <f t="shared" si="21"/>
        <v>185.10111952415576</v>
      </c>
    </row>
    <row r="282" spans="1:5" x14ac:dyDescent="0.55000000000000004">
      <c r="A282" s="25">
        <v>96</v>
      </c>
      <c r="B282" s="4">
        <f t="shared" si="22"/>
        <v>2.6844656955395063</v>
      </c>
      <c r="C282" s="4">
        <f t="shared" si="23"/>
        <v>4.0658737058615069</v>
      </c>
      <c r="D282" s="4">
        <f t="shared" si="20"/>
        <v>185.67403846805729</v>
      </c>
      <c r="E282" s="4">
        <f t="shared" si="21"/>
        <v>185.09710471823956</v>
      </c>
    </row>
    <row r="283" spans="1:5" x14ac:dyDescent="0.55000000000000004">
      <c r="A283" s="25">
        <v>96.25</v>
      </c>
      <c r="B283" s="4">
        <f t="shared" si="22"/>
        <v>2.6830180939859178</v>
      </c>
      <c r="C283" s="4">
        <f t="shared" si="23"/>
        <v>4.0585027076052107</v>
      </c>
      <c r="D283" s="4">
        <f t="shared" si="20"/>
        <v>185.66889908955523</v>
      </c>
      <c r="E283" s="4">
        <f t="shared" si="21"/>
        <v>185.09301125950074</v>
      </c>
    </row>
    <row r="284" spans="1:5" x14ac:dyDescent="0.55000000000000004">
      <c r="A284" s="25">
        <v>96.5</v>
      </c>
      <c r="B284" s="4">
        <f t="shared" si="22"/>
        <v>2.6815741814289562</v>
      </c>
      <c r="C284" s="4">
        <f t="shared" si="23"/>
        <v>4.0511654155421128</v>
      </c>
      <c r="D284" s="4">
        <f t="shared" si="20"/>
        <v>185.66368659684139</v>
      </c>
      <c r="E284" s="4">
        <f t="shared" si="21"/>
        <v>185.0888399037552</v>
      </c>
    </row>
    <row r="285" spans="1:5" x14ac:dyDescent="0.55000000000000004">
      <c r="A285" s="25">
        <v>96.75</v>
      </c>
      <c r="B285" s="4">
        <f t="shared" si="22"/>
        <v>2.6801339384948677</v>
      </c>
      <c r="C285" s="4">
        <f t="shared" si="23"/>
        <v>4.0438615888476779</v>
      </c>
      <c r="D285" s="4">
        <f t="shared" si="20"/>
        <v>185.65840170333021</v>
      </c>
      <c r="E285" s="4">
        <f t="shared" si="21"/>
        <v>185.08459139858945</v>
      </c>
    </row>
    <row r="286" spans="1:5" x14ac:dyDescent="0.55000000000000004">
      <c r="A286" s="25">
        <v>97</v>
      </c>
      <c r="B286" s="4">
        <f t="shared" si="22"/>
        <v>2.6786973459617234</v>
      </c>
      <c r="C286" s="4">
        <f t="shared" si="23"/>
        <v>4.0365909890367488</v>
      </c>
      <c r="D286" s="4">
        <f t="shared" si="20"/>
        <v>185.65304511464629</v>
      </c>
      <c r="E286" s="4">
        <f t="shared" si="21"/>
        <v>185.08026648346839</v>
      </c>
    </row>
    <row r="287" spans="1:5" x14ac:dyDescent="0.55000000000000004">
      <c r="A287" s="25">
        <v>97.25</v>
      </c>
      <c r="B287" s="4">
        <f t="shared" si="22"/>
        <v>2.6772643847578341</v>
      </c>
      <c r="C287" s="4">
        <f t="shared" si="23"/>
        <v>4.029353379934828</v>
      </c>
      <c r="D287" s="4">
        <f t="shared" si="20"/>
        <v>185.64761752872602</v>
      </c>
      <c r="E287" s="4">
        <f t="shared" si="21"/>
        <v>185.07586588984086</v>
      </c>
    </row>
    <row r="288" spans="1:5" x14ac:dyDescent="0.55000000000000004">
      <c r="A288" s="25">
        <v>97.5</v>
      </c>
      <c r="B288" s="4">
        <f t="shared" si="22"/>
        <v>2.675835035960195</v>
      </c>
      <c r="C288" s="4">
        <f t="shared" si="23"/>
        <v>4.0221485276498425</v>
      </c>
      <c r="D288" s="4">
        <f t="shared" si="20"/>
        <v>185.64211963591796</v>
      </c>
      <c r="E288" s="4">
        <f t="shared" si="21"/>
        <v>185.07139034124373</v>
      </c>
    </row>
    <row r="289" spans="1:5" x14ac:dyDescent="0.55000000000000004">
      <c r="A289" s="25">
        <v>97.75</v>
      </c>
      <c r="B289" s="4">
        <f t="shared" si="22"/>
        <v>2.6744092807929456</v>
      </c>
      <c r="C289" s="4">
        <f t="shared" si="23"/>
        <v>4.0149762005442646</v>
      </c>
      <c r="D289" s="4">
        <f t="shared" si="20"/>
        <v>185.63655211908102</v>
      </c>
      <c r="E289" s="4">
        <f t="shared" si="21"/>
        <v>185.06684055340463</v>
      </c>
    </row>
    <row r="290" spans="1:5" x14ac:dyDescent="0.55000000000000004">
      <c r="A290" s="25">
        <v>98</v>
      </c>
      <c r="B290" s="4">
        <f t="shared" si="22"/>
        <v>2.6729871006258503</v>
      </c>
      <c r="C290" s="4">
        <f t="shared" si="23"/>
        <v>4.0078361692076712</v>
      </c>
      <c r="D290" s="4">
        <f t="shared" si="20"/>
        <v>185.630915653682</v>
      </c>
      <c r="E290" s="4">
        <f t="shared" si="21"/>
        <v>185.06221723434282</v>
      </c>
    </row>
    <row r="291" spans="1:5" x14ac:dyDescent="0.55000000000000004">
      <c r="A291" s="25">
        <v>98.25</v>
      </c>
      <c r="B291" s="4">
        <f t="shared" si="22"/>
        <v>2.6715684769728005</v>
      </c>
      <c r="C291" s="4">
        <f t="shared" si="23"/>
        <v>4.0007282064297156</v>
      </c>
      <c r="D291" s="4">
        <f t="shared" si="20"/>
        <v>185.62521090789082</v>
      </c>
      <c r="E291" s="4">
        <f t="shared" si="21"/>
        <v>185.0575210844687</v>
      </c>
    </row>
    <row r="292" spans="1:5" x14ac:dyDescent="0.55000000000000004">
      <c r="A292" s="25">
        <v>98.5</v>
      </c>
      <c r="B292" s="4">
        <f t="shared" si="22"/>
        <v>2.6701533914903317</v>
      </c>
      <c r="C292" s="4">
        <f t="shared" si="23"/>
        <v>3.9936520871734666</v>
      </c>
      <c r="D292" s="4">
        <f t="shared" si="20"/>
        <v>185.61943854267489</v>
      </c>
      <c r="E292" s="4">
        <f t="shared" si="21"/>
        <v>185.05275279668166</v>
      </c>
    </row>
    <row r="293" spans="1:5" x14ac:dyDescent="0.55000000000000004">
      <c r="A293" s="25">
        <v>98.75</v>
      </c>
      <c r="B293" s="4">
        <f t="shared" si="22"/>
        <v>2.6687418259761655</v>
      </c>
      <c r="C293" s="4">
        <f t="shared" si="23"/>
        <v>3.9866075885491705</v>
      </c>
      <c r="D293" s="4">
        <f t="shared" si="20"/>
        <v>185.61359921189174</v>
      </c>
      <c r="E293" s="4">
        <f t="shared" si="21"/>
        <v>185.04791305646646</v>
      </c>
    </row>
    <row r="294" spans="1:5" x14ac:dyDescent="0.55000000000000004">
      <c r="A294" s="25">
        <v>99</v>
      </c>
      <c r="B294" s="4">
        <f t="shared" si="22"/>
        <v>2.6673337623677629</v>
      </c>
      <c r="C294" s="4">
        <f t="shared" si="23"/>
        <v>3.9795944897883611</v>
      </c>
      <c r="D294" s="4">
        <f t="shared" si="20"/>
        <v>185.6076935623804</v>
      </c>
      <c r="E294" s="4">
        <f t="shared" si="21"/>
        <v>185.04300254198847</v>
      </c>
    </row>
    <row r="295" spans="1:5" x14ac:dyDescent="0.55000000000000004">
      <c r="A295" s="25">
        <v>99.25</v>
      </c>
      <c r="B295" s="4">
        <f t="shared" si="22"/>
        <v>2.6659291827409044</v>
      </c>
      <c r="C295" s="4">
        <f t="shared" si="23"/>
        <v>3.9726125722183911</v>
      </c>
      <c r="D295" s="4">
        <f t="shared" si="20"/>
        <v>185.60172223405107</v>
      </c>
      <c r="E295" s="4">
        <f t="shared" si="21"/>
        <v>185.03802192418684</v>
      </c>
    </row>
    <row r="296" spans="1:5" x14ac:dyDescent="0.55000000000000004">
      <c r="A296" s="25">
        <v>99.5</v>
      </c>
      <c r="B296" s="4">
        <f t="shared" si="22"/>
        <v>2.6645280693082807</v>
      </c>
      <c r="C296" s="4">
        <f t="shared" si="23"/>
        <v>3.9656616192372809</v>
      </c>
      <c r="D296" s="4">
        <f t="shared" si="20"/>
        <v>185.59568585997425</v>
      </c>
      <c r="E296" s="4">
        <f t="shared" si="21"/>
        <v>185.03297186686706</v>
      </c>
    </row>
    <row r="297" spans="1:5" x14ac:dyDescent="0.55000000000000004">
      <c r="A297" s="25">
        <v>99.75</v>
      </c>
      <c r="B297" s="4">
        <f t="shared" si="22"/>
        <v>2.663130404418105</v>
      </c>
      <c r="C297" s="4">
        <f t="shared" si="23"/>
        <v>3.9587414162889609</v>
      </c>
      <c r="D297" s="4">
        <f t="shared" si="20"/>
        <v>185.58958506646724</v>
      </c>
      <c r="E297" s="4">
        <f t="shared" si="21"/>
        <v>185.02785302679129</v>
      </c>
    </row>
    <row r="298" spans="1:5" x14ac:dyDescent="0.55000000000000004">
      <c r="A298" s="25">
        <v>100</v>
      </c>
      <c r="B298" s="4">
        <f t="shared" si="22"/>
        <v>2.661736170552742</v>
      </c>
      <c r="C298" s="4">
        <f t="shared" si="23"/>
        <v>3.951851750838876</v>
      </c>
      <c r="D298" s="4">
        <f t="shared" si="20"/>
        <v>185.58342047318064</v>
      </c>
      <c r="E298" s="4">
        <f t="shared" si="21"/>
        <v>185.02266605376806</v>
      </c>
    </row>
    <row r="299" spans="1:5" x14ac:dyDescent="0.55000000000000004">
      <c r="A299" s="25">
        <v>100.25</v>
      </c>
      <c r="B299" s="4">
        <f t="shared" si="22"/>
        <v>2.660345350327356</v>
      </c>
      <c r="C299" s="4">
        <f t="shared" si="23"/>
        <v>3.9449924123499325</v>
      </c>
      <c r="D299" s="4">
        <f t="shared" si="20"/>
        <v>185.57719269318264</v>
      </c>
      <c r="E299" s="4">
        <f t="shared" si="21"/>
        <v>185.01741159074004</v>
      </c>
    </row>
    <row r="300" spans="1:5" x14ac:dyDescent="0.55000000000000004">
      <c r="A300" s="25">
        <v>100.5</v>
      </c>
      <c r="B300" s="4">
        <f t="shared" si="22"/>
        <v>2.6589579264885708</v>
      </c>
      <c r="C300" s="4">
        <f t="shared" si="23"/>
        <v>3.9381631922587741</v>
      </c>
      <c r="D300" s="4">
        <f t="shared" si="20"/>
        <v>185.57090233304277</v>
      </c>
      <c r="E300" s="4">
        <f t="shared" si="21"/>
        <v>185.01209027387122</v>
      </c>
    </row>
    <row r="301" spans="1:5" x14ac:dyDescent="0.55000000000000004">
      <c r="A301" s="25">
        <v>100.75</v>
      </c>
      <c r="B301" s="4">
        <f t="shared" si="22"/>
        <v>2.6575738819131516</v>
      </c>
      <c r="C301" s="4">
        <f t="shared" si="23"/>
        <v>3.9313638839524354</v>
      </c>
      <c r="D301" s="4">
        <f t="shared" si="20"/>
        <v>185.56454999291353</v>
      </c>
      <c r="E301" s="4">
        <f t="shared" si="21"/>
        <v>185.00670273263171</v>
      </c>
    </row>
    <row r="302" spans="1:5" x14ac:dyDescent="0.55000000000000004">
      <c r="A302" s="25">
        <v>101</v>
      </c>
      <c r="B302" s="4">
        <f t="shared" si="22"/>
        <v>2.6561931996067045</v>
      </c>
      <c r="C302" s="4">
        <f t="shared" si="23"/>
        <v>3.9245942827452933</v>
      </c>
      <c r="D302" s="4">
        <f t="shared" si="20"/>
        <v>185.55813626661171</v>
      </c>
      <c r="E302" s="4">
        <f t="shared" si="21"/>
        <v>185.0012495898826</v>
      </c>
    </row>
    <row r="303" spans="1:5" x14ac:dyDescent="0.55000000000000004">
      <c r="A303" s="25">
        <v>101.25</v>
      </c>
      <c r="B303" s="4">
        <f t="shared" si="22"/>
        <v>2.654815862702383</v>
      </c>
      <c r="C303" s="4">
        <f t="shared" si="23"/>
        <v>3.9178541858563602</v>
      </c>
      <c r="D303" s="4">
        <f t="shared" si="20"/>
        <v>185.55166174169787</v>
      </c>
      <c r="E303" s="4">
        <f t="shared" si="21"/>
        <v>184.99573146195831</v>
      </c>
    </row>
    <row r="304" spans="1:5" x14ac:dyDescent="0.55000000000000004">
      <c r="A304" s="25">
        <v>101.5</v>
      </c>
      <c r="B304" s="4">
        <f t="shared" si="22"/>
        <v>2.6534418544596234</v>
      </c>
      <c r="C304" s="4">
        <f t="shared" si="23"/>
        <v>3.9111433923869097</v>
      </c>
      <c r="D304" s="4">
        <f t="shared" si="20"/>
        <v>185.54512699955495</v>
      </c>
      <c r="E304" s="4">
        <f t="shared" si="21"/>
        <v>184.9901489587487</v>
      </c>
    </row>
    <row r="305" spans="1:5" x14ac:dyDescent="0.55000000000000004">
      <c r="A305" s="25">
        <v>101.75</v>
      </c>
      <c r="B305" s="4">
        <f t="shared" si="22"/>
        <v>2.6520711582628849</v>
      </c>
      <c r="C305" s="4">
        <f t="shared" si="23"/>
        <v>3.9044617032984141</v>
      </c>
      <c r="D305" s="4">
        <f t="shared" si="20"/>
        <v>185.53853261546567</v>
      </c>
      <c r="E305" s="4">
        <f t="shared" si="21"/>
        <v>184.98450268377931</v>
      </c>
    </row>
    <row r="306" spans="1:5" x14ac:dyDescent="0.55000000000000004">
      <c r="A306" s="25">
        <v>102</v>
      </c>
      <c r="B306" s="4">
        <f t="shared" si="22"/>
        <v>2.6507037576204118</v>
      </c>
      <c r="C306" s="4">
        <f t="shared" si="23"/>
        <v>3.8978089213907654</v>
      </c>
      <c r="D306" s="4">
        <f t="shared" si="20"/>
        <v>185.53187915868861</v>
      </c>
      <c r="E306" s="4">
        <f t="shared" si="21"/>
        <v>184.97879323429083</v>
      </c>
    </row>
    <row r="307" spans="1:5" x14ac:dyDescent="0.55000000000000004">
      <c r="A307" s="25">
        <v>102.25</v>
      </c>
      <c r="B307" s="4">
        <f t="shared" si="22"/>
        <v>2.6493396361630088</v>
      </c>
      <c r="C307" s="4">
        <f t="shared" si="23"/>
        <v>3.8911848512808684</v>
      </c>
      <c r="D307" s="4">
        <f t="shared" si="20"/>
        <v>185.52516719253339</v>
      </c>
      <c r="E307" s="4">
        <f t="shared" si="21"/>
        <v>184.97302120131707</v>
      </c>
    </row>
    <row r="308" spans="1:5" x14ac:dyDescent="0.55000000000000004">
      <c r="A308" s="25">
        <v>102.5</v>
      </c>
      <c r="B308" s="4">
        <f t="shared" si="22"/>
        <v>2.6479787776428321</v>
      </c>
      <c r="C308" s="4">
        <f t="shared" si="23"/>
        <v>3.8845892993814601</v>
      </c>
      <c r="D308" s="4">
        <f t="shared" si="20"/>
        <v>185.51839727443488</v>
      </c>
      <c r="E308" s="4">
        <f t="shared" si="21"/>
        <v>184.96718716976213</v>
      </c>
    </row>
    <row r="309" spans="1:5" x14ac:dyDescent="0.55000000000000004">
      <c r="A309" s="25">
        <v>102.75</v>
      </c>
      <c r="B309" s="4">
        <f t="shared" si="22"/>
        <v>2.6466211659321921</v>
      </c>
      <c r="C309" s="4">
        <f t="shared" si="23"/>
        <v>3.8780220738802833</v>
      </c>
      <c r="D309" s="4">
        <f t="shared" si="20"/>
        <v>185.5115699560256</v>
      </c>
      <c r="E309" s="4">
        <f t="shared" si="21"/>
        <v>184.96129171847625</v>
      </c>
    </row>
    <row r="310" spans="1:5" x14ac:dyDescent="0.55000000000000004">
      <c r="A310" s="25">
        <v>103</v>
      </c>
      <c r="B310" s="4">
        <f t="shared" si="22"/>
        <v>2.6452667850223777</v>
      </c>
      <c r="C310" s="4">
        <f t="shared" si="23"/>
        <v>3.871482984719524</v>
      </c>
      <c r="D310" s="4">
        <f t="shared" si="20"/>
        <v>185.50468578320817</v>
      </c>
      <c r="E310" s="4">
        <f t="shared" si="21"/>
        <v>184.95533542033053</v>
      </c>
    </row>
    <row r="311" spans="1:5" x14ac:dyDescent="0.55000000000000004">
      <c r="A311" s="25">
        <v>103.25</v>
      </c>
      <c r="B311" s="4">
        <f t="shared" si="22"/>
        <v>2.6439156190224882</v>
      </c>
      <c r="C311" s="4">
        <f t="shared" si="23"/>
        <v>3.8649718435755553</v>
      </c>
      <c r="D311" s="4">
        <f t="shared" si="20"/>
        <v>185.4977452962257</v>
      </c>
      <c r="E311" s="4">
        <f t="shared" si="21"/>
        <v>184.9493188422905</v>
      </c>
    </row>
    <row r="312" spans="1:5" x14ac:dyDescent="0.55000000000000004">
      <c r="A312" s="25">
        <v>103.5</v>
      </c>
      <c r="B312" s="4">
        <f t="shared" si="22"/>
        <v>2.6425676521582804</v>
      </c>
      <c r="C312" s="4">
        <f t="shared" si="23"/>
        <v>3.8584884638389245</v>
      </c>
      <c r="D312" s="4">
        <f t="shared" si="20"/>
        <v>185.49074902973166</v>
      </c>
      <c r="E312" s="4">
        <f t="shared" si="21"/>
        <v>184.94324254548897</v>
      </c>
    </row>
    <row r="313" spans="1:5" x14ac:dyDescent="0.55000000000000004">
      <c r="A313" s="25">
        <v>103.75</v>
      </c>
      <c r="B313" s="4">
        <f t="shared" si="22"/>
        <v>2.6412228687710377</v>
      </c>
      <c r="C313" s="4">
        <f t="shared" si="23"/>
        <v>3.8520326605946833</v>
      </c>
      <c r="D313" s="4">
        <f t="shared" si="20"/>
        <v>185.48369751285878</v>
      </c>
      <c r="E313" s="4">
        <f t="shared" si="21"/>
        <v>184.93710708529744</v>
      </c>
    </row>
    <row r="314" spans="1:5" x14ac:dyDescent="0.55000000000000004">
      <c r="A314" s="25">
        <v>104</v>
      </c>
      <c r="B314" s="4">
        <f t="shared" si="22"/>
        <v>2.6398812533164375</v>
      </c>
      <c r="C314" s="4">
        <f t="shared" si="23"/>
        <v>3.8456042506029142</v>
      </c>
      <c r="D314" s="4">
        <f t="shared" si="20"/>
        <v>185.47659126928659</v>
      </c>
      <c r="E314" s="4">
        <f t="shared" si="21"/>
        <v>184.93091301139657</v>
      </c>
    </row>
    <row r="315" spans="1:5" x14ac:dyDescent="0.55000000000000004">
      <c r="A315" s="25">
        <v>104.25</v>
      </c>
      <c r="B315" s="4">
        <f t="shared" si="22"/>
        <v>2.6385427903634513</v>
      </c>
      <c r="C315" s="4">
        <f t="shared" si="23"/>
        <v>3.8392030522796143</v>
      </c>
      <c r="D315" s="4">
        <f t="shared" si="20"/>
        <v>185.46943081730853</v>
      </c>
      <c r="E315" s="4">
        <f t="shared" si="21"/>
        <v>184.92466086784597</v>
      </c>
    </row>
    <row r="316" spans="1:5" x14ac:dyDescent="0.55000000000000004">
      <c r="A316" s="25">
        <v>104.5</v>
      </c>
      <c r="B316" s="4">
        <f t="shared" si="22"/>
        <v>2.6372074645932391</v>
      </c>
      <c r="C316" s="4">
        <f t="shared" si="23"/>
        <v>3.8328288856777326</v>
      </c>
      <c r="D316" s="4">
        <f t="shared" si="20"/>
        <v>185.46221666989743</v>
      </c>
      <c r="E316" s="4">
        <f t="shared" si="21"/>
        <v>184.91835119315232</v>
      </c>
    </row>
    <row r="317" spans="1:5" x14ac:dyDescent="0.55000000000000004">
      <c r="A317" s="25">
        <v>104.75</v>
      </c>
      <c r="B317" s="4">
        <f t="shared" si="22"/>
        <v>2.6358752607980716</v>
      </c>
      <c r="C317" s="4">
        <f t="shared" si="23"/>
        <v>3.8264815724686003</v>
      </c>
      <c r="D317" s="4">
        <f t="shared" si="20"/>
        <v>185.45494933477048</v>
      </c>
      <c r="E317" s="4">
        <f t="shared" si="21"/>
        <v>184.91198452033706</v>
      </c>
    </row>
    <row r="318" spans="1:5" x14ac:dyDescent="0.55000000000000004">
      <c r="A318" s="25">
        <v>105</v>
      </c>
      <c r="B318" s="4">
        <f t="shared" si="22"/>
        <v>2.6345461638802594</v>
      </c>
      <c r="C318" s="4">
        <f t="shared" si="23"/>
        <v>3.8201609359234765</v>
      </c>
      <c r="D318" s="4">
        <f t="shared" si="20"/>
        <v>185.44762931445345</v>
      </c>
      <c r="E318" s="4">
        <f t="shared" si="21"/>
        <v>184.90556137700321</v>
      </c>
    </row>
  </sheetData>
  <pageMargins left="0.7" right="0.7" top="0.75" bottom="0.75" header="0.3" footer="0.3"/>
  <pageSetup orientation="portrait" horizontalDpi="300" verticalDpi="30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S318"/>
  <sheetViews>
    <sheetView zoomScaleNormal="100" workbookViewId="0">
      <selection activeCell="E5" sqref="E5"/>
    </sheetView>
  </sheetViews>
  <sheetFormatPr defaultRowHeight="14.4" x14ac:dyDescent="0.55000000000000004"/>
  <cols>
    <col min="1" max="1" width="11.68359375" bestFit="1" customWidth="1"/>
    <col min="2" max="3" width="9" bestFit="1" customWidth="1"/>
    <col min="4" max="5" width="9.578125" bestFit="1" customWidth="1"/>
    <col min="8" max="8" width="10.26171875" customWidth="1"/>
    <col min="9" max="9" width="9.578125" bestFit="1" customWidth="1"/>
    <col min="11" max="11" width="22.68359375" customWidth="1"/>
    <col min="12" max="12" width="11" bestFit="1" customWidth="1"/>
    <col min="14" max="14" width="9.15625" customWidth="1"/>
  </cols>
  <sheetData>
    <row r="1" spans="1:16" x14ac:dyDescent="0.55000000000000004">
      <c r="A1" s="25" t="s">
        <v>0</v>
      </c>
      <c r="B1" s="12">
        <f>CONVERT(50000, "ft", "m")</f>
        <v>15240</v>
      </c>
      <c r="C1" s="25" t="str">
        <f>"---&gt;"</f>
        <v>---&gt;</v>
      </c>
      <c r="D1" s="1" t="s">
        <v>1</v>
      </c>
      <c r="E1" s="4">
        <f>SQRT(2*9.81*(B1-500))+E2</f>
        <v>762.77207067678773</v>
      </c>
      <c r="F1" s="10"/>
      <c r="G1" s="25"/>
      <c r="H1" s="25"/>
      <c r="I1" s="25"/>
      <c r="J1" s="25"/>
      <c r="K1" s="25"/>
      <c r="L1" s="25"/>
      <c r="M1" s="25"/>
      <c r="N1" s="25"/>
      <c r="O1" s="25"/>
      <c r="P1" s="25"/>
    </row>
    <row r="2" spans="1:16" ht="16.8" x14ac:dyDescent="0.75">
      <c r="A2" s="25" t="s">
        <v>2</v>
      </c>
      <c r="B2" s="12">
        <v>4</v>
      </c>
      <c r="C2" s="25"/>
      <c r="D2" s="25" t="s">
        <v>81</v>
      </c>
      <c r="E2" s="12">
        <v>225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</row>
    <row r="3" spans="1:16" ht="16.8" x14ac:dyDescent="0.75">
      <c r="A3" s="25" t="s">
        <v>3</v>
      </c>
      <c r="B3" s="13">
        <f>CONVERT(350,"psi","Pa")/1000</f>
        <v>2413.165052608927</v>
      </c>
      <c r="C3" s="25"/>
      <c r="D3" s="25" t="s">
        <v>4</v>
      </c>
      <c r="E3" s="25">
        <v>1311</v>
      </c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</row>
    <row r="4" spans="1:16" ht="16.8" x14ac:dyDescent="0.75">
      <c r="A4" s="1" t="s">
        <v>5</v>
      </c>
      <c r="B4" s="12">
        <v>10</v>
      </c>
      <c r="C4" s="25"/>
      <c r="D4" s="25" t="s">
        <v>6</v>
      </c>
      <c r="E4" s="4">
        <f>101.325*(1 - 0.0065*E3/288.16)^(-9.81/-0.0065/287)</f>
        <v>86.528880457303998</v>
      </c>
      <c r="F4" s="2" t="s">
        <v>7</v>
      </c>
      <c r="G4" s="25"/>
      <c r="H4" s="25"/>
      <c r="I4" s="25"/>
      <c r="J4" s="25"/>
      <c r="K4" s="25"/>
      <c r="L4" s="25"/>
      <c r="M4" s="25"/>
      <c r="N4" s="25"/>
      <c r="O4" s="25"/>
      <c r="P4" s="25"/>
    </row>
    <row r="5" spans="1:16" ht="16.8" x14ac:dyDescent="0.75">
      <c r="A5" s="1" t="s">
        <v>8</v>
      </c>
      <c r="B5" s="25">
        <v>0.9</v>
      </c>
      <c r="C5" s="25"/>
      <c r="D5" s="1" t="s">
        <v>9</v>
      </c>
      <c r="E5" s="4">
        <f>101.325*(1 - 0.0065*2/3*B1/288.16)^(-9.81/-0.0065/287)</f>
        <v>25.777916027744954</v>
      </c>
      <c r="F5" s="2" t="s">
        <v>10</v>
      </c>
      <c r="G5" s="25"/>
      <c r="H5" s="25"/>
      <c r="I5" s="25"/>
      <c r="J5" s="25"/>
      <c r="K5" s="25"/>
      <c r="L5" s="25"/>
      <c r="M5" s="25"/>
      <c r="N5" s="25"/>
      <c r="O5" s="25"/>
      <c r="P5" s="25"/>
    </row>
    <row r="6" spans="1:16" x14ac:dyDescent="0.55000000000000004">
      <c r="A6" s="1" t="s">
        <v>11</v>
      </c>
      <c r="B6" s="25">
        <v>0.9</v>
      </c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</row>
    <row r="7" spans="1:16" ht="16.8" x14ac:dyDescent="0.75">
      <c r="A7" s="1" t="s">
        <v>12</v>
      </c>
      <c r="B7" s="25">
        <f>19/30</f>
        <v>0.6333333333333333</v>
      </c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</row>
    <row r="9" spans="1:16" x14ac:dyDescent="0.55000000000000004">
      <c r="A9" s="1" t="s">
        <v>13</v>
      </c>
      <c r="B9" s="25">
        <v>1.2585999999999999</v>
      </c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</row>
    <row r="10" spans="1:16" x14ac:dyDescent="0.55000000000000004">
      <c r="A10" s="1" t="s">
        <v>15</v>
      </c>
      <c r="B10" s="25">
        <v>22.117999999999999</v>
      </c>
      <c r="C10" s="25" t="str">
        <f>"---&gt;"</f>
        <v>---&gt;</v>
      </c>
      <c r="D10" s="25" t="s">
        <v>16</v>
      </c>
      <c r="E10" s="25">
        <f>8314/B10</f>
        <v>375.89293787865091</v>
      </c>
      <c r="F10" s="25"/>
      <c r="G10" s="25"/>
      <c r="H10" s="4">
        <f>E244</f>
        <v>178.92828976583829</v>
      </c>
      <c r="I10" s="25"/>
      <c r="J10" s="25"/>
      <c r="K10" s="25"/>
      <c r="L10" s="25"/>
      <c r="M10" s="25"/>
      <c r="N10" s="6"/>
      <c r="O10" s="25"/>
      <c r="P10" s="25"/>
    </row>
    <row r="11" spans="1:16" ht="16.8" x14ac:dyDescent="0.75">
      <c r="A11" s="1" t="s">
        <v>17</v>
      </c>
      <c r="B11" s="25">
        <v>2591.1</v>
      </c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</row>
    <row r="12" spans="1:16" x14ac:dyDescent="0.55000000000000004">
      <c r="A12" s="1" t="s">
        <v>18</v>
      </c>
      <c r="B12" s="4">
        <f>B5*SQRT(B9*E10*B11)/B9/(2/(B9 + 1))^((B9 + 1)/(2*B9 - 2))</f>
        <v>1346.4489314165457</v>
      </c>
      <c r="C12" s="25"/>
      <c r="D12" s="25"/>
      <c r="E12" s="25"/>
      <c r="F12" s="25"/>
      <c r="G12" s="25"/>
      <c r="H12" s="25" t="s">
        <v>19</v>
      </c>
      <c r="I12" s="25"/>
      <c r="J12" s="25" t="s">
        <v>20</v>
      </c>
      <c r="K12" s="25"/>
      <c r="L12" s="25"/>
      <c r="M12" s="25" t="s">
        <v>21</v>
      </c>
      <c r="N12" s="25"/>
      <c r="O12" s="25"/>
      <c r="P12" s="10" t="s">
        <v>63</v>
      </c>
    </row>
    <row r="13" spans="1:16" ht="16.8" x14ac:dyDescent="0.75">
      <c r="A13" s="25"/>
      <c r="B13" s="25"/>
      <c r="C13" s="25"/>
      <c r="D13" s="9" t="s">
        <v>22</v>
      </c>
      <c r="E13" s="3" t="s">
        <v>23</v>
      </c>
      <c r="F13" s="25"/>
      <c r="G13" s="25"/>
      <c r="H13" s="1" t="s">
        <v>24</v>
      </c>
      <c r="I13" s="25">
        <f>0.2*B3</f>
        <v>482.63301052178542</v>
      </c>
      <c r="J13" s="25">
        <f>CONVERT(I13*1000, "Pa", "psi")</f>
        <v>70.000000000000014</v>
      </c>
      <c r="K13" s="25"/>
      <c r="L13" s="25"/>
      <c r="M13" s="1" t="s">
        <v>28</v>
      </c>
      <c r="N13" s="4">
        <f>C244</f>
        <v>4.2293874137003593</v>
      </c>
      <c r="O13" s="25" t="s">
        <v>64</v>
      </c>
      <c r="P13" s="25"/>
    </row>
    <row r="14" spans="1:16" ht="17.7" x14ac:dyDescent="0.75">
      <c r="A14" s="25" t="s">
        <v>26</v>
      </c>
      <c r="B14" s="25" t="s">
        <v>27</v>
      </c>
      <c r="C14" s="1" t="s">
        <v>28</v>
      </c>
      <c r="D14" s="1" t="s">
        <v>29</v>
      </c>
      <c r="E14" s="1" t="s">
        <v>29</v>
      </c>
      <c r="F14" s="25"/>
      <c r="G14" s="25"/>
      <c r="H14" s="1" t="s">
        <v>30</v>
      </c>
      <c r="I14" s="25">
        <v>0</v>
      </c>
      <c r="J14" s="2" t="s">
        <v>31</v>
      </c>
      <c r="K14" s="25"/>
      <c r="L14" s="25"/>
      <c r="M14" s="25" t="s">
        <v>25</v>
      </c>
      <c r="N14" s="25">
        <f>I26*B12/(B3*1000)</f>
        <v>1.3105891017235515E-3</v>
      </c>
      <c r="O14" s="17">
        <f>SQRT(N14/PI())*2</f>
        <v>4.0849649584951894E-2</v>
      </c>
      <c r="P14" s="10" t="s">
        <v>65</v>
      </c>
    </row>
    <row r="15" spans="1:16" ht="17.7" x14ac:dyDescent="0.75">
      <c r="A15" s="25">
        <v>29.5</v>
      </c>
      <c r="B15" s="4">
        <f>SQRT(2/($B$9-1)*((A15/$B$3)^((1-$B$9)/$B$9) - 1))</f>
        <v>3.3738163527830762</v>
      </c>
      <c r="C15" s="4">
        <f>1/B15*(2/($B$9+1)*(1 + ($B$9-1)/2*B15^2))^(($B$9+1)/(2*$B$9-2))</f>
        <v>9.0682198458190868</v>
      </c>
      <c r="D15" s="4">
        <f t="shared" ref="D15:D78" si="0">$B$6*$B$12/9.81*($B$9*SQRT(2/($B$9-1)*(2/($B$9+1))^(($B$9+1)/($B$9-1))*(1 - (A15/$B$3)^(($B$9-1)/$B$9))) + C15/$B$3*(A15 - $E$5))</f>
        <v>197.90608971551285</v>
      </c>
      <c r="E15" s="4">
        <f>$B$6*$B$12/9.81*($B$9*SQRT(2/($B$9-1)*(2/($B$9+1))^(($B$9+1)/($B$9-1))*(1 - (A15/$B$3)^(($B$9-1)/$B$9))) + C15/$B$3*(A15 - $E$4))</f>
        <v>169.70592934982247</v>
      </c>
      <c r="F15" s="25"/>
      <c r="G15" s="25"/>
      <c r="H15" s="1" t="s">
        <v>33</v>
      </c>
      <c r="I15" s="25">
        <f>0.5*B3/E10/B11*1^2</f>
        <v>1.2388213767809849E-3</v>
      </c>
      <c r="J15" s="2" t="s">
        <v>34</v>
      </c>
      <c r="K15" s="25"/>
      <c r="L15" s="25"/>
      <c r="M15" s="25" t="s">
        <v>32</v>
      </c>
      <c r="N15" s="25">
        <f>N14*N13</f>
        <v>5.5429890513624489E-3</v>
      </c>
      <c r="O15" s="17">
        <f>SQRT(N15/PI())*2</f>
        <v>8.4009242683342381E-2</v>
      </c>
      <c r="P15" s="10" t="s">
        <v>66</v>
      </c>
    </row>
    <row r="16" spans="1:16" ht="16.8" x14ac:dyDescent="0.75">
      <c r="A16" s="25">
        <v>29.75</v>
      </c>
      <c r="B16" s="4">
        <f t="shared" ref="B16:B79" si="1">SQRT(2/($B$9-1)*((A16/$B$3)^((1-$B$9)/$B$9) - 1))</f>
        <v>3.3689047440232009</v>
      </c>
      <c r="C16" s="4">
        <f t="shared" ref="C16:C79" si="2">1/B16*(2/($B$9+1)*(1 + ($B$9-1)/2*B16^2))^(($B$9+1)/(2*$B$9-2))</f>
        <v>9.0129363951993753</v>
      </c>
      <c r="D16" s="4">
        <f t="shared" si="0"/>
        <v>197.89520371681331</v>
      </c>
      <c r="E16" s="4">
        <f t="shared" ref="E16:E79" si="3">$B$6*$B$12/9.81*($B$9*SQRT(2/($B$9-1)*(2/($B$9+1))^(($B$9+1)/($B$9-1))*(1 - (A16/$B$3)^(($B$9-1)/$B$9))) + C16/$B$3*(A16 - $E$4))</f>
        <v>169.86696266930792</v>
      </c>
      <c r="F16" s="25"/>
      <c r="G16" s="25"/>
      <c r="H16" s="1" t="s">
        <v>36</v>
      </c>
      <c r="I16" s="15">
        <f>B3+I13+I14+I15</f>
        <v>2895.7993019520891</v>
      </c>
      <c r="J16" s="4">
        <f>CONVERT(I16*1000, "Pa", "psi")</f>
        <v>420.00017967585001</v>
      </c>
      <c r="K16" s="25"/>
      <c r="L16" s="25"/>
      <c r="M16" s="25"/>
      <c r="N16" s="25"/>
      <c r="O16" s="25"/>
      <c r="P16" s="25"/>
    </row>
    <row r="17" spans="1:19" x14ac:dyDescent="0.55000000000000004">
      <c r="A17" s="25">
        <v>30</v>
      </c>
      <c r="B17" s="4">
        <f t="shared" si="1"/>
        <v>3.3640355764241252</v>
      </c>
      <c r="C17" s="4">
        <f t="shared" si="2"/>
        <v>8.9584636260983128</v>
      </c>
      <c r="D17" s="4">
        <f t="shared" si="0"/>
        <v>197.88378024295594</v>
      </c>
      <c r="E17" s="4">
        <f t="shared" si="3"/>
        <v>170.02493747320858</v>
      </c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1:19" x14ac:dyDescent="0.55000000000000004">
      <c r="A18" s="25">
        <v>30.25</v>
      </c>
      <c r="B18" s="4">
        <f t="shared" si="1"/>
        <v>3.3592081259673567</v>
      </c>
      <c r="C18" s="4">
        <f t="shared" si="2"/>
        <v>8.904783016662444</v>
      </c>
      <c r="D18" s="4">
        <f t="shared" si="0"/>
        <v>197.87183592200392</v>
      </c>
      <c r="E18" s="4">
        <f t="shared" si="3"/>
        <v>170.17992798846012</v>
      </c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</row>
    <row r="19" spans="1:19" x14ac:dyDescent="0.55000000000000004">
      <c r="A19" s="25">
        <v>30.5</v>
      </c>
      <c r="B19" s="4">
        <f t="shared" si="1"/>
        <v>3.3544216868767442</v>
      </c>
      <c r="C19" s="4">
        <f t="shared" si="2"/>
        <v>8.8518766171078997</v>
      </c>
      <c r="D19" s="4">
        <f t="shared" si="0"/>
        <v>197.85938680552991</v>
      </c>
      <c r="E19" s="4">
        <f t="shared" si="3"/>
        <v>170.33200608649747</v>
      </c>
      <c r="F19" s="25"/>
      <c r="G19" s="25"/>
      <c r="H19" s="25" t="s">
        <v>37</v>
      </c>
      <c r="I19" s="25"/>
      <c r="J19" s="25"/>
      <c r="K19" s="25" t="s">
        <v>38</v>
      </c>
      <c r="L19" s="25"/>
      <c r="M19" s="25"/>
      <c r="N19" s="25"/>
      <c r="O19" s="25"/>
      <c r="P19" s="25"/>
      <c r="Q19" s="25"/>
      <c r="R19" s="25"/>
      <c r="S19" s="25"/>
    </row>
    <row r="20" spans="1:19" ht="17.7" x14ac:dyDescent="0.75">
      <c r="A20" s="25">
        <v>30.75</v>
      </c>
      <c r="B20" s="4">
        <f t="shared" si="1"/>
        <v>3.3496755710132011</v>
      </c>
      <c r="C20" s="4">
        <f t="shared" si="2"/>
        <v>8.7997270275313451</v>
      </c>
      <c r="D20" s="4">
        <f t="shared" si="0"/>
        <v>197.84644839239499</v>
      </c>
      <c r="E20" s="4">
        <f t="shared" si="3"/>
        <v>170.48124137603719</v>
      </c>
      <c r="F20" s="25"/>
      <c r="G20" s="25"/>
      <c r="H20" s="25" t="s">
        <v>39</v>
      </c>
      <c r="I20" s="13">
        <f>CONVERT(60, "lbm", "kg")</f>
        <v>27.215542200000002</v>
      </c>
      <c r="J20" s="25"/>
      <c r="K20" s="25" t="s">
        <v>40</v>
      </c>
      <c r="L20" s="12">
        <v>1978.5966242545248</v>
      </c>
      <c r="M20" s="10" t="s">
        <v>41</v>
      </c>
      <c r="N20" s="25"/>
      <c r="O20" s="25"/>
      <c r="P20" s="25"/>
      <c r="Q20" s="25"/>
      <c r="R20" s="25"/>
      <c r="S20" s="25"/>
    </row>
    <row r="21" spans="1:19" ht="17.7" x14ac:dyDescent="0.75">
      <c r="A21" s="25">
        <v>31</v>
      </c>
      <c r="B21" s="4">
        <f t="shared" si="1"/>
        <v>3.3449691072942636</v>
      </c>
      <c r="C21" s="4">
        <f t="shared" si="2"/>
        <v>8.7483173767541018</v>
      </c>
      <c r="D21" s="4">
        <f t="shared" si="0"/>
        <v>197.83303565137794</v>
      </c>
      <c r="E21" s="4">
        <f t="shared" si="3"/>
        <v>170.62770129149641</v>
      </c>
      <c r="F21" s="25"/>
      <c r="G21" s="25"/>
      <c r="H21" s="25" t="s">
        <v>42</v>
      </c>
      <c r="I21" s="4">
        <f>I20*EXP(E1/H10/9.81)</f>
        <v>42.028385234476232</v>
      </c>
      <c r="J21" s="25"/>
      <c r="K21" s="25" t="s">
        <v>43</v>
      </c>
      <c r="L21" s="20">
        <f>I28/1/L20</f>
        <v>9.4972182133622196E-4</v>
      </c>
      <c r="M21" s="4">
        <f>L21*100^2</f>
        <v>9.4972182133622187</v>
      </c>
      <c r="N21" s="25" t="s">
        <v>44</v>
      </c>
      <c r="O21" s="25" t="s">
        <v>67</v>
      </c>
      <c r="P21" s="25"/>
      <c r="Q21" s="25"/>
      <c r="R21" s="25"/>
      <c r="S21" s="25"/>
    </row>
    <row r="22" spans="1:19" ht="16.8" x14ac:dyDescent="0.75">
      <c r="A22" s="25">
        <v>31.25</v>
      </c>
      <c r="B22" s="4">
        <f t="shared" si="1"/>
        <v>3.3403016411372644</v>
      </c>
      <c r="C22" s="4">
        <f t="shared" si="2"/>
        <v>8.6976313021432432</v>
      </c>
      <c r="D22" s="4">
        <f t="shared" si="0"/>
        <v>197.81916304271758</v>
      </c>
      <c r="E22" s="4">
        <f t="shared" si="3"/>
        <v>170.7714511772877</v>
      </c>
      <c r="F22" s="25"/>
      <c r="G22" s="25"/>
      <c r="H22" s="25" t="s">
        <v>45</v>
      </c>
      <c r="I22" s="7">
        <f>I21-I20</f>
        <v>14.812843034476231</v>
      </c>
      <c r="J22" s="25"/>
      <c r="K22" s="25" t="s">
        <v>46</v>
      </c>
      <c r="L22" s="16">
        <f>2*SQRT(L21/PI())</f>
        <v>3.4773889334142376E-2</v>
      </c>
      <c r="M22" s="4">
        <f>L22*100</f>
        <v>3.4773889334142374</v>
      </c>
      <c r="N22" s="25" t="s">
        <v>47</v>
      </c>
      <c r="O22" s="8">
        <f>CONVERT(L22, "m", "in")</f>
        <v>1.3690507611867078</v>
      </c>
      <c r="P22" s="4"/>
      <c r="Q22" s="25"/>
      <c r="R22" s="25"/>
      <c r="S22" s="25"/>
    </row>
    <row r="23" spans="1:19" ht="16.8" x14ac:dyDescent="0.75">
      <c r="A23" s="25">
        <v>31.5</v>
      </c>
      <c r="B23" s="4">
        <f t="shared" si="1"/>
        <v>3.3356725339249911</v>
      </c>
      <c r="C23" s="4">
        <f t="shared" si="2"/>
        <v>8.6476529303572143</v>
      </c>
      <c r="D23" s="4">
        <f t="shared" si="0"/>
        <v>197.8048445386296</v>
      </c>
      <c r="E23" s="4">
        <f t="shared" si="3"/>
        <v>170.91255436821208</v>
      </c>
      <c r="F23" s="25"/>
      <c r="G23" s="25"/>
      <c r="H23" s="25" t="s">
        <v>48</v>
      </c>
      <c r="I23" s="14">
        <f>I22/(1+B2)</f>
        <v>2.9625686068952461</v>
      </c>
      <c r="J23" s="25"/>
      <c r="K23" s="25" t="s">
        <v>49</v>
      </c>
      <c r="L23" s="17">
        <f>(I27*PI()^(0.5-1)/(0.155/1000*(4*I26)^0.5*900)*L22^(2*0.5-1))^(1/(0+1))</f>
        <v>0.61984442979806342</v>
      </c>
      <c r="M23" s="4">
        <f>L23*100</f>
        <v>61.984442979806346</v>
      </c>
      <c r="N23" s="25" t="s">
        <v>47</v>
      </c>
      <c r="O23" s="8">
        <f>CONVERT(L23, "m", "in")</f>
        <v>24.403324007797774</v>
      </c>
      <c r="P23" s="10" t="s">
        <v>68</v>
      </c>
      <c r="Q23" s="25"/>
      <c r="R23" s="25"/>
      <c r="S23" s="25"/>
    </row>
    <row r="24" spans="1:19" ht="16.8" x14ac:dyDescent="0.75">
      <c r="A24" s="25">
        <v>31.75</v>
      </c>
      <c r="B24" s="4">
        <f t="shared" si="1"/>
        <v>3.3310811624927492</v>
      </c>
      <c r="C24" s="4">
        <f t="shared" si="2"/>
        <v>8.5983668589667648</v>
      </c>
      <c r="D24" s="4">
        <f t="shared" si="0"/>
        <v>197.79009364285241</v>
      </c>
      <c r="E24" s="4">
        <f t="shared" si="3"/>
        <v>171.0510722661603</v>
      </c>
      <c r="F24" s="25"/>
      <c r="G24" s="25"/>
      <c r="H24" s="25" t="s">
        <v>51</v>
      </c>
      <c r="I24" s="14">
        <f>I22-I23</f>
        <v>11.850274427580985</v>
      </c>
      <c r="J24" s="25"/>
      <c r="K24" s="25" t="s">
        <v>52</v>
      </c>
      <c r="L24" s="17">
        <f>SQRT(4*I23/PI()/L23/900/1 + L22^2)</f>
        <v>8.927980332809235E-2</v>
      </c>
      <c r="M24" s="4">
        <f t="shared" ref="M24:M25" si="4">L24*100</f>
        <v>8.9279803328092342</v>
      </c>
      <c r="N24" s="25" t="s">
        <v>47</v>
      </c>
      <c r="O24" s="8">
        <f t="shared" ref="O24:O25" si="5">CONVERT(L24, "m", "in")</f>
        <v>3.5149528869327695</v>
      </c>
      <c r="P24" s="25"/>
      <c r="Q24" s="25"/>
      <c r="R24" s="25"/>
      <c r="S24" s="25"/>
    </row>
    <row r="25" spans="1:19" ht="16.8" x14ac:dyDescent="0.75">
      <c r="A25" s="25">
        <v>32</v>
      </c>
      <c r="B25" s="4">
        <f t="shared" si="1"/>
        <v>3.3265269186357904</v>
      </c>
      <c r="C25" s="4">
        <f t="shared" si="2"/>
        <v>8.5497581389045738</v>
      </c>
      <c r="D25" s="4">
        <f t="shared" si="0"/>
        <v>197.77492340927608</v>
      </c>
      <c r="E25" s="4">
        <f t="shared" si="3"/>
        <v>171.18706441331926</v>
      </c>
      <c r="F25" s="25"/>
      <c r="G25" s="25"/>
      <c r="H25" s="25" t="s">
        <v>53</v>
      </c>
      <c r="I25" s="7">
        <f>I20/I21</f>
        <v>0.64755145952347626</v>
      </c>
      <c r="J25" s="25"/>
      <c r="K25" s="25" t="s">
        <v>54</v>
      </c>
      <c r="L25" s="17">
        <f>(L24-L22)/2</f>
        <v>2.7252956996974987E-2</v>
      </c>
      <c r="M25" s="4">
        <f t="shared" si="4"/>
        <v>2.7252956996974986</v>
      </c>
      <c r="N25" s="25" t="s">
        <v>47</v>
      </c>
      <c r="O25" s="4">
        <f t="shared" si="5"/>
        <v>1.072951062873031</v>
      </c>
      <c r="P25" s="25"/>
      <c r="Q25" s="25"/>
      <c r="R25" s="25"/>
      <c r="S25" s="25"/>
    </row>
    <row r="26" spans="1:19" ht="16.8" x14ac:dyDescent="0.75">
      <c r="A26" s="25">
        <v>32.25</v>
      </c>
      <c r="B26" s="4">
        <f t="shared" si="1"/>
        <v>3.322009208636183</v>
      </c>
      <c r="C26" s="4">
        <f t="shared" si="2"/>
        <v>8.5018122577004203</v>
      </c>
      <c r="D26" s="4">
        <f t="shared" si="0"/>
        <v>197.75934645970352</v>
      </c>
      <c r="E26" s="4">
        <f t="shared" si="3"/>
        <v>171.32058856206805</v>
      </c>
      <c r="F26" s="25"/>
      <c r="G26" s="25"/>
      <c r="H26" s="25" t="s">
        <v>55</v>
      </c>
      <c r="I26" s="14">
        <f>B4*I21/H10</f>
        <v>2.3488954870958847</v>
      </c>
      <c r="J26" s="25"/>
      <c r="K26" s="25" t="s">
        <v>69</v>
      </c>
      <c r="L26" s="25"/>
      <c r="M26" s="25">
        <v>0</v>
      </c>
      <c r="N26" s="25"/>
      <c r="O26" s="25"/>
      <c r="P26" s="25"/>
      <c r="Q26" s="25"/>
      <c r="R26" s="25"/>
      <c r="S26" s="25"/>
    </row>
    <row r="27" spans="1:19" ht="16.8" x14ac:dyDescent="0.75">
      <c r="A27" s="25">
        <v>32.5</v>
      </c>
      <c r="B27" s="4">
        <f t="shared" si="1"/>
        <v>3.3175274528081737</v>
      </c>
      <c r="C27" s="4">
        <f t="shared" si="2"/>
        <v>8.4545151234606521</v>
      </c>
      <c r="D27" s="4">
        <f t="shared" si="0"/>
        <v>197.74337500078983</v>
      </c>
      <c r="E27" s="4">
        <f t="shared" si="3"/>
        <v>171.45170074173791</v>
      </c>
      <c r="F27" s="25"/>
      <c r="G27" s="25"/>
      <c r="H27" s="25" t="s">
        <v>57</v>
      </c>
      <c r="I27" s="8">
        <f>I26/(1 + B2)</f>
        <v>0.46977909741917695</v>
      </c>
      <c r="J27" s="25"/>
      <c r="K27" s="25"/>
      <c r="L27" s="10" t="s">
        <v>70</v>
      </c>
      <c r="M27" s="19"/>
      <c r="N27" s="25"/>
      <c r="O27" s="25"/>
      <c r="P27" s="25"/>
      <c r="Q27" s="25"/>
      <c r="R27" s="25"/>
      <c r="S27" s="25"/>
    </row>
    <row r="28" spans="1:19" ht="16.8" x14ac:dyDescent="0.75">
      <c r="A28" s="25">
        <v>32.75</v>
      </c>
      <c r="B28" s="4">
        <f t="shared" si="1"/>
        <v>3.3130810850612122</v>
      </c>
      <c r="C28" s="4">
        <f t="shared" si="2"/>
        <v>8.4078530495536921</v>
      </c>
      <c r="D28" s="4">
        <f t="shared" si="0"/>
        <v>197.7270208402046</v>
      </c>
      <c r="E28" s="4">
        <f t="shared" si="3"/>
        <v>171.58045532239908</v>
      </c>
      <c r="F28" s="25"/>
      <c r="G28" s="25"/>
      <c r="H28" s="25" t="s">
        <v>58</v>
      </c>
      <c r="I28" s="7">
        <f>I26-I27</f>
        <v>1.8791163896767078</v>
      </c>
      <c r="J28" s="25"/>
      <c r="K28" s="25"/>
      <c r="L28" s="25"/>
      <c r="M28" s="25"/>
      <c r="N28" s="25"/>
      <c r="O28" s="25"/>
      <c r="P28" s="25"/>
      <c r="Q28" s="25"/>
      <c r="R28" s="25"/>
      <c r="S28" s="25"/>
    </row>
    <row r="29" spans="1:19" x14ac:dyDescent="0.55000000000000004">
      <c r="A29" s="25">
        <v>33</v>
      </c>
      <c r="B29" s="4">
        <f t="shared" si="1"/>
        <v>3.3086695524798015</v>
      </c>
      <c r="C29" s="4">
        <f t="shared" si="2"/>
        <v>8.3618127399651385</v>
      </c>
      <c r="D29" s="4">
        <f t="shared" si="0"/>
        <v>197.71029540205697</v>
      </c>
      <c r="E29" s="4">
        <f t="shared" si="3"/>
        <v>171.70690507582799</v>
      </c>
      <c r="F29" s="25"/>
      <c r="G29" s="25"/>
      <c r="H29" s="1"/>
      <c r="I29" s="7"/>
      <c r="J29" s="25"/>
      <c r="K29" s="25"/>
      <c r="L29" s="25"/>
      <c r="M29" s="25"/>
      <c r="N29" s="25"/>
      <c r="O29" s="25"/>
      <c r="P29" s="25"/>
      <c r="Q29" s="25"/>
      <c r="R29" s="25"/>
      <c r="S29" s="7"/>
    </row>
    <row r="30" spans="1:19" x14ac:dyDescent="0.55000000000000004">
      <c r="A30" s="25">
        <v>33.25</v>
      </c>
      <c r="B30" s="4">
        <f t="shared" si="1"/>
        <v>3.3042923149194174</v>
      </c>
      <c r="C30" s="4">
        <f t="shared" si="2"/>
        <v>8.3163812752884994</v>
      </c>
      <c r="D30" s="4">
        <f t="shared" si="0"/>
        <v>197.69320974162287</v>
      </c>
      <c r="E30" s="4">
        <f t="shared" si="3"/>
        <v>171.83110123380061</v>
      </c>
      <c r="F30" s="25"/>
      <c r="G30" s="25"/>
      <c r="H30" s="25"/>
      <c r="I30" s="25"/>
      <c r="J30" s="25"/>
      <c r="K30" s="4"/>
      <c r="L30" s="25"/>
      <c r="M30" s="4"/>
      <c r="N30" s="4"/>
      <c r="O30" s="25"/>
      <c r="P30" s="25"/>
      <c r="Q30" s="25"/>
      <c r="R30" s="25"/>
      <c r="S30" s="25"/>
    </row>
    <row r="31" spans="1:19" x14ac:dyDescent="0.55000000000000004">
      <c r="A31" s="25">
        <v>33.5</v>
      </c>
      <c r="B31" s="4">
        <f t="shared" si="1"/>
        <v>3.2999488446177572</v>
      </c>
      <c r="C31" s="4">
        <f t="shared" si="2"/>
        <v>8.2715460993194387</v>
      </c>
      <c r="D31" s="4">
        <f t="shared" si="0"/>
        <v>197.67577455941043</v>
      </c>
      <c r="E31" s="4">
        <f t="shared" si="3"/>
        <v>171.95309354384668</v>
      </c>
      <c r="F31" s="25"/>
      <c r="G31" s="25"/>
      <c r="H31" s="21" t="s">
        <v>71</v>
      </c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</row>
    <row r="32" spans="1:19" x14ac:dyDescent="0.55000000000000004">
      <c r="A32" s="25">
        <v>33.75</v>
      </c>
      <c r="B32" s="4">
        <f t="shared" si="1"/>
        <v>3.2956386258206369</v>
      </c>
      <c r="C32" s="4">
        <f t="shared" si="2"/>
        <v>8.2272950062231249</v>
      </c>
      <c r="D32" s="4">
        <f t="shared" si="0"/>
        <v>197.65800021459796</v>
      </c>
      <c r="E32" s="4">
        <f t="shared" si="3"/>
        <v>172.07293032259432</v>
      </c>
      <c r="F32" s="25"/>
      <c r="G32" s="25"/>
      <c r="H32" s="25" t="s">
        <v>37</v>
      </c>
      <c r="I32" s="25"/>
      <c r="J32" s="25"/>
      <c r="K32" s="25" t="s">
        <v>38</v>
      </c>
      <c r="L32" s="25"/>
      <c r="M32" s="25"/>
      <c r="N32" s="25"/>
      <c r="O32" s="25"/>
      <c r="P32" s="25"/>
      <c r="Q32" s="25"/>
      <c r="R32" s="25"/>
      <c r="S32" s="25"/>
    </row>
    <row r="33" spans="1:15" ht="17.7" x14ac:dyDescent="0.75">
      <c r="A33" s="25">
        <v>34</v>
      </c>
      <c r="B33" s="4">
        <f t="shared" si="1"/>
        <v>3.291361154421871</v>
      </c>
      <c r="C33" s="4">
        <f t="shared" si="2"/>
        <v>8.1836161282462747</v>
      </c>
      <c r="D33" s="4">
        <f t="shared" si="0"/>
        <v>197.6398967378764</v>
      </c>
      <c r="E33" s="4">
        <f t="shared" si="3"/>
        <v>172.19065850682534</v>
      </c>
      <c r="F33" s="25"/>
      <c r="G33" s="25"/>
      <c r="H33" s="25" t="s">
        <v>39</v>
      </c>
      <c r="I33" s="13">
        <f>I20</f>
        <v>27.215542200000002</v>
      </c>
      <c r="J33" s="25"/>
      <c r="K33" s="25" t="s">
        <v>40</v>
      </c>
      <c r="L33" s="12">
        <v>400</v>
      </c>
      <c r="M33" s="10" t="s">
        <v>41</v>
      </c>
      <c r="N33" s="25"/>
      <c r="O33" s="25"/>
    </row>
    <row r="34" spans="1:15" ht="17.7" x14ac:dyDescent="0.75">
      <c r="A34" s="25">
        <v>34.25</v>
      </c>
      <c r="B34" s="4">
        <f t="shared" si="1"/>
        <v>3.2871159376165124</v>
      </c>
      <c r="C34" s="4">
        <f t="shared" si="2"/>
        <v>8.1404979239467963</v>
      </c>
      <c r="D34" s="4">
        <f t="shared" si="0"/>
        <v>197.6214738437267</v>
      </c>
      <c r="E34" s="4">
        <f t="shared" si="3"/>
        <v>172.30632370235583</v>
      </c>
      <c r="F34" s="25"/>
      <c r="G34" s="25"/>
      <c r="H34" s="25" t="s">
        <v>42</v>
      </c>
      <c r="I34" s="4">
        <f>I33+I35</f>
        <v>45.965542200000002</v>
      </c>
      <c r="J34" s="25"/>
      <c r="K34" s="25" t="s">
        <v>43</v>
      </c>
      <c r="L34" s="20">
        <f>I41/1/L33</f>
        <v>5.1378730842567884E-3</v>
      </c>
      <c r="M34" s="4">
        <f>L34*100^2</f>
        <v>51.378730842567883</v>
      </c>
      <c r="N34" s="25" t="s">
        <v>44</v>
      </c>
      <c r="O34" s="25" t="s">
        <v>67</v>
      </c>
    </row>
    <row r="35" spans="1:15" ht="16.8" x14ac:dyDescent="0.75">
      <c r="A35" s="25">
        <v>34.5</v>
      </c>
      <c r="B35" s="4">
        <f t="shared" si="1"/>
        <v>3.2829024935668807</v>
      </c>
      <c r="C35" s="4">
        <f t="shared" si="2"/>
        <v>8.0979291669159164</v>
      </c>
      <c r="D35" s="4">
        <f t="shared" si="0"/>
        <v>197.60274094216072</v>
      </c>
      <c r="E35" s="4">
        <f t="shared" si="3"/>
        <v>172.4199702308488</v>
      </c>
      <c r="F35" s="25"/>
      <c r="G35" s="25"/>
      <c r="H35" s="25" t="s">
        <v>45</v>
      </c>
      <c r="I35" s="7">
        <f>I36+I37</f>
        <v>18.75</v>
      </c>
      <c r="J35" s="25"/>
      <c r="K35" s="25" t="s">
        <v>46</v>
      </c>
      <c r="L35" s="16">
        <f>2*SQRT(L34/PI())</f>
        <v>8.0881043432352931E-2</v>
      </c>
      <c r="M35" s="4">
        <f>L35*100</f>
        <v>8.0881043432352939</v>
      </c>
      <c r="N35" s="25" t="s">
        <v>47</v>
      </c>
      <c r="O35" s="8">
        <f>CONVERT(L35, "m", "in")</f>
        <v>3.1842930485178322</v>
      </c>
    </row>
    <row r="36" spans="1:15" ht="16.8" x14ac:dyDescent="0.75">
      <c r="A36" s="25">
        <v>34.75</v>
      </c>
      <c r="B36" s="4">
        <f t="shared" si="1"/>
        <v>3.2787203510807905</v>
      </c>
      <c r="C36" s="4">
        <f t="shared" si="2"/>
        <v>8.0558989349683667</v>
      </c>
      <c r="D36" s="4">
        <f t="shared" si="0"/>
        <v>197.58370714995232</v>
      </c>
      <c r="E36" s="4">
        <f t="shared" si="3"/>
        <v>172.53164117466139</v>
      </c>
      <c r="F36" s="25"/>
      <c r="G36" s="25"/>
      <c r="H36" s="25" t="s">
        <v>48</v>
      </c>
      <c r="I36" s="14">
        <f>I37/B2</f>
        <v>3.75</v>
      </c>
      <c r="J36" s="25"/>
      <c r="K36" s="25" t="s">
        <v>49</v>
      </c>
      <c r="L36" s="17">
        <f>(I40*PI()^(0.5-1)/(0.155/1000*(4*I39)^0.5*900)*L35^(2*0.5-1))^(1/(0+1))</f>
        <v>0.64822763873065969</v>
      </c>
      <c r="M36" s="4">
        <f>L36*100</f>
        <v>64.822763873065966</v>
      </c>
      <c r="N36" s="25" t="s">
        <v>47</v>
      </c>
      <c r="O36" s="8">
        <f t="shared" ref="O36:O38" si="6">CONVERT(L36, "m", "in")</f>
        <v>25.52077317837243</v>
      </c>
    </row>
    <row r="37" spans="1:15" ht="16.8" x14ac:dyDescent="0.75">
      <c r="A37" s="25">
        <v>35</v>
      </c>
      <c r="B37" s="4">
        <f t="shared" si="1"/>
        <v>3.2745690493014741</v>
      </c>
      <c r="C37" s="4">
        <f t="shared" si="2"/>
        <v>8.0143965997783599</v>
      </c>
      <c r="D37" s="4">
        <f t="shared" si="0"/>
        <v>197.56438130138491</v>
      </c>
      <c r="E37" s="4">
        <f t="shared" si="3"/>
        <v>172.64137841982219</v>
      </c>
      <c r="F37" s="25"/>
      <c r="G37" s="25"/>
      <c r="H37" s="25" t="s">
        <v>51</v>
      </c>
      <c r="I37" s="22">
        <v>15</v>
      </c>
      <c r="J37" s="25"/>
      <c r="K37" s="25" t="s">
        <v>52</v>
      </c>
      <c r="L37" s="17">
        <f>SQRT(4*I36/PI()/L36/900/1 + L35^2)</f>
        <v>0.12135011670934601</v>
      </c>
      <c r="M37" s="4">
        <f t="shared" ref="M37:M38" si="7">L37*100</f>
        <v>12.135011670934601</v>
      </c>
      <c r="N37" s="25" t="s">
        <v>47</v>
      </c>
      <c r="O37" s="8">
        <f t="shared" si="6"/>
        <v>4.777563649974252</v>
      </c>
    </row>
    <row r="38" spans="1:15" ht="16.8" x14ac:dyDescent="0.75">
      <c r="A38" s="25">
        <v>35.25</v>
      </c>
      <c r="B38" s="4">
        <f t="shared" si="1"/>
        <v>3.2704481374086809</v>
      </c>
      <c r="C38" s="4">
        <f t="shared" si="2"/>
        <v>7.9734118169398442</v>
      </c>
      <c r="D38" s="4">
        <f t="shared" si="0"/>
        <v>197.54477195853804</v>
      </c>
      <c r="E38" s="4">
        <f t="shared" si="3"/>
        <v>172.74922269722822</v>
      </c>
      <c r="F38" s="25"/>
      <c r="G38" s="25"/>
      <c r="H38" s="25" t="s">
        <v>53</v>
      </c>
      <c r="I38" s="7">
        <f>I33/I34</f>
        <v>0.59208574287197246</v>
      </c>
      <c r="J38" s="25"/>
      <c r="K38" s="25" t="s">
        <v>54</v>
      </c>
      <c r="L38" s="17">
        <f>(L37-L35)/2</f>
        <v>2.0234536638496538E-2</v>
      </c>
      <c r="M38" s="4">
        <f t="shared" si="7"/>
        <v>2.0234536638496539</v>
      </c>
      <c r="N38" s="25" t="s">
        <v>47</v>
      </c>
      <c r="O38" s="4">
        <f t="shared" si="6"/>
        <v>0.79663530072821021</v>
      </c>
    </row>
    <row r="39" spans="1:15" ht="16.8" x14ac:dyDescent="0.75">
      <c r="A39" s="25">
        <v>35.5</v>
      </c>
      <c r="B39" s="4">
        <f t="shared" si="1"/>
        <v>3.2663571743304733</v>
      </c>
      <c r="C39" s="4">
        <f t="shared" si="2"/>
        <v>7.9329345164305733</v>
      </c>
      <c r="D39" s="4">
        <f t="shared" si="0"/>
        <v>197.52488742113653</v>
      </c>
      <c r="E39" s="4">
        <f t="shared" si="3"/>
        <v>172.85521362214891</v>
      </c>
      <c r="F39" s="25"/>
      <c r="G39" s="25"/>
      <c r="H39" s="25" t="s">
        <v>55</v>
      </c>
      <c r="I39" s="14">
        <f>B4*I34/H10</f>
        <v>2.5689365421283945</v>
      </c>
      <c r="J39" s="25"/>
      <c r="K39" s="25"/>
      <c r="L39" s="10" t="s">
        <v>70</v>
      </c>
      <c r="M39" s="25"/>
      <c r="N39" s="25"/>
      <c r="O39" s="25"/>
    </row>
    <row r="40" spans="1:15" ht="16.8" x14ac:dyDescent="0.75">
      <c r="A40" s="25">
        <v>35.75</v>
      </c>
      <c r="B40" s="4">
        <f t="shared" si="1"/>
        <v>3.2622957284652796</v>
      </c>
      <c r="C40" s="4">
        <f t="shared" si="2"/>
        <v>7.8929548934612601</v>
      </c>
      <c r="D40" s="4">
        <f t="shared" si="0"/>
        <v>197.50473573598458</v>
      </c>
      <c r="E40" s="4">
        <f t="shared" si="3"/>
        <v>172.95938973211699</v>
      </c>
      <c r="F40" s="25"/>
      <c r="G40" s="25"/>
      <c r="H40" s="25" t="s">
        <v>57</v>
      </c>
      <c r="I40" s="8">
        <f>I39/(1 + B2)</f>
        <v>0.51378730842567888</v>
      </c>
      <c r="J40" s="25"/>
      <c r="K40" s="25"/>
      <c r="L40" s="25"/>
      <c r="M40" s="19"/>
      <c r="N40" s="25"/>
      <c r="O40" s="25"/>
    </row>
    <row r="41" spans="1:15" ht="16.8" x14ac:dyDescent="0.75">
      <c r="A41" s="25">
        <v>36</v>
      </c>
      <c r="B41" s="4">
        <f t="shared" si="1"/>
        <v>3.2582633774137344</v>
      </c>
      <c r="C41" s="4">
        <f t="shared" si="2"/>
        <v>7.8534633996912433</v>
      </c>
      <c r="D41" s="4">
        <f t="shared" si="0"/>
        <v>197.48432470600173</v>
      </c>
      <c r="E41" s="4">
        <f t="shared" si="3"/>
        <v>173.06178852328208</v>
      </c>
      <c r="F41" s="25"/>
      <c r="G41" s="25"/>
      <c r="H41" s="25" t="s">
        <v>58</v>
      </c>
      <c r="I41" s="7">
        <f>I39-I40</f>
        <v>2.0551492337027155</v>
      </c>
      <c r="J41" s="25"/>
      <c r="K41" s="25"/>
      <c r="L41" s="25"/>
      <c r="M41" s="25"/>
      <c r="N41" s="25"/>
      <c r="O41" s="25"/>
    </row>
    <row r="42" spans="1:15" x14ac:dyDescent="0.55000000000000004">
      <c r="A42" s="25">
        <v>36.25</v>
      </c>
      <c r="B42" s="4">
        <f t="shared" si="1"/>
        <v>3.2542597077199487</v>
      </c>
      <c r="C42" s="4">
        <f t="shared" si="2"/>
        <v>7.8144507347940566</v>
      </c>
      <c r="D42" s="4">
        <f t="shared" si="0"/>
        <v>197.46366189888406</v>
      </c>
      <c r="E42" s="4">
        <f t="shared" si="3"/>
        <v>173.1624464853009</v>
      </c>
      <c r="F42" s="25"/>
      <c r="G42" s="25"/>
      <c r="H42" s="25"/>
      <c r="I42" s="25"/>
      <c r="J42" s="25"/>
      <c r="K42" s="25"/>
      <c r="L42" s="25"/>
      <c r="M42" s="25"/>
      <c r="N42" s="25"/>
      <c r="O42" s="25"/>
    </row>
    <row r="43" spans="1:15" x14ac:dyDescent="0.55000000000000004">
      <c r="A43" s="25">
        <v>36.5</v>
      </c>
      <c r="B43" s="4">
        <f t="shared" si="1"/>
        <v>3.2502843146217644</v>
      </c>
      <c r="C43" s="4">
        <f t="shared" si="2"/>
        <v>7.77590783835615</v>
      </c>
      <c r="D43" s="4">
        <f t="shared" si="0"/>
        <v>197.44275465540528</v>
      </c>
      <c r="E43" s="4">
        <f t="shared" si="3"/>
        <v>173.26139913483172</v>
      </c>
      <c r="F43" s="25"/>
      <c r="G43" s="25"/>
      <c r="H43" s="25"/>
      <c r="I43" s="25"/>
      <c r="J43" s="25"/>
      <c r="K43" s="25"/>
      <c r="L43" s="25"/>
      <c r="M43" s="25"/>
      <c r="N43" s="25"/>
      <c r="O43" s="25"/>
    </row>
    <row r="44" spans="1:15" x14ac:dyDescent="0.55000000000000004">
      <c r="A44" s="25">
        <v>36.75</v>
      </c>
      <c r="B44" s="4">
        <f t="shared" si="1"/>
        <v>3.2463368018096523</v>
      </c>
      <c r="C44" s="4">
        <f t="shared" si="2"/>
        <v>7.737825882093853</v>
      </c>
      <c r="D44" s="4">
        <f t="shared" si="0"/>
        <v>197.42161009737632</v>
      </c>
      <c r="E44" s="4">
        <f t="shared" si="3"/>
        <v>173.35868104769727</v>
      </c>
      <c r="F44" s="25"/>
      <c r="G44" s="25"/>
      <c r="H44" s="25"/>
      <c r="I44" s="25"/>
      <c r="J44" s="25"/>
      <c r="K44" s="25"/>
      <c r="L44" s="25"/>
      <c r="M44" s="25"/>
      <c r="N44" s="25"/>
      <c r="O44" s="25"/>
    </row>
    <row r="45" spans="1:15" x14ac:dyDescent="0.55000000000000004">
      <c r="A45" s="25">
        <v>37</v>
      </c>
      <c r="B45" s="4">
        <f t="shared" si="1"/>
        <v>3.2424167811938904</v>
      </c>
      <c r="C45" s="4">
        <f t="shared" si="2"/>
        <v>7.7001962623736748</v>
      </c>
      <c r="D45" s="4">
        <f t="shared" si="0"/>
        <v>197.40023513527942</v>
      </c>
      <c r="E45" s="4">
        <f t="shared" si="3"/>
        <v>173.45432588977926</v>
      </c>
      <c r="F45" s="25"/>
      <c r="G45" s="25"/>
      <c r="H45" s="25"/>
      <c r="I45" s="25"/>
      <c r="J45" s="25"/>
      <c r="K45" s="25"/>
      <c r="L45" s="25"/>
      <c r="M45" s="25"/>
      <c r="N45" s="25"/>
      <c r="O45" s="25"/>
    </row>
    <row r="46" spans="1:15" x14ac:dyDescent="0.55000000000000004">
      <c r="A46" s="25">
        <v>37.25</v>
      </c>
      <c r="B46" s="4">
        <f t="shared" si="1"/>
        <v>3.2385238726796817</v>
      </c>
      <c r="C46" s="4">
        <f t="shared" si="2"/>
        <v>7.6630105930224417</v>
      </c>
      <c r="D46" s="4">
        <f t="shared" si="0"/>
        <v>197.3786364755918</v>
      </c>
      <c r="E46" s="4">
        <f t="shared" si="3"/>
        <v>173.54836644670084</v>
      </c>
      <c r="F46" s="25"/>
      <c r="G46" s="25"/>
      <c r="H46" s="25"/>
      <c r="I46" s="25"/>
      <c r="J46" s="25"/>
      <c r="K46" s="25"/>
      <c r="L46" s="25"/>
      <c r="M46" s="25"/>
      <c r="N46" s="25"/>
      <c r="O46" s="25"/>
    </row>
    <row r="47" spans="1:15" x14ac:dyDescent="0.55000000000000004">
      <c r="A47" s="25">
        <v>37.5</v>
      </c>
      <c r="B47" s="4">
        <f t="shared" si="1"/>
        <v>3.2346577039498907</v>
      </c>
      <c r="C47" s="4">
        <f t="shared" si="2"/>
        <v>7.6262606984139625</v>
      </c>
      <c r="D47" s="4">
        <f t="shared" si="0"/>
        <v>197.35682062781359</v>
      </c>
      <c r="E47" s="4">
        <f t="shared" si="3"/>
        <v>173.64083465235336</v>
      </c>
      <c r="F47" s="25"/>
      <c r="G47" s="25"/>
      <c r="H47" s="25"/>
      <c r="I47" s="25"/>
      <c r="J47" s="25"/>
      <c r="K47" s="25"/>
      <c r="L47" s="25"/>
      <c r="M47" s="25"/>
      <c r="N47" s="25"/>
      <c r="O47" s="25"/>
    </row>
    <row r="48" spans="1:15" x14ac:dyDescent="0.55000000000000004">
      <c r="A48" s="25">
        <v>37.75</v>
      </c>
      <c r="B48" s="4">
        <f t="shared" si="1"/>
        <v>3.2308179102550896</v>
      </c>
      <c r="C48" s="4">
        <f t="shared" si="2"/>
        <v>7.5899386068198531</v>
      </c>
      <c r="D48" s="4">
        <f t="shared" si="0"/>
        <v>197.33479391121324</v>
      </c>
      <c r="E48" s="4">
        <f t="shared" si="3"/>
        <v>173.73176161631949</v>
      </c>
      <c r="F48" s="25"/>
      <c r="G48" s="25"/>
      <c r="H48" s="25"/>
      <c r="I48" s="25"/>
      <c r="J48" s="25"/>
      <c r="K48" s="25"/>
      <c r="L48" s="25"/>
      <c r="M48" s="25"/>
      <c r="N48" s="25"/>
      <c r="O48" s="25"/>
    </row>
    <row r="49" spans="1:5" x14ac:dyDescent="0.55000000000000004">
      <c r="A49" s="25">
        <v>38</v>
      </c>
      <c r="B49" s="4">
        <f t="shared" si="1"/>
        <v>3.2270041342106328</v>
      </c>
      <c r="C49" s="4">
        <f t="shared" si="2"/>
        <v>7.5540365440129937</v>
      </c>
      <c r="D49" s="4">
        <f t="shared" si="0"/>
        <v>197.31256246130425</v>
      </c>
      <c r="E49" s="4">
        <f t="shared" si="3"/>
        <v>173.82117765024157</v>
      </c>
    </row>
    <row r="50" spans="1:5" x14ac:dyDescent="0.55000000000000004">
      <c r="A50" s="25">
        <v>38.25</v>
      </c>
      <c r="B50" s="4">
        <f t="shared" si="1"/>
        <v>3.2232160256004554</v>
      </c>
      <c r="C50" s="4">
        <f t="shared" si="2"/>
        <v>7.5185469271119896</v>
      </c>
      <c r="D50" s="4">
        <f t="shared" si="0"/>
        <v>197.29013223606492</v>
      </c>
      <c r="E50" s="4">
        <f t="shared" si="3"/>
        <v>173.90911229318377</v>
      </c>
    </row>
    <row r="51" spans="1:5" x14ac:dyDescent="0.55000000000000004">
      <c r="A51" s="25">
        <v>38.5</v>
      </c>
      <c r="B51" s="4">
        <f t="shared" si="1"/>
        <v>3.2194532411873618</v>
      </c>
      <c r="C51" s="4">
        <f t="shared" si="2"/>
        <v>7.4834623586564941</v>
      </c>
      <c r="D51" s="4">
        <f t="shared" si="0"/>
        <v>197.26750902191264</v>
      </c>
      <c r="E51" s="4">
        <f t="shared" si="3"/>
        <v>173.99559433603099</v>
      </c>
    </row>
    <row r="52" spans="1:5" x14ac:dyDescent="0.55000000000000004">
      <c r="A52" s="25">
        <v>38.75</v>
      </c>
      <c r="B52" s="4">
        <f t="shared" si="1"/>
        <v>3.2157154445295215</v>
      </c>
      <c r="C52" s="4">
        <f t="shared" si="2"/>
        <v>7.4487756209030245</v>
      </c>
      <c r="D52" s="4">
        <f t="shared" si="0"/>
        <v>197.24469843944473</v>
      </c>
      <c r="E52" s="4">
        <f t="shared" si="3"/>
        <v>174.08065184496817</v>
      </c>
    </row>
    <row r="53" spans="1:5" x14ac:dyDescent="0.55000000000000004">
      <c r="A53" s="25">
        <v>39</v>
      </c>
      <c r="B53" s="4">
        <f t="shared" si="1"/>
        <v>3.2120023058029497</v>
      </c>
      <c r="C53" s="4">
        <f t="shared" si="2"/>
        <v>7.4144796703317288</v>
      </c>
      <c r="D53" s="4">
        <f t="shared" si="0"/>
        <v>197.22170594895508</v>
      </c>
      <c r="E53" s="4">
        <f t="shared" si="3"/>
        <v>174.16431218407996</v>
      </c>
    </row>
    <row r="54" spans="1:5" x14ac:dyDescent="0.55000000000000004">
      <c r="A54" s="25">
        <v>39.25</v>
      </c>
      <c r="B54" s="4">
        <f t="shared" si="1"/>
        <v>3.2083135016297248</v>
      </c>
      <c r="C54" s="4">
        <f t="shared" si="2"/>
        <v>7.3805676323551515</v>
      </c>
      <c r="D54" s="4">
        <f t="shared" si="0"/>
        <v>197.19853685573793</v>
      </c>
      <c r="E54" s="4">
        <f t="shared" si="3"/>
        <v>174.2466020371088</v>
      </c>
    </row>
    <row r="55" spans="1:5" x14ac:dyDescent="0.55000000000000004">
      <c r="A55" s="25">
        <v>39.5</v>
      </c>
      <c r="B55" s="4">
        <f t="shared" si="1"/>
        <v>3.2046487149117366</v>
      </c>
      <c r="C55" s="4">
        <f t="shared" si="2"/>
        <v>7.3470327962201427</v>
      </c>
      <c r="D55" s="4">
        <f t="shared" si="0"/>
        <v>197.17519631518675</v>
      </c>
      <c r="E55" s="4">
        <f t="shared" si="3"/>
        <v>174.32754742840785</v>
      </c>
    </row>
    <row r="56" spans="1:5" x14ac:dyDescent="0.55000000000000004">
      <c r="A56" s="25">
        <v>39.75</v>
      </c>
      <c r="B56" s="4">
        <f t="shared" si="1"/>
        <v>3.2010076346697449</v>
      </c>
      <c r="C56" s="4">
        <f t="shared" si="2"/>
        <v>7.3138686100948691</v>
      </c>
      <c r="D56" s="4">
        <f t="shared" si="0"/>
        <v>197.15168933769897</v>
      </c>
      <c r="E56" s="4">
        <f t="shared" si="3"/>
        <v>174.40717374312425</v>
      </c>
    </row>
    <row r="57" spans="1:5" x14ac:dyDescent="0.55000000000000004">
      <c r="A57" s="25">
        <v>40</v>
      </c>
      <c r="B57" s="4">
        <f t="shared" si="1"/>
        <v>3.1973899558875449</v>
      </c>
      <c r="C57" s="4">
        <f t="shared" si="2"/>
        <v>7.2810686763329233</v>
      </c>
      <c r="D57" s="4">
        <f t="shared" si="0"/>
        <v>197.1280207933934</v>
      </c>
      <c r="E57" s="4">
        <f t="shared" si="3"/>
        <v>174.48550574664361</v>
      </c>
    </row>
    <row r="58" spans="1:5" x14ac:dyDescent="0.55000000000000004">
      <c r="A58" s="25">
        <v>40.25</v>
      </c>
      <c r="B58" s="4">
        <f t="shared" si="1"/>
        <v>3.1937953793610556</v>
      </c>
      <c r="C58" s="4">
        <f t="shared" si="2"/>
        <v>7.2486267469072629</v>
      </c>
      <c r="D58" s="4">
        <f t="shared" si="0"/>
        <v>197.10419541664962</v>
      </c>
      <c r="E58" s="4">
        <f t="shared" si="3"/>
        <v>174.56256760332946</v>
      </c>
    </row>
    <row r="59" spans="1:5" x14ac:dyDescent="0.55000000000000004">
      <c r="A59" s="25">
        <v>40.5</v>
      </c>
      <c r="B59" s="4">
        <f t="shared" si="1"/>
        <v>3.1902236115521356</v>
      </c>
      <c r="C59" s="4">
        <f t="shared" si="2"/>
        <v>7.2165367190066458</v>
      </c>
      <c r="D59" s="4">
        <f t="shared" si="0"/>
        <v>197.08021781047671</v>
      </c>
      <c r="E59" s="4">
        <f t="shared" si="3"/>
        <v>174.6383828945855</v>
      </c>
    </row>
    <row r="60" spans="1:5" x14ac:dyDescent="0.55000000000000004">
      <c r="A60" s="25">
        <v>40.75</v>
      </c>
      <c r="B60" s="4">
        <f t="shared" si="1"/>
        <v>3.1866743644469562</v>
      </c>
      <c r="C60" s="4">
        <f t="shared" si="2"/>
        <v>7.1847926307880892</v>
      </c>
      <c r="D60" s="4">
        <f t="shared" si="0"/>
        <v>197.05609245071895</v>
      </c>
      <c r="E60" s="4">
        <f t="shared" si="3"/>
        <v>174.71297463627059</v>
      </c>
    </row>
    <row r="61" spans="1:5" x14ac:dyDescent="0.55000000000000004">
      <c r="A61" s="25">
        <v>41</v>
      </c>
      <c r="B61" s="4">
        <f t="shared" si="1"/>
        <v>3.1831473554187637</v>
      </c>
      <c r="C61" s="4">
        <f t="shared" si="2"/>
        <v>7.1533886572786827</v>
      </c>
      <c r="D61" s="4">
        <f t="shared" si="0"/>
        <v>197.03182369010432</v>
      </c>
      <c r="E61" s="4">
        <f t="shared" si="3"/>
        <v>174.78636529549166</v>
      </c>
    </row>
    <row r="62" spans="1:5" x14ac:dyDescent="0.55000000000000004">
      <c r="A62" s="25">
        <v>41.25</v>
      </c>
      <c r="B62" s="4">
        <f t="shared" si="1"/>
        <v>3.1796423070948601</v>
      </c>
      <c r="C62" s="4">
        <f t="shared" si="2"/>
        <v>7.1223191064206883</v>
      </c>
      <c r="D62" s="4">
        <f t="shared" si="0"/>
        <v>197.0074157621444</v>
      </c>
      <c r="E62" s="4">
        <f t="shared" si="3"/>
        <v>174.85857680680232</v>
      </c>
    </row>
    <row r="63" spans="1:5" x14ac:dyDescent="0.55000000000000004">
      <c r="A63" s="25">
        <v>41.5</v>
      </c>
      <c r="B63" s="4">
        <f t="shared" si="1"/>
        <v>3.1761589472276639</v>
      </c>
      <c r="C63" s="4">
        <f t="shared" si="2"/>
        <v>7.0915784152542063</v>
      </c>
      <c r="D63" s="4">
        <f t="shared" si="0"/>
        <v>196.98287278489042</v>
      </c>
      <c r="E63" s="4">
        <f t="shared" si="3"/>
        <v>174.92963058783013</v>
      </c>
    </row>
    <row r="64" spans="1:5" x14ac:dyDescent="0.55000000000000004">
      <c r="A64" s="25">
        <v>41.75</v>
      </c>
      <c r="B64" s="4">
        <f t="shared" si="1"/>
        <v>3.172697008569684</v>
      </c>
      <c r="C64" s="4">
        <f t="shared" si="2"/>
        <v>7.0611611462316244</v>
      </c>
      <c r="D64" s="4">
        <f t="shared" si="0"/>
        <v>196.95819876455195</v>
      </c>
      <c r="E64" s="4">
        <f t="shared" si="3"/>
        <v>174.9995475543565</v>
      </c>
    </row>
    <row r="65" spans="1:5" x14ac:dyDescent="0.55000000000000004">
      <c r="A65" s="25">
        <v>42</v>
      </c>
      <c r="B65" s="4">
        <f t="shared" si="1"/>
        <v>3.1692562287522761</v>
      </c>
      <c r="C65" s="4">
        <f t="shared" si="2"/>
        <v>7.0310619836587005</v>
      </c>
      <c r="D65" s="4">
        <f t="shared" si="0"/>
        <v>196.93339759898447</v>
      </c>
      <c r="E65" s="4">
        <f t="shared" si="3"/>
        <v>175.06834813487157</v>
      </c>
    </row>
    <row r="66" spans="1:5" x14ac:dyDescent="0.55000000000000004">
      <c r="A66" s="25">
        <v>42.25</v>
      </c>
      <c r="B66" s="4">
        <f t="shared" si="1"/>
        <v>3.1658363501680453</v>
      </c>
      <c r="C66" s="4">
        <f t="shared" si="2"/>
        <v>7.0012757302571167</v>
      </c>
      <c r="D66" s="4">
        <f t="shared" si="0"/>
        <v>196.90847308105029</v>
      </c>
      <c r="E66" s="4">
        <f t="shared" si="3"/>
        <v>175.13605228462512</v>
      </c>
    </row>
    <row r="67" spans="1:5" x14ac:dyDescent="0.55000000000000004">
      <c r="A67" s="25">
        <v>42.5</v>
      </c>
      <c r="B67" s="4">
        <f t="shared" si="1"/>
        <v>3.1624371198567598</v>
      </c>
      <c r="C67" s="4">
        <f t="shared" si="2"/>
        <v>6.9717973038437009</v>
      </c>
      <c r="D67" s="4">
        <f t="shared" si="0"/>
        <v>196.88342890185942</v>
      </c>
      <c r="E67" s="4">
        <f t="shared" si="3"/>
        <v>175.20267949919409</v>
      </c>
    </row>
    <row r="68" spans="1:5" x14ac:dyDescent="0.55000000000000004">
      <c r="A68" s="25">
        <v>42.75</v>
      </c>
      <c r="B68" s="4">
        <f t="shared" si="1"/>
        <v>3.1590582893946499</v>
      </c>
      <c r="C68" s="4">
        <f t="shared" si="2"/>
        <v>6.9426217341216976</v>
      </c>
      <c r="D68" s="4">
        <f t="shared" si="0"/>
        <v>196.85826865389362</v>
      </c>
      <c r="E68" s="4">
        <f t="shared" si="3"/>
        <v>175.26824882758501</v>
      </c>
    </row>
    <row r="69" spans="1:5" x14ac:dyDescent="0.55000000000000004">
      <c r="A69" s="25">
        <v>43</v>
      </c>
      <c r="B69" s="4">
        <f t="shared" si="1"/>
        <v>3.1556996147869838</v>
      </c>
      <c r="C69" s="4">
        <f t="shared" si="2"/>
        <v>6.9137441595796663</v>
      </c>
      <c r="D69" s="4">
        <f t="shared" si="0"/>
        <v>196.83299583402027</v>
      </c>
      <c r="E69" s="4">
        <f t="shared" si="3"/>
        <v>175.33277888489189</v>
      </c>
    </row>
    <row r="70" spans="1:5" x14ac:dyDescent="0.55000000000000004">
      <c r="A70" s="25">
        <v>43.25</v>
      </c>
      <c r="B70" s="4">
        <f t="shared" si="1"/>
        <v>3.1523608563637904</v>
      </c>
      <c r="C70" s="4">
        <f t="shared" si="2"/>
        <v>6.8851598244938117</v>
      </c>
      <c r="D70" s="4">
        <f t="shared" si="0"/>
        <v>196.80761384639891</v>
      </c>
      <c r="E70" s="4">
        <f t="shared" si="3"/>
        <v>175.39628786452465</v>
      </c>
    </row>
    <row r="71" spans="1:5" x14ac:dyDescent="0.55000000000000004">
      <c r="A71" s="25">
        <v>43.5</v>
      </c>
      <c r="B71" s="4">
        <f t="shared" si="1"/>
        <v>3.1490417786786229</v>
      </c>
      <c r="C71" s="4">
        <f t="shared" si="2"/>
        <v>6.8568640760296438</v>
      </c>
      <c r="D71" s="4">
        <f t="shared" si="0"/>
        <v>196.78212600528605</v>
      </c>
      <c r="E71" s="4">
        <f t="shared" si="3"/>
        <v>175.45879355002708</v>
      </c>
    </row>
    <row r="72" spans="1:5" x14ac:dyDescent="0.55000000000000004">
      <c r="A72" s="25">
        <v>43.75</v>
      </c>
      <c r="B72" s="4">
        <f t="shared" si="1"/>
        <v>3.1457421504102734</v>
      </c>
      <c r="C72" s="4">
        <f t="shared" si="2"/>
        <v>6.8288523614393064</v>
      </c>
      <c r="D72" s="4">
        <f t="shared" si="0"/>
        <v>196.75653553774117</v>
      </c>
      <c r="E72" s="4">
        <f t="shared" si="3"/>
        <v>175.52031332649884</v>
      </c>
    </row>
    <row r="73" spans="1:5" x14ac:dyDescent="0.55000000000000004">
      <c r="A73" s="25">
        <v>44</v>
      </c>
      <c r="B73" s="4">
        <f t="shared" si="1"/>
        <v>3.1424617442673037</v>
      </c>
      <c r="C73" s="4">
        <f t="shared" si="2"/>
        <v>6.8011202253506369</v>
      </c>
      <c r="D73" s="4">
        <f t="shared" si="0"/>
        <v>196.73084558623935</v>
      </c>
      <c r="E73" s="4">
        <f t="shared" si="3"/>
        <v>175.58086419163803</v>
      </c>
    </row>
    <row r="74" spans="1:5" x14ac:dyDescent="0.55000000000000004">
      <c r="A74" s="25">
        <v>44.25</v>
      </c>
      <c r="B74" s="4">
        <f t="shared" si="1"/>
        <v>3.1392003368953318</v>
      </c>
      <c r="C74" s="4">
        <f t="shared" si="2"/>
        <v>6.773663307144691</v>
      </c>
      <c r="D74" s="4">
        <f t="shared" si="0"/>
        <v>196.70505921119261</v>
      </c>
      <c r="E74" s="4">
        <f t="shared" si="3"/>
        <v>175.64046276641824</v>
      </c>
    </row>
    <row r="75" spans="1:5" x14ac:dyDescent="0.55000000000000004">
      <c r="A75" s="25">
        <v>44.5</v>
      </c>
      <c r="B75" s="4">
        <f t="shared" si="1"/>
        <v>3.135957708786957</v>
      </c>
      <c r="C75" s="4">
        <f t="shared" si="2"/>
        <v>6.7464773384182282</v>
      </c>
      <c r="D75" s="4">
        <f t="shared" si="0"/>
        <v>196.67917939338474</v>
      </c>
      <c r="E75" s="4">
        <f t="shared" si="3"/>
        <v>175.69912530541447</v>
      </c>
    </row>
    <row r="76" spans="1:5" x14ac:dyDescent="0.55000000000000004">
      <c r="A76" s="25">
        <v>44.75</v>
      </c>
      <c r="B76" s="4">
        <f t="shared" si="1"/>
        <v>3.1327336441942366</v>
      </c>
      <c r="C76" s="4">
        <f t="shared" si="2"/>
        <v>6.7195581405279494</v>
      </c>
      <c r="D76" s="4">
        <f t="shared" si="0"/>
        <v>196.65320903632269</v>
      </c>
      <c r="E76" s="4">
        <f t="shared" si="3"/>
        <v>175.75686770679104</v>
      </c>
    </row>
    <row r="77" spans="1:5" x14ac:dyDescent="0.55000000000000004">
      <c r="A77" s="25">
        <v>45</v>
      </c>
      <c r="B77" s="4">
        <f t="shared" si="1"/>
        <v>3.1295279310436372</v>
      </c>
      <c r="C77" s="4">
        <f t="shared" si="2"/>
        <v>6.6929016222134772</v>
      </c>
      <c r="D77" s="4">
        <f t="shared" si="0"/>
        <v>196.62715096850772</v>
      </c>
      <c r="E77" s="4">
        <f t="shared" si="3"/>
        <v>175.81370552196526</v>
      </c>
    </row>
    <row r="78" spans="1:5" x14ac:dyDescent="0.55000000000000004">
      <c r="A78" s="25">
        <v>45.25</v>
      </c>
      <c r="B78" s="4">
        <f t="shared" si="1"/>
        <v>3.1263403608533675</v>
      </c>
      <c r="C78" s="4">
        <f t="shared" si="2"/>
        <v>6.6665037772961036</v>
      </c>
      <c r="D78" s="4">
        <f t="shared" si="0"/>
        <v>196.60100794562925</v>
      </c>
      <c r="E78" s="4">
        <f t="shared" si="3"/>
        <v>175.86965396495722</v>
      </c>
    </row>
    <row r="79" spans="1:5" x14ac:dyDescent="0.55000000000000004">
      <c r="A79" s="25">
        <v>45.5</v>
      </c>
      <c r="B79" s="4">
        <f t="shared" si="1"/>
        <v>3.1231707286530237</v>
      </c>
      <c r="C79" s="4">
        <f t="shared" si="2"/>
        <v>6.6403606824504493</v>
      </c>
      <c r="D79" s="4">
        <f t="shared" ref="D79:D142" si="8">$B$6*$B$12/9.81*($B$9*SQRT(2/($B$9-1)*(2/($B$9+1))^(($B$9+1)/($B$9-1))*(1 - (A79/$B$3)^(($B$9-1)/$B$9))) + C79/$B$3*(A79 - $E$5))</f>
        <v>196.57478265268492</v>
      </c>
      <c r="E79" s="4">
        <f t="shared" si="3"/>
        <v>175.92472792143977</v>
      </c>
    </row>
    <row r="80" spans="1:5" x14ac:dyDescent="0.55000000000000004">
      <c r="A80" s="25">
        <v>45.75</v>
      </c>
      <c r="B80" s="4">
        <f t="shared" ref="B80:B143" si="9">SQRT(2/($B$9-1)*((A80/$B$3)^((1-$B$9)/$B$9) - 1))</f>
        <v>3.1200188329054539</v>
      </c>
      <c r="C80" s="4">
        <f t="shared" ref="C80:C143" si="10">1/B80*(2/($B$9+1)*(1 + ($B$9-1)/2*B80^2))^(($B$9+1)/(2*$B$9-2))</f>
        <v>6.6144684950463928</v>
      </c>
      <c r="D80" s="4">
        <f t="shared" si="8"/>
        <v>196.54847770602959</v>
      </c>
      <c r="E80" s="4">
        <f t="shared" ref="E80:E143" si="11">$B$6*$B$12/9.81*($B$9*SQRT(2/($B$9-1)*(2/($B$9+1))^(($B$9+1)/($B$9-1))*(1 - (A80/$B$3)^(($B$9-1)/$B$9))) + C80/$B$3*(A80 - $E$4))</f>
        <v>175.97894195749848</v>
      </c>
    </row>
    <row r="81" spans="1:5" x14ac:dyDescent="0.55000000000000004">
      <c r="A81" s="25">
        <v>46</v>
      </c>
      <c r="B81" s="4">
        <f t="shared" si="9"/>
        <v>3.1168844754307852</v>
      </c>
      <c r="C81" s="4">
        <f t="shared" si="10"/>
        <v>6.5888234510585928</v>
      </c>
      <c r="D81" s="4">
        <f t="shared" si="8"/>
        <v>196.52209565535503</v>
      </c>
      <c r="E81" s="4">
        <f t="shared" si="11"/>
        <v>176.03231032811246</v>
      </c>
    </row>
    <row r="82" spans="1:5" x14ac:dyDescent="0.55000000000000004">
      <c r="A82" s="25">
        <v>46.25</v>
      </c>
      <c r="B82" s="4">
        <f t="shared" si="9"/>
        <v>3.1137674613325403</v>
      </c>
      <c r="C82" s="4">
        <f t="shared" si="10"/>
        <v>6.5634218630413406</v>
      </c>
      <c r="D82" s="4">
        <f t="shared" si="8"/>
        <v>196.49563898560487</v>
      </c>
      <c r="E82" s="4">
        <f t="shared" si="11"/>
        <v>176.08484698536682</v>
      </c>
    </row>
    <row r="83" spans="1:5" x14ac:dyDescent="0.55000000000000004">
      <c r="A83" s="25">
        <v>46.5</v>
      </c>
      <c r="B83" s="4">
        <f t="shared" si="9"/>
        <v>3.1106675989257595</v>
      </c>
      <c r="C83" s="4">
        <f t="shared" si="10"/>
        <v>6.5382601181660691</v>
      </c>
      <c r="D83" s="4">
        <f t="shared" si="8"/>
        <v>196.46911011882523</v>
      </c>
      <c r="E83" s="4">
        <f t="shared" si="11"/>
        <v>176.13656558640639</v>
      </c>
    </row>
    <row r="84" spans="1:5" x14ac:dyDescent="0.55000000000000004">
      <c r="A84" s="25">
        <v>46.75</v>
      </c>
      <c r="B84" s="4">
        <f t="shared" si="9"/>
        <v>3.10758469966708</v>
      </c>
      <c r="C84" s="4">
        <f t="shared" si="10"/>
        <v>6.5133346763194435</v>
      </c>
      <c r="D84" s="4">
        <f t="shared" si="8"/>
        <v>196.44251141595504</v>
      </c>
      <c r="E84" s="4">
        <f t="shared" si="11"/>
        <v>176.18747950114047</v>
      </c>
    </row>
    <row r="85" spans="1:5" x14ac:dyDescent="0.55000000000000004">
      <c r="A85" s="25">
        <v>47</v>
      </c>
      <c r="B85" s="4">
        <f t="shared" si="9"/>
        <v>3.1045185780867044</v>
      </c>
      <c r="C85" s="4">
        <f t="shared" si="10"/>
        <v>6.4886420682598844</v>
      </c>
      <c r="D85" s="4">
        <f t="shared" si="8"/>
        <v>196.41584517855725</v>
      </c>
      <c r="E85" s="4">
        <f t="shared" si="11"/>
        <v>176.23760181970695</v>
      </c>
    </row>
    <row r="86" spans="1:5" x14ac:dyDescent="0.55000000000000004">
      <c r="A86" s="25">
        <v>47.25</v>
      </c>
      <c r="B86" s="4">
        <f t="shared" si="9"/>
        <v>3.1014690517221961</v>
      </c>
      <c r="C86" s="4">
        <f t="shared" si="10"/>
        <v>6.4641788938302511</v>
      </c>
      <c r="D86" s="4">
        <f t="shared" si="8"/>
        <v>196.38911365049387</v>
      </c>
      <c r="E86" s="4">
        <f t="shared" si="11"/>
        <v>176.2869453597053</v>
      </c>
    </row>
    <row r="87" spans="1:5" x14ac:dyDescent="0.55000000000000004">
      <c r="A87" s="25">
        <v>47.5</v>
      </c>
      <c r="B87" s="4">
        <f t="shared" si="9"/>
        <v>3.0984359410540412</v>
      </c>
      <c r="C87" s="4">
        <f t="shared" si="10"/>
        <v>6.4399418202248562</v>
      </c>
      <c r="D87" s="4">
        <f t="shared" si="8"/>
        <v>196.36231901954616</v>
      </c>
      <c r="E87" s="4">
        <f t="shared" si="11"/>
        <v>176.33552267320627</v>
      </c>
    </row>
    <row r="88" spans="1:5" x14ac:dyDescent="0.55000000000000004">
      <c r="A88" s="25">
        <v>47.75</v>
      </c>
      <c r="B88" s="4">
        <f t="shared" si="9"/>
        <v>3.09541906944292</v>
      </c>
      <c r="C88" s="4">
        <f t="shared" si="10"/>
        <v>6.4159275803087628</v>
      </c>
      <c r="D88" s="4">
        <f t="shared" si="8"/>
        <v>196.33546341898332</v>
      </c>
      <c r="E88" s="4">
        <f t="shared" si="11"/>
        <v>176.38334605354683</v>
      </c>
    </row>
    <row r="89" spans="1:5" x14ac:dyDescent="0.55000000000000004">
      <c r="A89" s="25">
        <v>48</v>
      </c>
      <c r="B89" s="4">
        <f t="shared" si="9"/>
        <v>3.0924182630686485</v>
      </c>
      <c r="C89" s="4">
        <f t="shared" si="10"/>
        <v>6.3921329709876478</v>
      </c>
      <c r="D89" s="4">
        <f t="shared" si="8"/>
        <v>196.30854892907968</v>
      </c>
      <c r="E89" s="4">
        <f t="shared" si="11"/>
        <v>176.43042754191711</v>
      </c>
    </row>
    <row r="90" spans="1:5" x14ac:dyDescent="0.55000000000000004">
      <c r="A90" s="25">
        <v>48.25</v>
      </c>
      <c r="B90" s="4">
        <f t="shared" si="9"/>
        <v>3.0894333508707139</v>
      </c>
      <c r="C90" s="4">
        <f t="shared" si="10"/>
        <v>6.3685548516263042</v>
      </c>
      <c r="D90" s="4">
        <f t="shared" si="8"/>
        <v>196.28157757858423</v>
      </c>
      <c r="E90" s="4">
        <f t="shared" si="11"/>
        <v>176.47677893374774</v>
      </c>
    </row>
    <row r="91" spans="1:5" x14ac:dyDescent="0.55000000000000004">
      <c r="A91" s="25">
        <v>48.5</v>
      </c>
      <c r="B91" s="4">
        <f t="shared" si="9"/>
        <v>3.0864641644903679</v>
      </c>
      <c r="C91" s="4">
        <f t="shared" si="10"/>
        <v>6.3451901425142303</v>
      </c>
      <c r="D91" s="4">
        <f t="shared" si="8"/>
        <v>196.25455134614285</v>
      </c>
      <c r="E91" s="4">
        <f t="shared" si="11"/>
        <v>176.52241178490388</v>
      </c>
    </row>
    <row r="92" spans="1:5" x14ac:dyDescent="0.55000000000000004">
      <c r="A92" s="25">
        <v>48.75</v>
      </c>
      <c r="B92" s="4">
        <f t="shared" si="9"/>
        <v>3.0835105382142349</v>
      </c>
      <c r="C92" s="4">
        <f t="shared" si="10"/>
        <v>6.3220358233765506</v>
      </c>
      <c r="D92" s="4">
        <f t="shared" si="8"/>
        <v>196.22747216167548</v>
      </c>
      <c r="E92" s="4">
        <f t="shared" si="11"/>
        <v>176.5673374176931</v>
      </c>
    </row>
    <row r="93" spans="1:5" x14ac:dyDescent="0.55000000000000004">
      <c r="A93" s="25">
        <v>49</v>
      </c>
      <c r="B93" s="4">
        <f t="shared" si="9"/>
        <v>3.0805723089193733</v>
      </c>
      <c r="C93" s="4">
        <f t="shared" si="10"/>
        <v>6.2990889319288526</v>
      </c>
      <c r="D93" s="4">
        <f t="shared" si="8"/>
        <v>196.20034190771003</v>
      </c>
      <c r="E93" s="4">
        <f t="shared" si="11"/>
        <v>176.61156692669346</v>
      </c>
    </row>
    <row r="94" spans="1:5" x14ac:dyDescent="0.55000000000000004">
      <c r="A94" s="25">
        <v>49.25</v>
      </c>
      <c r="B94" s="4">
        <f t="shared" si="9"/>
        <v>3.0776493160197487</v>
      </c>
      <c r="C94" s="4">
        <f t="shared" si="10"/>
        <v>6.2763465624741643</v>
      </c>
      <c r="D94" s="4">
        <f t="shared" si="8"/>
        <v>196.17316242067417</v>
      </c>
      <c r="E94" s="4">
        <f t="shared" si="11"/>
        <v>176.65511118440821</v>
      </c>
    </row>
    <row r="95" spans="1:5" x14ac:dyDescent="0.55000000000000004">
      <c r="A95" s="25">
        <v>49.5</v>
      </c>
      <c r="B95" s="4">
        <f t="shared" si="9"/>
        <v>3.0747414014140926</v>
      </c>
      <c r="C95" s="4">
        <f t="shared" si="10"/>
        <v>6.2538058645410155</v>
      </c>
      <c r="D95" s="4">
        <f t="shared" si="8"/>
        <v>196.1459354921468</v>
      </c>
      <c r="E95" s="4">
        <f t="shared" si="11"/>
        <v>176.69798084675278</v>
      </c>
    </row>
    <row r="96" spans="1:5" x14ac:dyDescent="0.55000000000000004">
      <c r="A96" s="25">
        <v>49.75</v>
      </c>
      <c r="B96" s="4">
        <f t="shared" si="9"/>
        <v>3.0718484094350802</v>
      </c>
      <c r="C96" s="4">
        <f t="shared" si="10"/>
        <v>6.2314640415608284</v>
      </c>
      <c r="D96" s="4">
        <f t="shared" si="8"/>
        <v>196.11866287007066</v>
      </c>
      <c r="E96" s="4">
        <f t="shared" si="11"/>
        <v>176.74018635838041</v>
      </c>
    </row>
    <row r="97" spans="1:5" x14ac:dyDescent="0.55000000000000004">
      <c r="A97" s="25">
        <v>50</v>
      </c>
      <c r="B97" s="4">
        <f t="shared" si="9"/>
        <v>3.0689701867997967</v>
      </c>
      <c r="C97" s="4">
        <f t="shared" si="10"/>
        <v>6.2093183495834685</v>
      </c>
      <c r="D97" s="4">
        <f t="shared" si="8"/>
        <v>196.09134625992704</v>
      </c>
      <c r="E97" s="4">
        <f t="shared" si="11"/>
        <v>176.78173795785113</v>
      </c>
    </row>
    <row r="98" spans="1:5" x14ac:dyDescent="0.55000000000000004">
      <c r="A98" s="25">
        <v>50.25</v>
      </c>
      <c r="B98" s="4">
        <f t="shared" si="9"/>
        <v>3.0661065825614613</v>
      </c>
      <c r="C98" s="4">
        <f t="shared" si="10"/>
        <v>6.1873660960297023</v>
      </c>
      <c r="D98" s="4">
        <f t="shared" si="8"/>
        <v>196.06398732587482</v>
      </c>
      <c r="E98" s="4">
        <f t="shared" si="11"/>
        <v>176.82264568265035</v>
      </c>
    </row>
    <row r="99" spans="1:5" x14ac:dyDescent="0.55000000000000004">
      <c r="A99" s="25">
        <v>50.5</v>
      </c>
      <c r="B99" s="4">
        <f t="shared" si="9"/>
        <v>3.0632574480623611</v>
      </c>
      <c r="C99" s="4">
        <f t="shared" si="10"/>
        <v>6.1656046384792749</v>
      </c>
      <c r="D99" s="4">
        <f t="shared" si="8"/>
        <v>196.03658769185367</v>
      </c>
      <c r="E99" s="4">
        <f t="shared" si="11"/>
        <v>176.86291937406099</v>
      </c>
    </row>
    <row r="100" spans="1:5" x14ac:dyDescent="0.55000000000000004">
      <c r="A100" s="25">
        <v>50.75</v>
      </c>
      <c r="B100" s="4">
        <f t="shared" si="9"/>
        <v>3.0604226368879588</v>
      </c>
      <c r="C100" s="4">
        <f t="shared" si="10"/>
        <v>6.1440313834933242</v>
      </c>
      <c r="D100" s="4">
        <f t="shared" si="8"/>
        <v>196.00914894265446</v>
      </c>
      <c r="E100" s="4">
        <f t="shared" si="11"/>
        <v>176.90256868189587</v>
      </c>
    </row>
    <row r="101" spans="1:5" x14ac:dyDescent="0.55000000000000004">
      <c r="A101" s="25">
        <v>51</v>
      </c>
      <c r="B101" s="4">
        <f t="shared" si="9"/>
        <v>3.0576020048221477</v>
      </c>
      <c r="C101" s="4">
        <f t="shared" si="10"/>
        <v>6.1226437854702525</v>
      </c>
      <c r="D101" s="4">
        <f t="shared" si="8"/>
        <v>195.98167262495645</v>
      </c>
      <c r="E101" s="4">
        <f t="shared" si="11"/>
        <v>176.94160306909276</v>
      </c>
    </row>
    <row r="102" spans="1:5" x14ac:dyDescent="0.55000000000000004">
      <c r="A102" s="25">
        <v>51.25</v>
      </c>
      <c r="B102" s="4">
        <f t="shared" si="9"/>
        <v>3.054795409803607</v>
      </c>
      <c r="C102" s="4">
        <f t="shared" si="10"/>
        <v>6.1014393455336116</v>
      </c>
      <c r="D102" s="4">
        <f t="shared" si="8"/>
        <v>195.95416024833307</v>
      </c>
      <c r="E102" s="4">
        <f t="shared" si="11"/>
        <v>176.98003181617889</v>
      </c>
    </row>
    <row r="103" spans="1:5" x14ac:dyDescent="0.55000000000000004">
      <c r="A103" s="25">
        <v>51.5</v>
      </c>
      <c r="B103" s="4">
        <f t="shared" si="9"/>
        <v>3.0520027118832385</v>
      </c>
      <c r="C103" s="4">
        <f t="shared" si="10"/>
        <v>6.0804156104512543</v>
      </c>
      <c r="D103" s="4">
        <f t="shared" si="8"/>
        <v>195.92661328622776</v>
      </c>
      <c r="E103" s="4">
        <f t="shared" si="11"/>
        <v>177.01786402560762</v>
      </c>
    </row>
    <row r="104" spans="1:5" x14ac:dyDescent="0.55000000000000004">
      <c r="A104" s="25">
        <v>51.75</v>
      </c>
      <c r="B104" s="4">
        <f t="shared" si="9"/>
        <v>3.0492237731826459</v>
      </c>
      <c r="C104" s="4">
        <f t="shared" si="10"/>
        <v>6.0595701715845625</v>
      </c>
      <c r="D104" s="4">
        <f t="shared" si="8"/>
        <v>195.89903317689993</v>
      </c>
      <c r="E104" s="4">
        <f t="shared" si="11"/>
        <v>177.05510862597237</v>
      </c>
    </row>
    <row r="105" spans="1:5" x14ac:dyDescent="0.55000000000000004">
      <c r="A105" s="25">
        <v>52</v>
      </c>
      <c r="B105" s="4">
        <f t="shared" si="9"/>
        <v>3.0464584578536216</v>
      </c>
      <c r="C105" s="4">
        <f t="shared" si="10"/>
        <v>6.0389006638667651</v>
      </c>
      <c r="D105" s="4">
        <f t="shared" si="8"/>
        <v>195.87142132434312</v>
      </c>
      <c r="E105" s="4">
        <f t="shared" si="11"/>
        <v>177.09177437610191</v>
      </c>
    </row>
    <row r="106" spans="1:5" x14ac:dyDescent="0.55000000000000004">
      <c r="A106" s="25">
        <v>52.25</v>
      </c>
      <c r="B106" s="4">
        <f t="shared" si="9"/>
        <v>3.0437066320386239</v>
      </c>
      <c r="C106" s="4">
        <f t="shared" si="10"/>
        <v>6.0184047648095209</v>
      </c>
      <c r="D106" s="4">
        <f t="shared" si="8"/>
        <v>195.84377909917558</v>
      </c>
      <c r="E106" s="4">
        <f t="shared" si="11"/>
        <v>177.12786986904007</v>
      </c>
    </row>
    <row r="107" spans="1:5" x14ac:dyDescent="0.55000000000000004">
      <c r="A107" s="25">
        <v>52.5</v>
      </c>
      <c r="B107" s="4">
        <f t="shared" si="9"/>
        <v>3.0409681638322068</v>
      </c>
      <c r="C107" s="4">
        <f t="shared" si="10"/>
        <v>5.9980801935367563</v>
      </c>
      <c r="D107" s="4">
        <f t="shared" si="8"/>
        <v>195.81610783950416</v>
      </c>
      <c r="E107" s="4">
        <f t="shared" si="11"/>
        <v>177.1634035359144</v>
      </c>
    </row>
    <row r="108" spans="1:5" x14ac:dyDescent="0.55000000000000004">
      <c r="A108" s="25">
        <v>52.75</v>
      </c>
      <c r="B108" s="4">
        <f t="shared" si="9"/>
        <v>3.0382429232433719</v>
      </c>
      <c r="C108" s="4">
        <f t="shared" si="10"/>
        <v>5.977924709844844</v>
      </c>
      <c r="D108" s="4">
        <f t="shared" si="8"/>
        <v>195.78840885176319</v>
      </c>
      <c r="E108" s="4">
        <f t="shared" si="11"/>
        <v>177.19838364969766</v>
      </c>
    </row>
    <row r="109" spans="1:5" x14ac:dyDescent="0.55000000000000004">
      <c r="A109" s="25">
        <v>53</v>
      </c>
      <c r="B109" s="4">
        <f t="shared" si="9"/>
        <v>3.0355307821588329</v>
      </c>
      <c r="C109" s="4">
        <f t="shared" si="10"/>
        <v>5.9579361132885085</v>
      </c>
      <c r="D109" s="4">
        <f t="shared" si="8"/>
        <v>195.76068341152845</v>
      </c>
      <c r="E109" s="4">
        <f t="shared" si="11"/>
        <v>177.23281832886425</v>
      </c>
    </row>
    <row r="110" spans="1:5" x14ac:dyDescent="0.55000000000000004">
      <c r="A110" s="25">
        <v>53.25</v>
      </c>
      <c r="B110" s="4">
        <f t="shared" si="9"/>
        <v>3.0328316143071437</v>
      </c>
      <c r="C110" s="4">
        <f t="shared" si="10"/>
        <v>5.9381122422912958</v>
      </c>
      <c r="D110" s="4">
        <f t="shared" si="8"/>
        <v>195.73293276430715</v>
      </c>
      <c r="E110" s="4">
        <f t="shared" si="11"/>
        <v>177.26671554094668</v>
      </c>
    </row>
    <row r="111" spans="1:5" x14ac:dyDescent="0.55000000000000004">
      <c r="A111" s="25">
        <v>53.5</v>
      </c>
      <c r="B111" s="4">
        <f t="shared" si="9"/>
        <v>3.0301452952236825</v>
      </c>
      <c r="C111" s="4">
        <f t="shared" si="10"/>
        <v>5.9184509732801596</v>
      </c>
      <c r="D111" s="4">
        <f t="shared" si="8"/>
        <v>195.70515812630498</v>
      </c>
      <c r="E111" s="4">
        <f t="shared" si="11"/>
        <v>177.30008310599359</v>
      </c>
    </row>
    <row r="112" spans="1:5" x14ac:dyDescent="0.55000000000000004">
      <c r="A112" s="25">
        <v>53.75</v>
      </c>
      <c r="B112" s="4">
        <f t="shared" si="9"/>
        <v>3.0274717022164617</v>
      </c>
      <c r="C112" s="4">
        <f t="shared" si="10"/>
        <v>5.89895021984315</v>
      </c>
      <c r="D112" s="4">
        <f t="shared" si="8"/>
        <v>195.67736068517104</v>
      </c>
      <c r="E112" s="4">
        <f t="shared" si="11"/>
        <v>177.33292869993443</v>
      </c>
    </row>
    <row r="113" spans="1:5" x14ac:dyDescent="0.55000000000000004">
      <c r="A113" s="25">
        <v>54</v>
      </c>
      <c r="B113" s="4">
        <f t="shared" si="9"/>
        <v>3.0248107143327414</v>
      </c>
      <c r="C113" s="4">
        <f t="shared" si="10"/>
        <v>5.8796079319097156</v>
      </c>
      <c r="D113" s="4">
        <f t="shared" si="8"/>
        <v>195.64954160072091</v>
      </c>
      <c r="E113" s="4">
        <f t="shared" si="11"/>
        <v>177.36525985785113</v>
      </c>
    </row>
    <row r="114" spans="1:5" x14ac:dyDescent="0.55000000000000004">
      <c r="A114" s="25">
        <v>54.25</v>
      </c>
      <c r="B114" s="4">
        <f t="shared" si="9"/>
        <v>3.0221622123264207</v>
      </c>
      <c r="C114" s="4">
        <f t="shared" si="10"/>
        <v>5.8604220949526633</v>
      </c>
      <c r="D114" s="4">
        <f t="shared" si="8"/>
        <v>195.62170200563907</v>
      </c>
      <c r="E114" s="4">
        <f t="shared" si="11"/>
        <v>177.39708397716288</v>
      </c>
    </row>
    <row r="115" spans="1:5" x14ac:dyDescent="0.55000000000000004">
      <c r="A115" s="25">
        <v>54.5</v>
      </c>
      <c r="B115" s="4">
        <f t="shared" si="9"/>
        <v>3.0195260786261908</v>
      </c>
      <c r="C115" s="4">
        <f t="shared" si="10"/>
        <v>5.8413907292112937</v>
      </c>
      <c r="D115" s="4">
        <f t="shared" si="8"/>
        <v>195.59384300616111</v>
      </c>
      <c r="E115" s="4">
        <f t="shared" si="11"/>
        <v>177.42840832072352</v>
      </c>
    </row>
    <row r="116" spans="1:5" x14ac:dyDescent="0.55000000000000004">
      <c r="A116" s="25">
        <v>54.75</v>
      </c>
      <c r="B116" s="4">
        <f t="shared" si="9"/>
        <v>3.0169021973044252</v>
      </c>
      <c r="C116" s="4">
        <f t="shared" si="10"/>
        <v>5.8225118889350247</v>
      </c>
      <c r="D116" s="4">
        <f t="shared" si="8"/>
        <v>195.56596568273659</v>
      </c>
      <c r="E116" s="4">
        <f t="shared" si="11"/>
        <v>177.45924001983715</v>
      </c>
    </row>
    <row r="117" spans="1:5" x14ac:dyDescent="0.55000000000000004">
      <c r="A117" s="25">
        <v>55</v>
      </c>
      <c r="B117" s="4">
        <f t="shared" si="9"/>
        <v>3.0142904540467854</v>
      </c>
      <c r="C117" s="4">
        <f t="shared" si="10"/>
        <v>5.8037836616467349</v>
      </c>
      <c r="D117" s="4">
        <f t="shared" si="8"/>
        <v>195.53807109067276</v>
      </c>
      <c r="E117" s="4">
        <f t="shared" si="11"/>
        <v>177.48958607719231</v>
      </c>
    </row>
    <row r="118" spans="1:5" x14ac:dyDescent="0.55000000000000004">
      <c r="A118" s="25">
        <v>55.25</v>
      </c>
      <c r="B118" s="4">
        <f t="shared" si="9"/>
        <v>3.0116907361225249</v>
      </c>
      <c r="C118" s="4">
        <f t="shared" si="10"/>
        <v>5.7852041674254604</v>
      </c>
      <c r="D118" s="4">
        <f t="shared" si="8"/>
        <v>195.51016026075996</v>
      </c>
      <c r="E118" s="4">
        <f t="shared" si="11"/>
        <v>177.51945336971829</v>
      </c>
    </row>
    <row r="119" spans="1:5" x14ac:dyDescent="0.55000000000000004">
      <c r="A119" s="25">
        <v>55.5</v>
      </c>
      <c r="B119" s="4">
        <f t="shared" si="9"/>
        <v>3.0091029323554772</v>
      </c>
      <c r="C119" s="4">
        <f t="shared" si="10"/>
        <v>5.7667715582076422</v>
      </c>
      <c r="D119" s="4">
        <f t="shared" si="8"/>
        <v>195.48223419988003</v>
      </c>
      <c r="E119" s="4">
        <f t="shared" si="11"/>
        <v>177.54884865136626</v>
      </c>
    </row>
    <row r="120" spans="1:5" x14ac:dyDescent="0.55000000000000004">
      <c r="A120" s="25">
        <v>55.75</v>
      </c>
      <c r="B120" s="4">
        <f t="shared" si="9"/>
        <v>3.0065269330956919</v>
      </c>
      <c r="C120" s="4">
        <f t="shared" si="10"/>
        <v>5.7484840171064295</v>
      </c>
      <c r="D120" s="4">
        <f t="shared" si="8"/>
        <v>195.45429389159668</v>
      </c>
      <c r="E120" s="4">
        <f t="shared" si="11"/>
        <v>177.57777855581671</v>
      </c>
    </row>
    <row r="121" spans="1:5" x14ac:dyDescent="0.55000000000000004">
      <c r="A121" s="25">
        <v>56</v>
      </c>
      <c r="B121" s="4">
        <f t="shared" si="9"/>
        <v>3.0039626301917273</v>
      </c>
      <c r="C121" s="4">
        <f t="shared" si="10"/>
        <v>5.7303397577485953</v>
      </c>
      <c r="D121" s="4">
        <f t="shared" si="8"/>
        <v>195.42634029672996</v>
      </c>
      <c r="E121" s="4">
        <f t="shared" si="11"/>
        <v>177.60624959911573</v>
      </c>
    </row>
    <row r="122" spans="1:5" x14ac:dyDescent="0.55000000000000004">
      <c r="A122" s="25">
        <v>56.25</v>
      </c>
      <c r="B122" s="4">
        <f t="shared" si="9"/>
        <v>3.0014099169635537</v>
      </c>
      <c r="C122" s="4">
        <f t="shared" si="10"/>
        <v>5.7123370236283266</v>
      </c>
      <c r="D122" s="4">
        <f t="shared" si="8"/>
        <v>195.39837435391451</v>
      </c>
      <c r="E122" s="4">
        <f t="shared" si="11"/>
        <v>177.63426818224298</v>
      </c>
    </row>
    <row r="123" spans="1:5" x14ac:dyDescent="0.55000000000000004">
      <c r="A123" s="25">
        <v>56.5</v>
      </c>
      <c r="B123" s="4">
        <f t="shared" si="9"/>
        <v>2.99886868817608</v>
      </c>
      <c r="C123" s="4">
        <f t="shared" si="10"/>
        <v>5.6944740874776532</v>
      </c>
      <c r="D123" s="4">
        <f t="shared" si="8"/>
        <v>195.37039698014217</v>
      </c>
      <c r="E123" s="4">
        <f t="shared" si="11"/>
        <v>177.66184059361214</v>
      </c>
    </row>
    <row r="124" spans="1:5" x14ac:dyDescent="0.55000000000000004">
      <c r="A124" s="25">
        <v>56.75</v>
      </c>
      <c r="B124" s="4">
        <f t="shared" si="9"/>
        <v>2.9963388400132556</v>
      </c>
      <c r="C124" s="4">
        <f t="shared" si="10"/>
        <v>5.6767492506526915</v>
      </c>
      <c r="D124" s="4">
        <f t="shared" si="8"/>
        <v>195.34240907128967</v>
      </c>
      <c r="E124" s="4">
        <f t="shared" si="11"/>
        <v>177.6889730115071</v>
      </c>
    </row>
    <row r="125" spans="1:5" x14ac:dyDescent="0.55000000000000004">
      <c r="A125" s="25">
        <v>57</v>
      </c>
      <c r="B125" s="4">
        <f t="shared" si="9"/>
        <v>2.9938202700527601</v>
      </c>
      <c r="C125" s="4">
        <f t="shared" si="10"/>
        <v>5.6591608425355471</v>
      </c>
      <c r="D125" s="4">
        <f t="shared" si="8"/>
        <v>195.31441150263186</v>
      </c>
      <c r="E125" s="4">
        <f t="shared" si="11"/>
        <v>177.71567150645535</v>
      </c>
    </row>
    <row r="126" spans="1:5" x14ac:dyDescent="0.55000000000000004">
      <c r="A126" s="25">
        <v>57.25</v>
      </c>
      <c r="B126" s="4">
        <f t="shared" si="9"/>
        <v>2.9913128772412509</v>
      </c>
      <c r="C126" s="4">
        <f t="shared" si="10"/>
        <v>5.6417072199512459</v>
      </c>
      <c r="D126" s="4">
        <f t="shared" si="8"/>
        <v>195.28640512934061</v>
      </c>
      <c r="E126" s="4">
        <f t="shared" si="11"/>
        <v>177.74194204353989</v>
      </c>
    </row>
    <row r="127" spans="1:5" x14ac:dyDescent="0.55000000000000004">
      <c r="A127" s="25">
        <v>57.5</v>
      </c>
      <c r="B127" s="4">
        <f t="shared" si="9"/>
        <v>2.9888165618701543</v>
      </c>
      <c r="C127" s="4">
        <f t="shared" si="10"/>
        <v>5.6243867665992475</v>
      </c>
      <c r="D127" s="4">
        <f t="shared" si="8"/>
        <v>195.25839078697007</v>
      </c>
      <c r="E127" s="4">
        <f t="shared" si="11"/>
        <v>177.76779048465249</v>
      </c>
    </row>
    <row r="128" spans="1:5" x14ac:dyDescent="0.55000000000000004">
      <c r="A128" s="25">
        <v>57.75</v>
      </c>
      <c r="B128" s="4">
        <f t="shared" si="9"/>
        <v>2.9863312255519885</v>
      </c>
      <c r="C128" s="4">
        <f t="shared" si="10"/>
        <v>5.607197892499185</v>
      </c>
      <c r="D128" s="4">
        <f t="shared" si="8"/>
        <v>195.23036929192918</v>
      </c>
      <c r="E128" s="4">
        <f t="shared" si="11"/>
        <v>177.79322259068974</v>
      </c>
    </row>
    <row r="129" spans="1:5" x14ac:dyDescent="0.55000000000000004">
      <c r="A129" s="25">
        <v>58</v>
      </c>
      <c r="B129" s="4">
        <f t="shared" si="9"/>
        <v>2.9838567711972086</v>
      </c>
      <c r="C129" s="4">
        <f t="shared" si="10"/>
        <v>5.5901390334503773</v>
      </c>
      <c r="D129" s="4">
        <f t="shared" si="8"/>
        <v>195.20234144194032</v>
      </c>
      <c r="E129" s="4">
        <f t="shared" si="11"/>
        <v>177.81824402369261</v>
      </c>
    </row>
    <row r="130" spans="1:5" x14ac:dyDescent="0.55000000000000004">
      <c r="A130" s="25">
        <v>58.25</v>
      </c>
      <c r="B130" s="4">
        <f t="shared" si="9"/>
        <v>2.9813931029915479</v>
      </c>
      <c r="C130" s="4">
        <f t="shared" si="10"/>
        <v>5.5732086505046876</v>
      </c>
      <c r="D130" s="4">
        <f t="shared" si="8"/>
        <v>195.17430801648672</v>
      </c>
      <c r="E130" s="4">
        <f t="shared" si="11"/>
        <v>177.84286034893304</v>
      </c>
    </row>
    <row r="131" spans="1:5" x14ac:dyDescent="0.55000000000000004">
      <c r="A131" s="25">
        <v>58.5</v>
      </c>
      <c r="B131" s="4">
        <f t="shared" si="9"/>
        <v>2.9789401263738577</v>
      </c>
      <c r="C131" s="4">
        <f t="shared" si="10"/>
        <v>5.5564052294523991</v>
      </c>
      <c r="D131" s="4">
        <f t="shared" si="8"/>
        <v>195.14626977724694</v>
      </c>
      <c r="E131" s="4">
        <f t="shared" si="11"/>
        <v>177.86707703694728</v>
      </c>
    </row>
    <row r="132" spans="1:5" x14ac:dyDescent="0.55000000000000004">
      <c r="A132" s="25">
        <v>58.75</v>
      </c>
      <c r="B132" s="4">
        <f t="shared" si="9"/>
        <v>2.9764977480144226</v>
      </c>
      <c r="C132" s="4">
        <f t="shared" si="10"/>
        <v>5.5397272803207178</v>
      </c>
      <c r="D132" s="4">
        <f t="shared" si="8"/>
        <v>195.11822746851792</v>
      </c>
      <c r="E132" s="4">
        <f t="shared" si="11"/>
        <v>177.89089946551852</v>
      </c>
    </row>
    <row r="133" spans="1:5" x14ac:dyDescent="0.55000000000000004">
      <c r="A133" s="25">
        <v>59</v>
      </c>
      <c r="B133" s="4">
        <f t="shared" si="9"/>
        <v>2.9740658757937388</v>
      </c>
      <c r="C133" s="4">
        <f t="shared" si="10"/>
        <v>5.5231733368845086</v>
      </c>
      <c r="D133" s="4">
        <f t="shared" si="8"/>
        <v>195.0901818176271</v>
      </c>
      <c r="E133" s="4">
        <f t="shared" si="11"/>
        <v>177.91433292161037</v>
      </c>
    </row>
    <row r="134" spans="1:5" x14ac:dyDescent="0.55000000000000004">
      <c r="A134" s="25">
        <v>59.25</v>
      </c>
      <c r="B134" s="4">
        <f t="shared" si="9"/>
        <v>2.9716444187817506</v>
      </c>
      <c r="C134" s="4">
        <f t="shared" si="10"/>
        <v>5.5067419561889004</v>
      </c>
      <c r="D134" s="4">
        <f t="shared" si="8"/>
        <v>195.06213353533266</v>
      </c>
      <c r="E134" s="4">
        <f t="shared" si="11"/>
        <v>177.93738260325202</v>
      </c>
    </row>
    <row r="135" spans="1:5" x14ac:dyDescent="0.55000000000000004">
      <c r="A135" s="25">
        <v>59.5</v>
      </c>
      <c r="B135" s="4">
        <f t="shared" si="9"/>
        <v>2.9692332872175298</v>
      </c>
      <c r="C135" s="4">
        <f t="shared" si="10"/>
        <v>5.4904317180835482</v>
      </c>
      <c r="D135" s="4">
        <f t="shared" si="8"/>
        <v>195.03408331621418</v>
      </c>
      <c r="E135" s="4">
        <f t="shared" si="11"/>
        <v>177.96005362137677</v>
      </c>
    </row>
    <row r="136" spans="1:5" x14ac:dyDescent="0.55000000000000004">
      <c r="A136" s="25">
        <v>59.75</v>
      </c>
      <c r="B136" s="4">
        <f t="shared" si="9"/>
        <v>2.9668323924893829</v>
      </c>
      <c r="C136" s="4">
        <f t="shared" si="10"/>
        <v>5.4742412247680541</v>
      </c>
      <c r="D136" s="4">
        <f t="shared" si="8"/>
        <v>195.00603183905216</v>
      </c>
      <c r="E136" s="4">
        <f t="shared" si="11"/>
        <v>177.98235100161557</v>
      </c>
    </row>
    <row r="137" spans="1:5" x14ac:dyDescent="0.55000000000000004">
      <c r="A137" s="25">
        <v>60</v>
      </c>
      <c r="B137" s="4">
        <f t="shared" si="9"/>
        <v>2.9644416471153767</v>
      </c>
      <c r="C137" s="4">
        <f t="shared" si="10"/>
        <v>5.458169100348286</v>
      </c>
      <c r="D137" s="4">
        <f t="shared" si="8"/>
        <v>194.97797976719764</v>
      </c>
      <c r="E137" s="4">
        <f t="shared" si="11"/>
        <v>178.00427968604632</v>
      </c>
    </row>
    <row r="138" spans="1:5" x14ac:dyDescent="0.55000000000000004">
      <c r="A138" s="25">
        <v>60.25</v>
      </c>
      <c r="B138" s="4">
        <f t="shared" si="9"/>
        <v>2.9620609647242837</v>
      </c>
      <c r="C138" s="4">
        <f t="shared" si="10"/>
        <v>5.4422139904034372</v>
      </c>
      <c r="D138" s="4">
        <f t="shared" si="8"/>
        <v>194.94992774893262</v>
      </c>
      <c r="E138" s="4">
        <f t="shared" si="11"/>
        <v>178.02584453490039</v>
      </c>
    </row>
    <row r="139" spans="1:5" x14ac:dyDescent="0.55000000000000004">
      <c r="A139" s="25">
        <v>60.5</v>
      </c>
      <c r="B139" s="4">
        <f t="shared" si="9"/>
        <v>2.9596902600369157</v>
      </c>
      <c r="C139" s="4">
        <f t="shared" si="10"/>
        <v>5.4263745615632768</v>
      </c>
      <c r="D139" s="4">
        <f t="shared" si="8"/>
        <v>194.92187641782036</v>
      </c>
      <c r="E139" s="4">
        <f t="shared" si="11"/>
        <v>178.04705032822798</v>
      </c>
    </row>
    <row r="140" spans="1:5" x14ac:dyDescent="0.55000000000000004">
      <c r="A140" s="25">
        <v>60.75</v>
      </c>
      <c r="B140" s="4">
        <f t="shared" si="9"/>
        <v>2.957329448847851</v>
      </c>
      <c r="C140" s="4">
        <f t="shared" si="10"/>
        <v>5.4106495010954667</v>
      </c>
      <c r="D140" s="4">
        <f t="shared" si="8"/>
        <v>194.89382639304679</v>
      </c>
      <c r="E140" s="4">
        <f t="shared" si="11"/>
        <v>178.06790176752256</v>
      </c>
    </row>
    <row r="141" spans="1:5" x14ac:dyDescent="0.55000000000000004">
      <c r="A141" s="25">
        <v>61</v>
      </c>
      <c r="B141" s="4">
        <f t="shared" si="9"/>
        <v>2.9549784480075449</v>
      </c>
      <c r="C141" s="4">
        <f t="shared" si="10"/>
        <v>5.3950375165026605</v>
      </c>
      <c r="D141" s="4">
        <f t="shared" si="8"/>
        <v>194.86577827975347</v>
      </c>
      <c r="E141" s="4">
        <f t="shared" si="11"/>
        <v>178.08840347730691</v>
      </c>
    </row>
    <row r="142" spans="1:5" x14ac:dyDescent="0.55000000000000004">
      <c r="A142" s="25">
        <v>61.25</v>
      </c>
      <c r="B142" s="4">
        <f t="shared" si="9"/>
        <v>2.9526371754048069</v>
      </c>
      <c r="C142" s="4">
        <f t="shared" si="10"/>
        <v>5.3795373351290907</v>
      </c>
      <c r="D142" s="4">
        <f t="shared" si="8"/>
        <v>194.83773266936109</v>
      </c>
      <c r="E142" s="4">
        <f t="shared" si="11"/>
        <v>178.10856000667997</v>
      </c>
    </row>
    <row r="143" spans="1:5" x14ac:dyDescent="0.55000000000000004">
      <c r="A143" s="25">
        <v>61.5</v>
      </c>
      <c r="B143" s="4">
        <f t="shared" si="9"/>
        <v>2.9503055499496336</v>
      </c>
      <c r="C143" s="4">
        <f t="shared" si="10"/>
        <v>5.364147703776263</v>
      </c>
      <c r="D143" s="4">
        <f t="shared" ref="D143:D206" si="12">$B$6*$B$12/9.81*($B$9*SQRT(2/($B$9-1)*(2/($B$9+1))^(($B$9+1)/($B$9-1))*(1 - (A143/$B$3)^(($B$9-1)/$B$9))) + C143/$B$3*(A143 - $E$5))</f>
        <v>194.80969013988513</v>
      </c>
      <c r="E143" s="4">
        <f t="shared" si="11"/>
        <v>178.12837583082771</v>
      </c>
    </row>
    <row r="144" spans="1:5" x14ac:dyDescent="0.55000000000000004">
      <c r="A144" s="25">
        <v>61.75</v>
      </c>
      <c r="B144" s="4">
        <f t="shared" ref="B144:B207" si="13">SQRT(2/($B$9-1)*((A144/$B$3)^((1-$B$9)/$B$9) - 1))</f>
        <v>2.9479834915564092</v>
      </c>
      <c r="C144" s="4">
        <f t="shared" ref="C144:C207" si="14">1/B144*(2/($B$9+1)*(1 + ($B$9-1)/2*B144^2))^(($B$9+1)/(2*$B$9-2))</f>
        <v>5.3488673883277915</v>
      </c>
      <c r="D144" s="4">
        <f t="shared" si="12"/>
        <v>194.78165125624352</v>
      </c>
      <c r="E144" s="4">
        <f t="shared" ref="E144:E207" si="15">$B$6*$B$12/9.81*($B$9*SQRT(2/($B$9-1)*(2/($B$9+1))^(($B$9+1)/($B$9-1))*(1 - (A144/$B$3)^(($B$9-1)/$B$9))) + C144/$B$3*(A144 - $E$4))</f>
        <v>178.14785535249737</v>
      </c>
    </row>
    <row r="145" spans="1:5" x14ac:dyDescent="0.55000000000000004">
      <c r="A145" s="25">
        <v>62</v>
      </c>
      <c r="B145" s="4">
        <f t="shared" si="13"/>
        <v>2.9456709211274328</v>
      </c>
      <c r="C145" s="4">
        <f t="shared" si="14"/>
        <v>5.3336951733828357</v>
      </c>
      <c r="D145" s="4">
        <f t="shared" si="12"/>
        <v>194.75361657055598</v>
      </c>
      <c r="E145" s="4">
        <f t="shared" si="15"/>
        <v>178.16700290343672</v>
      </c>
    </row>
    <row r="146" spans="1:5" x14ac:dyDescent="0.55000000000000004">
      <c r="A146" s="25">
        <v>62.25</v>
      </c>
      <c r="B146" s="4">
        <f t="shared" si="13"/>
        <v>2.9433677605367921</v>
      </c>
      <c r="C146" s="4">
        <f t="shared" si="14"/>
        <v>5.3186298618980672</v>
      </c>
      <c r="D146" s="4">
        <f t="shared" si="12"/>
        <v>194.72558662243586</v>
      </c>
      <c r="E146" s="4">
        <f t="shared" si="15"/>
        <v>178.1858227457995</v>
      </c>
    </row>
    <row r="147" spans="1:5" x14ac:dyDescent="0.55000000000000004">
      <c r="A147" s="25">
        <v>62.5</v>
      </c>
      <c r="B147" s="4">
        <f t="shared" si="13"/>
        <v>2.9410739326145596</v>
      </c>
      <c r="C147" s="4">
        <f t="shared" si="14"/>
        <v>5.3036702748378781</v>
      </c>
      <c r="D147" s="4">
        <f t="shared" si="12"/>
        <v>194.69756193927472</v>
      </c>
      <c r="E147" s="4">
        <f t="shared" si="15"/>
        <v>178.20431907351755</v>
      </c>
    </row>
    <row r="148" spans="1:5" x14ac:dyDescent="0.55000000000000004">
      <c r="A148" s="25">
        <v>62.75</v>
      </c>
      <c r="B148" s="4">
        <f t="shared" si="13"/>
        <v>2.9387893611313074</v>
      </c>
      <c r="C148" s="4">
        <f t="shared" si="14"/>
        <v>5.2888152508326511</v>
      </c>
      <c r="D148" s="4">
        <f t="shared" si="12"/>
        <v>194.66954303651951</v>
      </c>
      <c r="E148" s="4">
        <f t="shared" si="15"/>
        <v>178.22249601364064</v>
      </c>
    </row>
    <row r="149" spans="1:5" x14ac:dyDescent="0.55000000000000004">
      <c r="A149" s="25">
        <v>63</v>
      </c>
      <c r="B149" s="4">
        <f t="shared" si="13"/>
        <v>2.9365139707829391</v>
      </c>
      <c r="C149" s="4">
        <f t="shared" si="14"/>
        <v>5.2740636458448114</v>
      </c>
      <c r="D149" s="4">
        <f t="shared" si="12"/>
        <v>194.64153041794273</v>
      </c>
      <c r="E149" s="4">
        <f t="shared" si="15"/>
        <v>178.24035762764549</v>
      </c>
    </row>
    <row r="150" spans="1:5" x14ac:dyDescent="0.55000000000000004">
      <c r="A150" s="25">
        <v>63.25</v>
      </c>
      <c r="B150" s="4">
        <f t="shared" si="13"/>
        <v>2.9342476871758185</v>
      </c>
      <c r="C150" s="4">
        <f t="shared" si="14"/>
        <v>5.2594143328425424</v>
      </c>
      <c r="D150" s="4">
        <f t="shared" si="12"/>
        <v>194.61352457590581</v>
      </c>
      <c r="E150" s="4">
        <f t="shared" si="15"/>
        <v>178.25790791271348</v>
      </c>
    </row>
    <row r="151" spans="1:5" x14ac:dyDescent="0.55000000000000004">
      <c r="A151" s="25">
        <v>63.5</v>
      </c>
      <c r="B151" s="4">
        <f t="shared" si="13"/>
        <v>2.9319904368121965</v>
      </c>
      <c r="C151" s="4">
        <f t="shared" si="14"/>
        <v>5.2448662014808054</v>
      </c>
      <c r="D151" s="4">
        <f t="shared" si="12"/>
        <v>194.58552599161587</v>
      </c>
      <c r="E151" s="4">
        <f t="shared" si="15"/>
        <v>178.27515080297943</v>
      </c>
    </row>
    <row r="152" spans="1:5" x14ac:dyDescent="0.55000000000000004">
      <c r="A152" s="25">
        <v>63.75</v>
      </c>
      <c r="B152" s="4">
        <f t="shared" si="13"/>
        <v>2.9297421470759364</v>
      </c>
      <c r="C152" s="4">
        <f t="shared" si="14"/>
        <v>5.2304181577897291</v>
      </c>
      <c r="D152" s="4">
        <f t="shared" si="12"/>
        <v>194.55753513537604</v>
      </c>
      <c r="E152" s="4">
        <f t="shared" si="15"/>
        <v>178.29209017075121</v>
      </c>
    </row>
    <row r="153" spans="1:5" x14ac:dyDescent="0.55000000000000004">
      <c r="A153" s="25">
        <v>64</v>
      </c>
      <c r="B153" s="4">
        <f t="shared" si="13"/>
        <v>2.9275027462185075</v>
      </c>
      <c r="C153" s="4">
        <f t="shared" si="14"/>
        <v>5.2160691238698442</v>
      </c>
      <c r="D153" s="4">
        <f t="shared" si="12"/>
        <v>194.5295524668295</v>
      </c>
      <c r="E153" s="4">
        <f t="shared" si="15"/>
        <v>178.30872982770111</v>
      </c>
    </row>
    <row r="154" spans="1:5" x14ac:dyDescent="0.55000000000000004">
      <c r="A154" s="25">
        <v>64.25</v>
      </c>
      <c r="B154" s="4">
        <f t="shared" si="13"/>
        <v>2.9252721633452685</v>
      </c>
      <c r="C154" s="4">
        <f t="shared" si="14"/>
        <v>5.2018180375942835</v>
      </c>
      <c r="D154" s="4">
        <f t="shared" si="12"/>
        <v>194.50157843519744</v>
      </c>
      <c r="E154" s="4">
        <f t="shared" si="15"/>
        <v>178.32507352603028</v>
      </c>
    </row>
    <row r="155" spans="1:5" x14ac:dyDescent="0.55000000000000004">
      <c r="A155" s="25">
        <v>64.5</v>
      </c>
      <c r="B155" s="4">
        <f t="shared" si="13"/>
        <v>2.9230503284020086</v>
      </c>
      <c r="C155" s="4">
        <f t="shared" si="14"/>
        <v>5.1876638523175735</v>
      </c>
      <c r="D155" s="4">
        <f t="shared" si="12"/>
        <v>194.47361347951124</v>
      </c>
      <c r="E155" s="4">
        <f t="shared" si="15"/>
        <v>178.34112495960628</v>
      </c>
    </row>
    <row r="156" spans="1:5" x14ac:dyDescent="0.55000000000000004">
      <c r="A156" s="25">
        <v>64.75</v>
      </c>
      <c r="B156" s="4">
        <f t="shared" si="13"/>
        <v>2.920837172161765</v>
      </c>
      <c r="C156" s="4">
        <f t="shared" si="14"/>
        <v>5.1736055365909435</v>
      </c>
      <c r="D156" s="4">
        <f t="shared" si="12"/>
        <v>194.44565802883858</v>
      </c>
      <c r="E156" s="4">
        <f t="shared" si="15"/>
        <v>178.35688776507462</v>
      </c>
    </row>
    <row r="157" spans="1:5" x14ac:dyDescent="0.55000000000000004">
      <c r="A157" s="25">
        <v>65</v>
      </c>
      <c r="B157" s="4">
        <f t="shared" si="13"/>
        <v>2.9186326262118829</v>
      </c>
      <c r="C157" s="4">
        <f t="shared" si="14"/>
        <v>5.1596420738839033</v>
      </c>
      <c r="D157" s="4">
        <f t="shared" si="12"/>
        <v>194.41771250250437</v>
      </c>
      <c r="E157" s="4">
        <f t="shared" si="15"/>
        <v>178.37236552294547</v>
      </c>
    </row>
    <row r="158" spans="1:5" x14ac:dyDescent="0.55000000000000004">
      <c r="A158" s="25">
        <v>65.25</v>
      </c>
      <c r="B158" s="4">
        <f t="shared" si="13"/>
        <v>2.9164366229413408</v>
      </c>
      <c r="C158" s="4">
        <f t="shared" si="14"/>
        <v>5.1457724623119949</v>
      </c>
      <c r="D158" s="4">
        <f t="shared" si="12"/>
        <v>194.38977731030602</v>
      </c>
      <c r="E158" s="4">
        <f t="shared" si="15"/>
        <v>178.38756175865552</v>
      </c>
    </row>
    <row r="159" spans="1:5" x14ac:dyDescent="0.55000000000000004">
      <c r="A159" s="25">
        <v>65.5</v>
      </c>
      <c r="B159" s="4">
        <f t="shared" si="13"/>
        <v>2.9142490955283109</v>
      </c>
      <c r="C159" s="4">
        <f t="shared" si="14"/>
        <v>5.1319957143705865</v>
      </c>
      <c r="D159" s="4">
        <f t="shared" si="12"/>
        <v>194.36185285272353</v>
      </c>
      <c r="E159" s="4">
        <f t="shared" si="15"/>
        <v>178.40247994360607</v>
      </c>
    </row>
    <row r="160" spans="1:5" x14ac:dyDescent="0.55000000000000004">
      <c r="A160" s="25">
        <v>65.75</v>
      </c>
      <c r="B160" s="4">
        <f t="shared" si="13"/>
        <v>2.9120699779279628</v>
      </c>
      <c r="C160" s="4">
        <f t="shared" si="14"/>
        <v>5.1183108566743671</v>
      </c>
      <c r="D160" s="4">
        <f t="shared" si="12"/>
        <v>194.33393952112414</v>
      </c>
      <c r="E160" s="4">
        <f t="shared" si="15"/>
        <v>178.41712349617762</v>
      </c>
    </row>
    <row r="161" spans="1:6" x14ac:dyDescent="0.55000000000000004">
      <c r="A161" s="25">
        <v>66</v>
      </c>
      <c r="B161" s="4">
        <f t="shared" si="13"/>
        <v>2.9098992048605035</v>
      </c>
      <c r="C161" s="4">
        <f t="shared" si="14"/>
        <v>5.1047169297026924</v>
      </c>
      <c r="D161" s="4">
        <f t="shared" si="12"/>
        <v>194.30603769796267</v>
      </c>
      <c r="E161" s="4">
        <f t="shared" si="15"/>
        <v>178.43149578272218</v>
      </c>
      <c r="F161" s="25"/>
    </row>
    <row r="162" spans="1:6" x14ac:dyDescent="0.55000000000000004">
      <c r="A162" s="25">
        <v>66.25</v>
      </c>
      <c r="B162" s="4">
        <f t="shared" si="13"/>
        <v>2.9077367117994406</v>
      </c>
      <c r="C162" s="4">
        <f t="shared" si="14"/>
        <v>5.0912129875503354</v>
      </c>
      <c r="D162" s="4">
        <f t="shared" si="12"/>
        <v>194.27814775697618</v>
      </c>
      <c r="E162" s="4">
        <f t="shared" si="15"/>
        <v>178.44560011853315</v>
      </c>
      <c r="F162" s="25"/>
    </row>
    <row r="163" spans="1:6" x14ac:dyDescent="0.55000000000000004">
      <c r="A163" s="25">
        <v>66.5</v>
      </c>
      <c r="B163" s="4">
        <f t="shared" si="13"/>
        <v>2.9055824349600798</v>
      </c>
      <c r="C163" s="4">
        <f t="shared" si="14"/>
        <v>5.0777980976837584</v>
      </c>
      <c r="D163" s="4">
        <f t="shared" si="12"/>
        <v>194.25027006337453</v>
      </c>
      <c r="E163" s="4">
        <f t="shared" si="15"/>
        <v>178.45943976879366</v>
      </c>
      <c r="F163" s="25"/>
    </row>
    <row r="164" spans="1:6" x14ac:dyDescent="0.55000000000000004">
      <c r="A164" s="25">
        <v>66.75</v>
      </c>
      <c r="B164" s="4">
        <f t="shared" si="13"/>
        <v>2.9034363112882247</v>
      </c>
      <c r="C164" s="4">
        <f t="shared" si="14"/>
        <v>5.0644713407025028</v>
      </c>
      <c r="D164" s="4">
        <f t="shared" si="12"/>
        <v>194.22240497402603</v>
      </c>
      <c r="E164" s="4">
        <f t="shared" si="15"/>
        <v>178.47301794950431</v>
      </c>
      <c r="F164" s="25"/>
    </row>
    <row r="165" spans="1:6" x14ac:dyDescent="0.55000000000000004">
      <c r="A165" s="25">
        <v>67</v>
      </c>
      <c r="B165" s="4">
        <f t="shared" si="13"/>
        <v>2.9012982784491039</v>
      </c>
      <c r="C165" s="4">
        <f t="shared" si="14"/>
        <v>5.0512318101058513</v>
      </c>
      <c r="D165" s="4">
        <f t="shared" si="12"/>
        <v>194.19455283763875</v>
      </c>
      <c r="E165" s="4">
        <f t="shared" si="15"/>
        <v>178.48633782839013</v>
      </c>
      <c r="F165" s="25"/>
    </row>
    <row r="166" spans="1:6" x14ac:dyDescent="0.55000000000000004">
      <c r="A166" s="25">
        <v>67.25</v>
      </c>
      <c r="B166" s="4">
        <f t="shared" si="13"/>
        <v>2.8991682748165046</v>
      </c>
      <c r="C166" s="4">
        <f t="shared" si="14"/>
        <v>5.0380786120644281</v>
      </c>
      <c r="D166" s="4">
        <f t="shared" si="12"/>
        <v>194.16671399493762</v>
      </c>
      <c r="E166" s="4">
        <f t="shared" si="15"/>
        <v>178.49940252578801</v>
      </c>
      <c r="F166" s="25"/>
    </row>
    <row r="167" spans="1:6" x14ac:dyDescent="0.55000000000000004">
      <c r="A167" s="25">
        <v>67.5</v>
      </c>
      <c r="B167" s="4">
        <f t="shared" si="13"/>
        <v>2.8970462394621035</v>
      </c>
      <c r="C167" s="4">
        <f t="shared" si="14"/>
        <v>5.0250108651966761</v>
      </c>
      <c r="D167" s="4">
        <f t="shared" si="12"/>
        <v>194.13888877883667</v>
      </c>
      <c r="E167" s="4">
        <f t="shared" si="15"/>
        <v>178.51221511551381</v>
      </c>
      <c r="F167" s="25"/>
    </row>
    <row r="168" spans="1:6" x14ac:dyDescent="0.55000000000000004">
      <c r="A168" s="25">
        <v>67.75</v>
      </c>
      <c r="B168" s="4">
        <f t="shared" si="13"/>
        <v>2.8949321121450025</v>
      </c>
      <c r="C168" s="4">
        <f t="shared" si="14"/>
        <v>5.0120277003500648</v>
      </c>
      <c r="D168" s="4">
        <f t="shared" si="12"/>
        <v>194.11107751460816</v>
      </c>
      <c r="E168" s="4">
        <f t="shared" si="15"/>
        <v>178.52477862571217</v>
      </c>
      <c r="F168" s="25"/>
    </row>
    <row r="169" spans="1:6" x14ac:dyDescent="0.55000000000000004">
      <c r="A169" s="25">
        <v>68</v>
      </c>
      <c r="B169" s="4">
        <f t="shared" si="13"/>
        <v>2.8928258333014591</v>
      </c>
      <c r="C169" s="4">
        <f t="shared" si="14"/>
        <v>4.9991282603869935</v>
      </c>
      <c r="D169" s="4">
        <f t="shared" si="12"/>
        <v>194.08328052004663</v>
      </c>
      <c r="E169" s="4">
        <f t="shared" si="15"/>
        <v>178.53709603968633</v>
      </c>
      <c r="F169" s="25"/>
    </row>
    <row r="170" spans="1:6" x14ac:dyDescent="0.55000000000000004">
      <c r="A170" s="25">
        <v>68.25</v>
      </c>
      <c r="B170" s="4">
        <f t="shared" si="13"/>
        <v>2.8907273440348069</v>
      </c>
      <c r="C170" s="4">
        <f t="shared" si="14"/>
        <v>4.9863116999751913</v>
      </c>
      <c r="D170" s="4">
        <f t="shared" si="12"/>
        <v>194.05549810563008</v>
      </c>
      <c r="E170" s="4">
        <f t="shared" si="15"/>
        <v>178.54917029671074</v>
      </c>
      <c r="F170" s="25"/>
    </row>
    <row r="171" spans="1:6" x14ac:dyDescent="0.55000000000000004">
      <c r="A171" s="25">
        <v>68.5</v>
      </c>
      <c r="B171" s="4">
        <f t="shared" si="13"/>
        <v>2.8886365861055618</v>
      </c>
      <c r="C171" s="4">
        <f t="shared" si="14"/>
        <v>4.9735771853824939</v>
      </c>
      <c r="D171" s="4">
        <f t="shared" si="12"/>
        <v>194.02773057467647</v>
      </c>
      <c r="E171" s="4">
        <f t="shared" si="15"/>
        <v>178.56100429282625</v>
      </c>
      <c r="F171" s="25"/>
    </row>
    <row r="172" spans="1:6" x14ac:dyDescent="0.55000000000000004">
      <c r="A172" s="25">
        <v>68.75</v>
      </c>
      <c r="B172" s="4">
        <f t="shared" si="13"/>
        <v>2.8865535019217128</v>
      </c>
      <c r="C172" s="4">
        <f t="shared" si="14"/>
        <v>4.9609238942759779</v>
      </c>
      <c r="D172" s="4">
        <f t="shared" si="12"/>
        <v>193.99997822349707</v>
      </c>
      <c r="E172" s="4">
        <f t="shared" si="15"/>
        <v>178.57260088161794</v>
      </c>
      <c r="F172" s="25"/>
    </row>
    <row r="173" spans="1:6" x14ac:dyDescent="0.55000000000000004">
      <c r="A173" s="25">
        <v>69</v>
      </c>
      <c r="B173" s="4">
        <f t="shared" si="13"/>
        <v>2.8844780345291858</v>
      </c>
      <c r="C173" s="4">
        <f t="shared" si="14"/>
        <v>4.9483510155252288</v>
      </c>
      <c r="D173" s="4">
        <f t="shared" si="12"/>
        <v>193.97224134154601</v>
      </c>
      <c r="E173" s="4">
        <f t="shared" si="15"/>
        <v>178.58396287497624</v>
      </c>
      <c r="F173" s="25"/>
    </row>
    <row r="174" spans="1:6" x14ac:dyDescent="0.55000000000000004">
      <c r="A174" s="25">
        <v>69.25</v>
      </c>
      <c r="B174" s="4">
        <f t="shared" si="13"/>
        <v>2.8824101276024896</v>
      </c>
      <c r="C174" s="4">
        <f t="shared" si="14"/>
        <v>4.9358577490097808</v>
      </c>
      <c r="D174" s="4">
        <f t="shared" si="12"/>
        <v>193.94452021156633</v>
      </c>
      <c r="E174" s="4">
        <f t="shared" si="15"/>
        <v>178.5950930438421</v>
      </c>
      <c r="F174" s="25"/>
    </row>
    <row r="175" spans="1:6" x14ac:dyDescent="0.55000000000000004">
      <c r="A175" s="25">
        <v>69.5</v>
      </c>
      <c r="B175" s="4">
        <f t="shared" si="13"/>
        <v>2.8803497254355248</v>
      </c>
      <c r="C175" s="4">
        <f t="shared" si="14"/>
        <v>4.9234433054304425</v>
      </c>
      <c r="D175" s="4">
        <f t="shared" si="12"/>
        <v>193.91681510973268</v>
      </c>
      <c r="E175" s="4">
        <f t="shared" si="15"/>
        <v>178.60599411893631</v>
      </c>
      <c r="F175" s="25"/>
    </row>
    <row r="176" spans="1:6" x14ac:dyDescent="0.55000000000000004">
      <c r="A176" s="11">
        <f>E5</f>
        <v>25.777916027744954</v>
      </c>
      <c r="B176" s="11">
        <f t="shared" si="13"/>
        <v>3.4525060630765396</v>
      </c>
      <c r="C176" s="11">
        <f t="shared" si="14"/>
        <v>10.001513484767967</v>
      </c>
      <c r="D176" s="11">
        <f t="shared" si="12"/>
        <v>197.99148706743787</v>
      </c>
      <c r="E176" s="11">
        <f t="shared" si="15"/>
        <v>166.8889896682258</v>
      </c>
      <c r="F176" s="2" t="s">
        <v>61</v>
      </c>
    </row>
    <row r="177" spans="1:5" x14ac:dyDescent="0.55000000000000004">
      <c r="A177" s="25">
        <v>69.75</v>
      </c>
      <c r="B177" s="4">
        <f t="shared" si="13"/>
        <v>2.8782967729325679</v>
      </c>
      <c r="C177" s="4">
        <f t="shared" si="14"/>
        <v>4.9111069061246626</v>
      </c>
      <c r="D177" s="4">
        <f t="shared" si="12"/>
        <v>193.88912630579074</v>
      </c>
      <c r="E177" s="4">
        <f t="shared" si="15"/>
        <v>178.61666879147299</v>
      </c>
    </row>
    <row r="178" spans="1:5" x14ac:dyDescent="0.55000000000000004">
      <c r="A178" s="25">
        <v>70</v>
      </c>
      <c r="B178" s="4">
        <f t="shared" si="13"/>
        <v>2.8762512155994076</v>
      </c>
      <c r="C178" s="4">
        <f t="shared" si="14"/>
        <v>4.8988477828855395</v>
      </c>
      <c r="D178" s="4">
        <f t="shared" si="12"/>
        <v>193.86145406319309</v>
      </c>
      <c r="E178" s="4">
        <f t="shared" si="15"/>
        <v>178.62711971385855</v>
      </c>
    </row>
    <row r="179" spans="1:5" x14ac:dyDescent="0.55000000000000004">
      <c r="A179" s="25">
        <v>70.25</v>
      </c>
      <c r="B179" s="4">
        <f t="shared" si="13"/>
        <v>2.8742129995346524</v>
      </c>
      <c r="C179" s="4">
        <f t="shared" si="14"/>
        <v>4.8866651777846677</v>
      </c>
      <c r="D179" s="4">
        <f t="shared" si="12"/>
        <v>193.83379863923244</v>
      </c>
      <c r="E179" s="4">
        <f t="shared" si="15"/>
        <v>178.63734950037556</v>
      </c>
    </row>
    <row r="180" spans="1:5" x14ac:dyDescent="0.55000000000000004">
      <c r="A180" s="25">
        <v>70.5</v>
      </c>
      <c r="B180" s="4">
        <f t="shared" si="13"/>
        <v>2.8721820714211863</v>
      </c>
      <c r="C180" s="4">
        <f t="shared" si="14"/>
        <v>4.8745583429985535</v>
      </c>
      <c r="D180" s="4">
        <f t="shared" si="12"/>
        <v>193.80616028517147</v>
      </c>
      <c r="E180" s="4">
        <f t="shared" si="15"/>
        <v>178.64736072785252</v>
      </c>
    </row>
    <row r="181" spans="1:5" x14ac:dyDescent="0.55000000000000004">
      <c r="A181" s="25">
        <v>70.75</v>
      </c>
      <c r="B181" s="4">
        <f t="shared" si="13"/>
        <v>2.8701583785177842</v>
      </c>
      <c r="C181" s="4">
        <f t="shared" si="14"/>
        <v>4.8625265406385694</v>
      </c>
      <c r="D181" s="4">
        <f t="shared" si="12"/>
        <v>193.77853924636952</v>
      </c>
      <c r="E181" s="4">
        <f t="shared" si="15"/>
        <v>178.65715593631944</v>
      </c>
    </row>
    <row r="182" spans="1:5" x14ac:dyDescent="0.55000000000000004">
      <c r="A182" s="25">
        <v>71</v>
      </c>
      <c r="B182" s="4">
        <f t="shared" si="13"/>
        <v>2.8681418686508682</v>
      </c>
      <c r="C182" s="4">
        <f t="shared" si="14"/>
        <v>4.8505690425843468</v>
      </c>
      <c r="D182" s="4">
        <f t="shared" si="12"/>
        <v>193.75093576240678</v>
      </c>
      <c r="E182" s="4">
        <f t="shared" si="15"/>
        <v>178.66673762965002</v>
      </c>
    </row>
    <row r="183" spans="1:5" x14ac:dyDescent="0.55000000000000004">
      <c r="A183" s="25">
        <v>71.25</v>
      </c>
      <c r="B183" s="4">
        <f t="shared" si="13"/>
        <v>2.866132490206418</v>
      </c>
      <c r="C183" s="4">
        <f t="shared" si="14"/>
        <v>4.8386851303205773</v>
      </c>
      <c r="D183" s="4">
        <f t="shared" si="12"/>
        <v>193.72335006720553</v>
      </c>
      <c r="E183" s="4">
        <f t="shared" si="15"/>
        <v>178.67610827619038</v>
      </c>
    </row>
    <row r="184" spans="1:5" x14ac:dyDescent="0.55000000000000004">
      <c r="A184" s="25">
        <v>71.5</v>
      </c>
      <c r="B184" s="4">
        <f t="shared" si="13"/>
        <v>2.8641301921220226</v>
      </c>
      <c r="C184" s="4">
        <f t="shared" si="14"/>
        <v>4.8268740947770565</v>
      </c>
      <c r="D184" s="4">
        <f t="shared" si="12"/>
        <v>193.69578238914815</v>
      </c>
      <c r="E184" s="4">
        <f t="shared" si="15"/>
        <v>178.6852703093746</v>
      </c>
    </row>
    <row r="185" spans="1:5" x14ac:dyDescent="0.55000000000000004">
      <c r="A185" s="25">
        <v>71.75</v>
      </c>
      <c r="B185" s="4">
        <f t="shared" si="13"/>
        <v>2.8621349238790716</v>
      </c>
      <c r="C185" s="4">
        <f t="shared" si="14"/>
        <v>4.8151352361719919</v>
      </c>
      <c r="D185" s="4">
        <f t="shared" si="12"/>
        <v>193.66823295119323</v>
      </c>
      <c r="E185" s="4">
        <f t="shared" si="15"/>
        <v>178.69422612832804</v>
      </c>
    </row>
    <row r="186" spans="1:5" x14ac:dyDescent="0.55000000000000004">
      <c r="A186" s="25">
        <v>72</v>
      </c>
      <c r="B186" s="4">
        <f t="shared" si="13"/>
        <v>2.8601466354950826</v>
      </c>
      <c r="C186" s="4">
        <f t="shared" si="14"/>
        <v>4.8034678638583985</v>
      </c>
      <c r="D186" s="4">
        <f t="shared" si="12"/>
        <v>193.64070197098832</v>
      </c>
      <c r="E186" s="4">
        <f t="shared" si="15"/>
        <v>178.70297809845778</v>
      </c>
    </row>
    <row r="187" spans="1:5" x14ac:dyDescent="0.55000000000000004">
      <c r="A187" s="25">
        <v>72.25</v>
      </c>
      <c r="B187" s="4">
        <f t="shared" si="13"/>
        <v>2.8581652775161666</v>
      </c>
      <c r="C187" s="4">
        <f t="shared" si="14"/>
        <v>4.7918712961735785</v>
      </c>
      <c r="D187" s="4">
        <f t="shared" si="12"/>
        <v>193.61318966098068</v>
      </c>
      <c r="E187" s="4">
        <f t="shared" si="15"/>
        <v>178.7115285520315</v>
      </c>
    </row>
    <row r="188" spans="1:5" x14ac:dyDescent="0.55000000000000004">
      <c r="A188" s="25">
        <v>72.5</v>
      </c>
      <c r="B188" s="4">
        <f t="shared" si="13"/>
        <v>2.856190801009622</v>
      </c>
      <c r="C188" s="4">
        <f t="shared" si="14"/>
        <v>4.7803448602916072</v>
      </c>
      <c r="D188" s="4">
        <f t="shared" si="12"/>
        <v>193.58569622852497</v>
      </c>
      <c r="E188" s="4">
        <f t="shared" si="15"/>
        <v>178.71987978874381</v>
      </c>
    </row>
    <row r="189" spans="1:5" x14ac:dyDescent="0.55000000000000004">
      <c r="A189" s="25">
        <v>72.75</v>
      </c>
      <c r="B189" s="4">
        <f t="shared" si="13"/>
        <v>2.8542231575566595</v>
      </c>
      <c r="C189" s="4">
        <f t="shared" si="14"/>
        <v>4.7688878920787081</v>
      </c>
      <c r="D189" s="4">
        <f t="shared" si="12"/>
        <v>193.55822187598912</v>
      </c>
      <c r="E189" s="4">
        <f t="shared" si="15"/>
        <v>178.72803407627202</v>
      </c>
    </row>
    <row r="190" spans="1:5" x14ac:dyDescent="0.55000000000000004">
      <c r="A190" s="25">
        <v>73</v>
      </c>
      <c r="B190" s="4">
        <f t="shared" si="13"/>
        <v>2.8522622992452513</v>
      </c>
      <c r="C190" s="4">
        <f t="shared" si="14"/>
        <v>4.7574997359515185</v>
      </c>
      <c r="D190" s="4">
        <f t="shared" si="12"/>
        <v>193.53076680085746</v>
      </c>
      <c r="E190" s="4">
        <f t="shared" si="15"/>
        <v>178.73599365081986</v>
      </c>
    </row>
    <row r="191" spans="1:5" x14ac:dyDescent="0.55000000000000004">
      <c r="A191" s="25">
        <v>73.25</v>
      </c>
      <c r="B191" s="4">
        <f t="shared" si="13"/>
        <v>2.8503081786631053</v>
      </c>
      <c r="C191" s="4">
        <f t="shared" si="14"/>
        <v>4.7461797447381002</v>
      </c>
      <c r="D191" s="4">
        <f t="shared" si="12"/>
        <v>193.50333119583149</v>
      </c>
      <c r="E191" s="4">
        <f t="shared" si="15"/>
        <v>178.74376071765056</v>
      </c>
    </row>
    <row r="192" spans="1:5" x14ac:dyDescent="0.55000000000000004">
      <c r="A192" s="25">
        <v>73.5</v>
      </c>
      <c r="B192" s="4">
        <f t="shared" si="13"/>
        <v>2.8483607488907623</v>
      </c>
      <c r="C192" s="4">
        <f t="shared" si="14"/>
        <v>4.7349272795417621</v>
      </c>
      <c r="D192" s="4">
        <f t="shared" si="12"/>
        <v>193.47591524892874</v>
      </c>
      <c r="E192" s="4">
        <f t="shared" si="15"/>
        <v>178.75133745160926</v>
      </c>
    </row>
    <row r="193" spans="1:5" x14ac:dyDescent="0.55000000000000004">
      <c r="A193" s="25">
        <v>73.75</v>
      </c>
      <c r="B193" s="4">
        <f t="shared" si="13"/>
        <v>2.8464199634948062</v>
      </c>
      <c r="C193" s="4">
        <f t="shared" si="14"/>
        <v>4.7237417096073706</v>
      </c>
      <c r="D193" s="4">
        <f t="shared" si="12"/>
        <v>193.44851914357889</v>
      </c>
      <c r="E193" s="4">
        <f t="shared" si="15"/>
        <v>178.75872599763471</v>
      </c>
    </row>
    <row r="194" spans="1:5" x14ac:dyDescent="0.55000000000000004">
      <c r="A194" s="25">
        <v>74</v>
      </c>
      <c r="B194" s="4">
        <f t="shared" si="13"/>
        <v>2.8444857765211951</v>
      </c>
      <c r="C194" s="4">
        <f t="shared" si="14"/>
        <v>4.7126224121904974</v>
      </c>
      <c r="D194" s="4">
        <f t="shared" si="12"/>
        <v>193.42114305871831</v>
      </c>
      <c r="E194" s="4">
        <f t="shared" si="15"/>
        <v>178.76592847126088</v>
      </c>
    </row>
    <row r="195" spans="1:5" x14ac:dyDescent="0.55000000000000004">
      <c r="A195" s="25">
        <v>74.25</v>
      </c>
      <c r="B195" s="4">
        <f t="shared" si="13"/>
        <v>2.8425581424887083</v>
      </c>
      <c r="C195" s="4">
        <f t="shared" si="14"/>
        <v>4.701568772428911</v>
      </c>
      <c r="D195" s="4">
        <f t="shared" si="12"/>
        <v>193.39378716888223</v>
      </c>
      <c r="E195" s="4">
        <f t="shared" si="15"/>
        <v>178.77294695910876</v>
      </c>
    </row>
    <row r="196" spans="1:5" x14ac:dyDescent="0.55000000000000004">
      <c r="A196" s="25">
        <v>74.5</v>
      </c>
      <c r="B196" s="4">
        <f t="shared" si="13"/>
        <v>2.8406370163824954</v>
      </c>
      <c r="C196" s="4">
        <f t="shared" si="14"/>
        <v>4.6905801832166416</v>
      </c>
      <c r="D196" s="4">
        <f t="shared" si="12"/>
        <v>193.36645164429484</v>
      </c>
      <c r="E196" s="4">
        <f t="shared" si="15"/>
        <v>178.77978351936795</v>
      </c>
    </row>
    <row r="197" spans="1:5" x14ac:dyDescent="0.55000000000000004">
      <c r="A197" s="25">
        <v>74.75</v>
      </c>
      <c r="B197" s="4">
        <f t="shared" si="13"/>
        <v>2.8387223536477459</v>
      </c>
      <c r="C197" s="4">
        <f t="shared" si="14"/>
        <v>4.6796560450804705</v>
      </c>
      <c r="D197" s="4">
        <f t="shared" si="12"/>
        <v>193.33913665095758</v>
      </c>
      <c r="E197" s="4">
        <f t="shared" si="15"/>
        <v>178.78644018226919</v>
      </c>
    </row>
    <row r="198" spans="1:5" x14ac:dyDescent="0.55000000000000004">
      <c r="A198" s="25">
        <v>75</v>
      </c>
      <c r="B198" s="4">
        <f t="shared" si="13"/>
        <v>2.8368141101834548</v>
      </c>
      <c r="C198" s="4">
        <f t="shared" si="14"/>
        <v>4.6687957660587509</v>
      </c>
      <c r="D198" s="4">
        <f t="shared" si="12"/>
        <v>193.31184235073522</v>
      </c>
      <c r="E198" s="4">
        <f t="shared" si="15"/>
        <v>178.79291895054712</v>
      </c>
    </row>
    <row r="199" spans="1:5" x14ac:dyDescent="0.55000000000000004">
      <c r="A199" s="25">
        <v>75.25</v>
      </c>
      <c r="B199" s="4">
        <f t="shared" si="13"/>
        <v>2.834912242336308</v>
      </c>
      <c r="C199" s="4">
        <f t="shared" si="14"/>
        <v>4.6579987615826512</v>
      </c>
      <c r="D199" s="4">
        <f t="shared" si="12"/>
        <v>193.28456890144039</v>
      </c>
      <c r="E199" s="4">
        <f t="shared" si="15"/>
        <v>178.7992217998943</v>
      </c>
    </row>
    <row r="200" spans="1:5" x14ac:dyDescent="0.55000000000000004">
      <c r="A200" s="25">
        <v>75.5</v>
      </c>
      <c r="B200" s="4">
        <f t="shared" si="13"/>
        <v>2.8330167068946501</v>
      </c>
      <c r="C200" s="4">
        <f t="shared" si="14"/>
        <v>4.6472644543594912</v>
      </c>
      <c r="D200" s="4">
        <f t="shared" si="12"/>
        <v>193.25731645691587</v>
      </c>
      <c r="E200" s="4">
        <f t="shared" si="15"/>
        <v>178.80535067940633</v>
      </c>
    </row>
    <row r="201" spans="1:5" x14ac:dyDescent="0.55000000000000004">
      <c r="A201" s="25">
        <v>75.75</v>
      </c>
      <c r="B201" s="4">
        <f t="shared" si="13"/>
        <v>2.8311274610825707</v>
      </c>
      <c r="C201" s="4">
        <f t="shared" si="14"/>
        <v>4.636592274258466</v>
      </c>
      <c r="D201" s="4">
        <f t="shared" si="12"/>
        <v>193.23008516711548</v>
      </c>
      <c r="E201" s="4">
        <f t="shared" si="15"/>
        <v>178.81130751201781</v>
      </c>
    </row>
    <row r="202" spans="1:5" x14ac:dyDescent="0.55000000000000004">
      <c r="A202" s="25">
        <v>76</v>
      </c>
      <c r="B202" s="4">
        <f t="shared" si="13"/>
        <v>2.829244462554084</v>
      </c>
      <c r="C202" s="4">
        <f t="shared" si="14"/>
        <v>4.6259816581984659</v>
      </c>
      <c r="D202" s="4">
        <f t="shared" si="12"/>
        <v>193.20287517818301</v>
      </c>
      <c r="E202" s="4">
        <f t="shared" si="15"/>
        <v>178.81709419493029</v>
      </c>
    </row>
    <row r="203" spans="1:5" x14ac:dyDescent="0.55000000000000004">
      <c r="A203" s="25">
        <v>76.25</v>
      </c>
      <c r="B203" s="4">
        <f t="shared" si="13"/>
        <v>2.8273676693873964</v>
      </c>
      <c r="C203" s="4">
        <f t="shared" si="14"/>
        <v>4.6154320500380033</v>
      </c>
      <c r="D203" s="4">
        <f t="shared" si="12"/>
        <v>193.17568663252922</v>
      </c>
      <c r="E203" s="4">
        <f t="shared" si="15"/>
        <v>178.82271260003182</v>
      </c>
    </row>
    <row r="204" spans="1:5" x14ac:dyDescent="0.55000000000000004">
      <c r="A204" s="25">
        <v>76.5</v>
      </c>
      <c r="B204" s="4">
        <f t="shared" si="13"/>
        <v>2.8254970400792851</v>
      </c>
      <c r="C204" s="4">
        <f t="shared" si="14"/>
        <v>4.6049429004672309</v>
      </c>
      <c r="D204" s="4">
        <f t="shared" si="12"/>
        <v>193.14851966890771</v>
      </c>
      <c r="E204" s="4">
        <f t="shared" si="15"/>
        <v>178.82816457430826</v>
      </c>
    </row>
    <row r="205" spans="1:5" x14ac:dyDescent="0.55000000000000004">
      <c r="A205" s="25">
        <v>76.75</v>
      </c>
      <c r="B205" s="4">
        <f t="shared" si="13"/>
        <v>2.8236325335395538</v>
      </c>
      <c r="C205" s="4">
        <f t="shared" si="14"/>
        <v>4.5945136669019879</v>
      </c>
      <c r="D205" s="4">
        <f t="shared" si="12"/>
        <v>193.12137442248874</v>
      </c>
      <c r="E205" s="4">
        <f t="shared" si="15"/>
        <v>178.83345194024668</v>
      </c>
    </row>
    <row r="206" spans="1:5" x14ac:dyDescent="0.55000000000000004">
      <c r="A206" s="25">
        <v>77</v>
      </c>
      <c r="B206" s="4">
        <f t="shared" si="13"/>
        <v>2.8217741090855895</v>
      </c>
      <c r="C206" s="4">
        <f t="shared" si="14"/>
        <v>4.5841438133798285</v>
      </c>
      <c r="D206" s="4">
        <f t="shared" si="12"/>
        <v>193.09425102493128</v>
      </c>
      <c r="E206" s="4">
        <f t="shared" si="15"/>
        <v>178.83857649623087</v>
      </c>
    </row>
    <row r="207" spans="1:5" x14ac:dyDescent="0.55000000000000004">
      <c r="A207" s="25">
        <v>77.25</v>
      </c>
      <c r="B207" s="4">
        <f t="shared" si="13"/>
        <v>2.8199217264370047</v>
      </c>
      <c r="C207" s="4">
        <f t="shared" si="14"/>
        <v>4.573832810457982</v>
      </c>
      <c r="D207" s="4">
        <f t="shared" ref="D207:D270" si="16">$B$6*$B$12/9.81*($B$9*SQRT(2/($B$9-1)*(2/($B$9+1))^(($B$9+1)/($B$9-1))*(1 - (A207/$B$3)^(($B$9-1)/$B$9))) + C207/$B$3*(A207 - $E$5))</f>
        <v>193.06714960445424</v>
      </c>
      <c r="E207" s="4">
        <f t="shared" si="15"/>
        <v>178.84354001692984</v>
      </c>
    </row>
    <row r="208" spans="1:5" x14ac:dyDescent="0.55000000000000004">
      <c r="A208" s="25">
        <v>77.5</v>
      </c>
      <c r="B208" s="4">
        <f t="shared" ref="B208:B271" si="17">SQRT(2/($B$9-1)*((A208/$B$3)^((1-$B$9)/$B$9) - 1))</f>
        <v>2.8180753457103696</v>
      </c>
      <c r="C208" s="4">
        <f t="shared" ref="C208:C271" si="18">1/B208*(2/($B$9+1)*(1 + ($B$9-1)/2*B208^2))^(($B$9+1)/(2*$B$9-2))</f>
        <v>4.5635801351132308</v>
      </c>
      <c r="D208" s="4">
        <f t="shared" si="16"/>
        <v>193.04007028590553</v>
      </c>
      <c r="E208" s="4">
        <f t="shared" ref="E208:E271" si="19">$B$6*$B$12/9.81*($B$9*SQRT(2/($B$9-1)*(2/($B$9+1))^(($B$9+1)/($B$9-1))*(1 - (A208/$B$3)^(($B$9-1)/$B$9))) + C208/$B$3*(A208 - $E$4))</f>
        <v>178.84834425367811</v>
      </c>
    </row>
    <row r="209" spans="1:5" x14ac:dyDescent="0.55000000000000004">
      <c r="A209" s="25">
        <v>77.75</v>
      </c>
      <c r="B209" s="4">
        <f t="shared" si="17"/>
        <v>2.8162349274140261</v>
      </c>
      <c r="C209" s="4">
        <f t="shared" si="18"/>
        <v>4.5533852706436111</v>
      </c>
      <c r="D209" s="4">
        <f t="shared" si="16"/>
        <v>193.01301319082961</v>
      </c>
      <c r="E209" s="4">
        <f t="shared" si="19"/>
        <v>178.85299093484909</v>
      </c>
    </row>
    <row r="210" spans="1:5" x14ac:dyDescent="0.55000000000000004">
      <c r="A210" s="25">
        <v>78</v>
      </c>
      <c r="B210" s="4">
        <f t="shared" si="17"/>
        <v>2.814400432442989</v>
      </c>
      <c r="C210" s="4">
        <f t="shared" si="18"/>
        <v>4.5432477065719405</v>
      </c>
      <c r="D210" s="4">
        <f t="shared" si="16"/>
        <v>192.98597843753407</v>
      </c>
      <c r="E210" s="4">
        <f t="shared" si="19"/>
        <v>178.85748176622172</v>
      </c>
    </row>
    <row r="211" spans="1:5" x14ac:dyDescent="0.55000000000000004">
      <c r="A211" s="25">
        <v>78.25</v>
      </c>
      <c r="B211" s="4">
        <f t="shared" si="17"/>
        <v>2.8125718220739304</v>
      </c>
      <c r="C211" s="4">
        <f t="shared" si="18"/>
        <v>4.5331669385511733</v>
      </c>
      <c r="D211" s="4">
        <f t="shared" si="16"/>
        <v>192.95896614115478</v>
      </c>
      <c r="E211" s="4">
        <f t="shared" si="19"/>
        <v>178.86181843133963</v>
      </c>
    </row>
    <row r="212" spans="1:5" x14ac:dyDescent="0.55000000000000004">
      <c r="A212" s="25">
        <v>78.5</v>
      </c>
      <c r="B212" s="4">
        <f t="shared" si="17"/>
        <v>2.8107490579602419</v>
      </c>
      <c r="C212" s="4">
        <f t="shared" si="18"/>
        <v>4.5231424682713808</v>
      </c>
      <c r="D212" s="4">
        <f t="shared" si="16"/>
        <v>192.9319764137187</v>
      </c>
      <c r="E212" s="4">
        <f t="shared" si="19"/>
        <v>178.86600259186363</v>
      </c>
    </row>
    <row r="213" spans="1:5" x14ac:dyDescent="0.55000000000000004">
      <c r="A213" s="25">
        <v>78.75</v>
      </c>
      <c r="B213" s="4">
        <f t="shared" si="17"/>
        <v>2.8089321021271796</v>
      </c>
      <c r="C213" s="4">
        <f t="shared" si="18"/>
        <v>4.51317380336857</v>
      </c>
      <c r="D213" s="4">
        <f t="shared" si="16"/>
        <v>192.90500936420673</v>
      </c>
      <c r="E213" s="4">
        <f t="shared" si="19"/>
        <v>178.87003588791796</v>
      </c>
    </row>
    <row r="214" spans="1:5" x14ac:dyDescent="0.55000000000000004">
      <c r="A214" s="25">
        <v>79</v>
      </c>
      <c r="B214" s="4">
        <f t="shared" si="17"/>
        <v>2.8071209169670843</v>
      </c>
      <c r="C214" s="4">
        <f t="shared" si="18"/>
        <v>4.5032604573350348</v>
      </c>
      <c r="D214" s="4">
        <f t="shared" si="16"/>
        <v>192.87806509861434</v>
      </c>
      <c r="E214" s="4">
        <f t="shared" si="19"/>
        <v>178.8739199384294</v>
      </c>
    </row>
    <row r="215" spans="1:5" x14ac:dyDescent="0.55000000000000004">
      <c r="A215" s="25">
        <v>79.25</v>
      </c>
      <c r="B215" s="4">
        <f t="shared" si="17"/>
        <v>2.8053154652346795</v>
      </c>
      <c r="C215" s="4">
        <f t="shared" si="18"/>
        <v>4.4934019494314361</v>
      </c>
      <c r="D215" s="4">
        <f t="shared" si="16"/>
        <v>192.85114372001109</v>
      </c>
      <c r="E215" s="4">
        <f t="shared" si="19"/>
        <v>178.87765634146081</v>
      </c>
    </row>
    <row r="216" spans="1:5" x14ac:dyDescent="0.55000000000000004">
      <c r="A216" s="25">
        <v>79.5</v>
      </c>
      <c r="B216" s="4">
        <f t="shared" si="17"/>
        <v>2.8035157100424435</v>
      </c>
      <c r="C216" s="4">
        <f t="shared" si="18"/>
        <v>4.4835978046004312</v>
      </c>
      <c r="D216" s="4">
        <f t="shared" si="16"/>
        <v>192.82424532859915</v>
      </c>
      <c r="E216" s="4">
        <f t="shared" si="19"/>
        <v>178.88124667453761</v>
      </c>
    </row>
    <row r="217" spans="1:5" x14ac:dyDescent="0.55000000000000004">
      <c r="A217" s="25">
        <v>79.75</v>
      </c>
      <c r="B217" s="4">
        <f t="shared" si="17"/>
        <v>2.8017216148560546</v>
      </c>
      <c r="C217" s="4">
        <f t="shared" si="18"/>
        <v>4.4738475533818534</v>
      </c>
      <c r="D217" s="4">
        <f t="shared" si="16"/>
        <v>192.79737002177006</v>
      </c>
      <c r="E217" s="4">
        <f t="shared" si="19"/>
        <v>178.88469249496887</v>
      </c>
    </row>
    <row r="218" spans="1:5" x14ac:dyDescent="0.55000000000000004">
      <c r="A218" s="25">
        <v>80</v>
      </c>
      <c r="B218" s="4">
        <f t="shared" si="17"/>
        <v>2.7999331434899131</v>
      </c>
      <c r="C218" s="4">
        <f t="shared" si="18"/>
        <v>4.4641507318294682</v>
      </c>
      <c r="D218" s="4">
        <f t="shared" si="16"/>
        <v>192.77051789416123</v>
      </c>
      <c r="E218" s="4">
        <f t="shared" si="19"/>
        <v>178.88799534016218</v>
      </c>
    </row>
    <row r="219" spans="1:5" x14ac:dyDescent="0.55000000000000004">
      <c r="A219" s="25">
        <v>80.25</v>
      </c>
      <c r="B219" s="4">
        <f t="shared" si="17"/>
        <v>2.7981502601027248</v>
      </c>
      <c r="C219" s="4">
        <f t="shared" si="18"/>
        <v>4.454506881429154</v>
      </c>
      <c r="D219" s="4">
        <f t="shared" si="16"/>
        <v>192.74368903770988</v>
      </c>
      <c r="E219" s="4">
        <f t="shared" si="19"/>
        <v>178.89115672793247</v>
      </c>
    </row>
    <row r="220" spans="1:5" x14ac:dyDescent="0.55000000000000004">
      <c r="A220" s="25">
        <v>80.5</v>
      </c>
      <c r="B220" s="4">
        <f t="shared" si="17"/>
        <v>2.7963729291931618</v>
      </c>
      <c r="C220" s="4">
        <f t="shared" si="18"/>
        <v>4.4449155490186092</v>
      </c>
      <c r="D220" s="4">
        <f t="shared" si="16"/>
        <v>192.71688354170749</v>
      </c>
      <c r="E220" s="4">
        <f t="shared" si="19"/>
        <v>178.89417815680582</v>
      </c>
    </row>
    <row r="221" spans="1:5" x14ac:dyDescent="0.55000000000000004">
      <c r="A221" s="4">
        <v>80.75</v>
      </c>
      <c r="B221" s="4">
        <f t="shared" si="17"/>
        <v>2.7946011155955905</v>
      </c>
      <c r="C221" s="4">
        <f t="shared" si="18"/>
        <v>4.4353762867084585</v>
      </c>
      <c r="D221" s="4">
        <f t="shared" si="16"/>
        <v>192.69010149285154</v>
      </c>
      <c r="E221" s="4">
        <f t="shared" si="19"/>
        <v>178.89706110631676</v>
      </c>
    </row>
    <row r="222" spans="1:5" x14ac:dyDescent="0.55000000000000004">
      <c r="A222" s="26">
        <v>81</v>
      </c>
      <c r="B222" s="4">
        <f t="shared" si="17"/>
        <v>2.7928347844758603</v>
      </c>
      <c r="C222" s="4">
        <f t="shared" si="18"/>
        <v>4.4258886518047689</v>
      </c>
      <c r="D222" s="4">
        <f t="shared" si="16"/>
        <v>192.66334297529741</v>
      </c>
      <c r="E222" s="4">
        <f t="shared" si="19"/>
        <v>178.89980703730095</v>
      </c>
    </row>
    <row r="223" spans="1:5" x14ac:dyDescent="0.55000000000000004">
      <c r="A223" s="25">
        <v>81.25</v>
      </c>
      <c r="B223" s="4">
        <f t="shared" si="17"/>
        <v>2.7910739013271662</v>
      </c>
      <c r="C223" s="4">
        <f t="shared" si="18"/>
        <v>4.4164522067329557</v>
      </c>
      <c r="D223" s="4">
        <f t="shared" si="16"/>
        <v>192.63660807070849</v>
      </c>
      <c r="E223" s="4">
        <f t="shared" si="19"/>
        <v>178.90241739218212</v>
      </c>
    </row>
    <row r="224" spans="1:5" x14ac:dyDescent="0.55000000000000004">
      <c r="A224" s="25">
        <v>81.5</v>
      </c>
      <c r="B224" s="4">
        <f t="shared" si="17"/>
        <v>2.7893184319659698</v>
      </c>
      <c r="C224" s="4">
        <f t="shared" si="18"/>
        <v>4.4070665189630054</v>
      </c>
      <c r="D224" s="4">
        <f t="shared" si="16"/>
        <v>192.60989685830549</v>
      </c>
      <c r="E224" s="4">
        <f t="shared" si="19"/>
        <v>178.9048935952537</v>
      </c>
    </row>
    <row r="225" spans="1:5" x14ac:dyDescent="0.55000000000000004">
      <c r="A225" s="25">
        <v>81.75</v>
      </c>
      <c r="B225" s="4">
        <f t="shared" si="17"/>
        <v>2.7875683425279858</v>
      </c>
      <c r="C225" s="4">
        <f t="shared" si="18"/>
        <v>4.3977311609360239</v>
      </c>
      <c r="D225" s="4">
        <f t="shared" si="16"/>
        <v>192.58320941491459</v>
      </c>
      <c r="E225" s="4">
        <f t="shared" si="19"/>
        <v>178.90723705295562</v>
      </c>
    </row>
    <row r="226" spans="1:5" x14ac:dyDescent="0.55000000000000004">
      <c r="A226" s="25">
        <v>82</v>
      </c>
      <c r="B226" s="4">
        <f t="shared" si="17"/>
        <v>2.7858235994642304</v>
      </c>
      <c r="C226" s="4">
        <f t="shared" si="18"/>
        <v>4.388445709992121</v>
      </c>
      <c r="D226" s="4">
        <f t="shared" si="16"/>
        <v>192.55654581501508</v>
      </c>
      <c r="E226" s="4">
        <f t="shared" si="19"/>
        <v>178.90944915414607</v>
      </c>
    </row>
    <row r="227" spans="1:5" x14ac:dyDescent="0.55000000000000004">
      <c r="A227" s="25">
        <v>82.25</v>
      </c>
      <c r="B227" s="4">
        <f t="shared" si="17"/>
        <v>2.7840841695371306</v>
      </c>
      <c r="C227" s="4">
        <f t="shared" si="18"/>
        <v>4.3792097482994699</v>
      </c>
      <c r="D227" s="4">
        <f t="shared" si="16"/>
        <v>192.52990613078524</v>
      </c>
      <c r="E227" s="4">
        <f t="shared" si="19"/>
        <v>178.91153127036799</v>
      </c>
    </row>
    <row r="228" spans="1:5" x14ac:dyDescent="0.55000000000000004">
      <c r="A228" s="25">
        <v>82.5</v>
      </c>
      <c r="B228" s="4">
        <f t="shared" si="17"/>
        <v>2.7823500198166919</v>
      </c>
      <c r="C228" s="4">
        <f t="shared" si="18"/>
        <v>4.3700228627846887</v>
      </c>
      <c r="D228" s="4">
        <f t="shared" si="16"/>
        <v>192.50329043214788</v>
      </c>
      <c r="E228" s="4">
        <f t="shared" si="19"/>
        <v>178.9134847561111</v>
      </c>
    </row>
    <row r="229" spans="1:5" x14ac:dyDescent="0.55000000000000004">
      <c r="A229" s="25">
        <v>82.75</v>
      </c>
      <c r="B229" s="4">
        <f t="shared" si="17"/>
        <v>2.7806211176767257</v>
      </c>
      <c r="C229" s="4">
        <f t="shared" si="18"/>
        <v>4.3608846450643908</v>
      </c>
      <c r="D229" s="4">
        <f t="shared" si="16"/>
        <v>192.47669878681486</v>
      </c>
      <c r="E229" s="4">
        <f t="shared" si="19"/>
        <v>178.91531094906946</v>
      </c>
    </row>
    <row r="230" spans="1:5" x14ac:dyDescent="0.55000000000000004">
      <c r="A230" s="25">
        <v>83</v>
      </c>
      <c r="B230" s="4">
        <f t="shared" si="17"/>
        <v>2.7788974307911349</v>
      </c>
      <c r="C230" s="4">
        <f t="shared" si="18"/>
        <v>4.3517946913779246</v>
      </c>
      <c r="D230" s="4">
        <f t="shared" si="16"/>
        <v>192.45013126033044</v>
      </c>
      <c r="E230" s="4">
        <f t="shared" si="19"/>
        <v>178.91701117039369</v>
      </c>
    </row>
    <row r="231" spans="1:5" x14ac:dyDescent="0.55000000000000004">
      <c r="A231" s="25">
        <v>83.25</v>
      </c>
      <c r="B231" s="4">
        <f t="shared" si="17"/>
        <v>2.7771789271302554</v>
      </c>
      <c r="C231" s="4">
        <f t="shared" si="18"/>
        <v>4.3427526025213004</v>
      </c>
      <c r="D231" s="4">
        <f t="shared" si="16"/>
        <v>192.42358791611395</v>
      </c>
      <c r="E231" s="4">
        <f t="shared" si="19"/>
        <v>178.91858672493933</v>
      </c>
    </row>
    <row r="232" spans="1:5" x14ac:dyDescent="0.55000000000000004">
      <c r="A232" s="25">
        <v>83.5</v>
      </c>
      <c r="B232" s="4">
        <f t="shared" si="17"/>
        <v>2.7754655749572517</v>
      </c>
      <c r="C232" s="4">
        <f t="shared" si="18"/>
        <v>4.3337579837822346</v>
      </c>
      <c r="D232" s="4">
        <f t="shared" si="16"/>
        <v>192.3970688155016</v>
      </c>
      <c r="E232" s="4">
        <f t="shared" si="19"/>
        <v>178.92003890151065</v>
      </c>
    </row>
    <row r="233" spans="1:5" x14ac:dyDescent="0.55000000000000004">
      <c r="A233" s="25">
        <v>83.75</v>
      </c>
      <c r="B233" s="4">
        <f t="shared" si="17"/>
        <v>2.7737573428245677</v>
      </c>
      <c r="C233" s="4">
        <f t="shared" si="18"/>
        <v>4.3248104448763138</v>
      </c>
      <c r="D233" s="4">
        <f t="shared" si="16"/>
        <v>192.37057401778742</v>
      </c>
      <c r="E233" s="4">
        <f t="shared" si="19"/>
        <v>178.92136897309999</v>
      </c>
    </row>
    <row r="234" spans="1:5" x14ac:dyDescent="0.55000000000000004">
      <c r="A234" s="25">
        <v>84</v>
      </c>
      <c r="B234" s="4">
        <f t="shared" si="17"/>
        <v>2.7720541995704346</v>
      </c>
      <c r="C234" s="4">
        <f t="shared" si="18"/>
        <v>4.3159095998842654</v>
      </c>
      <c r="D234" s="4">
        <f t="shared" si="16"/>
        <v>192.34410358026318</v>
      </c>
      <c r="E234" s="4">
        <f t="shared" si="19"/>
        <v>178.9225781971227</v>
      </c>
    </row>
    <row r="235" spans="1:5" x14ac:dyDescent="0.55000000000000004">
      <c r="A235" s="25">
        <v>84.25</v>
      </c>
      <c r="B235" s="4">
        <f t="shared" si="17"/>
        <v>2.7703561143154269</v>
      </c>
      <c r="C235" s="4">
        <f t="shared" si="18"/>
        <v>4.3070550671903121</v>
      </c>
      <c r="D235" s="4">
        <f t="shared" si="16"/>
        <v>192.31765755825793</v>
      </c>
      <c r="E235" s="4">
        <f t="shared" si="19"/>
        <v>178.92366781564874</v>
      </c>
    </row>
    <row r="236" spans="1:5" x14ac:dyDescent="0.55000000000000004">
      <c r="A236" s="25">
        <v>84.5</v>
      </c>
      <c r="B236" s="4">
        <f t="shared" si="17"/>
        <v>2.7686630564590682</v>
      </c>
      <c r="C236" s="4">
        <f t="shared" si="18"/>
        <v>4.2982464694215201</v>
      </c>
      <c r="D236" s="4">
        <f t="shared" si="16"/>
        <v>192.29123600517633</v>
      </c>
      <c r="E236" s="4">
        <f t="shared" si="19"/>
        <v>178.92463905562906</v>
      </c>
    </row>
    <row r="237" spans="1:5" x14ac:dyDescent="0.55000000000000004">
      <c r="A237" s="25">
        <v>84.75</v>
      </c>
      <c r="B237" s="4">
        <f t="shared" si="17"/>
        <v>2.766974995676494</v>
      </c>
      <c r="C237" s="4">
        <f t="shared" si="18"/>
        <v>4.289483433388245</v>
      </c>
      <c r="D237" s="4">
        <f t="shared" si="16"/>
        <v>192.26483897253624</v>
      </c>
      <c r="E237" s="4">
        <f t="shared" si="19"/>
        <v>178.92549312911896</v>
      </c>
    </row>
    <row r="238" spans="1:5" x14ac:dyDescent="0.55000000000000004">
      <c r="A238" s="25">
        <v>85</v>
      </c>
      <c r="B238" s="4">
        <f t="shared" si="17"/>
        <v>2.7652919019151612</v>
      </c>
      <c r="C238" s="4">
        <f t="shared" si="18"/>
        <v>4.280765590025557</v>
      </c>
      <c r="D238" s="4">
        <f t="shared" si="16"/>
        <v>192.23846651000596</v>
      </c>
      <c r="E238" s="4">
        <f t="shared" si="19"/>
        <v>178.92623123349719</v>
      </c>
    </row>
    <row r="239" spans="1:5" x14ac:dyDescent="0.55000000000000004">
      <c r="A239" s="25">
        <v>85.25</v>
      </c>
      <c r="B239" s="4">
        <f t="shared" si="17"/>
        <v>2.7636137453916034</v>
      </c>
      <c r="C239" s="4">
        <f t="shared" si="18"/>
        <v>4.2720925743356553</v>
      </c>
      <c r="D239" s="4">
        <f t="shared" si="16"/>
        <v>192.21211866544027</v>
      </c>
      <c r="E239" s="4">
        <f t="shared" si="19"/>
        <v>178.92685455168095</v>
      </c>
    </row>
    <row r="240" spans="1:5" x14ac:dyDescent="0.55000000000000004">
      <c r="A240" s="25">
        <v>85.5</v>
      </c>
      <c r="B240" s="4">
        <f t="shared" si="17"/>
        <v>2.7619404965882413</v>
      </c>
      <c r="C240" s="4">
        <f t="shared" si="18"/>
        <v>4.2634640253312677</v>
      </c>
      <c r="D240" s="4">
        <f t="shared" si="16"/>
        <v>192.18579548491576</v>
      </c>
      <c r="E240" s="4">
        <f t="shared" si="19"/>
        <v>178.92736425233753</v>
      </c>
    </row>
    <row r="241" spans="1:6" x14ac:dyDescent="0.55000000000000004">
      <c r="A241" s="25">
        <v>85.75</v>
      </c>
      <c r="B241" s="4">
        <f t="shared" si="17"/>
        <v>2.7602721262502325</v>
      </c>
      <c r="C241" s="4">
        <f t="shared" si="18"/>
        <v>4.2548795859799693</v>
      </c>
      <c r="D241" s="4">
        <f t="shared" si="16"/>
        <v>192.15949701276611</v>
      </c>
      <c r="E241" s="4">
        <f t="shared" si="19"/>
        <v>178.92776149009259</v>
      </c>
      <c r="F241" s="25"/>
    </row>
    <row r="242" spans="1:6" x14ac:dyDescent="0.55000000000000004">
      <c r="A242" s="25">
        <v>86</v>
      </c>
      <c r="B242" s="4">
        <f t="shared" si="17"/>
        <v>2.7586086053823728</v>
      </c>
      <c r="C242" s="4">
        <f t="shared" si="18"/>
        <v>4.2463389031494723</v>
      </c>
      <c r="D242" s="4">
        <f t="shared" si="16"/>
        <v>192.13322329161562</v>
      </c>
      <c r="E242" s="4">
        <f t="shared" si="19"/>
        <v>178.92804740573382</v>
      </c>
      <c r="F242" s="25"/>
    </row>
    <row r="243" spans="1:6" x14ac:dyDescent="0.55000000000000004">
      <c r="A243" s="25">
        <v>86.25</v>
      </c>
      <c r="B243" s="4">
        <f t="shared" si="17"/>
        <v>2.7569499052460387</v>
      </c>
      <c r="C243" s="4">
        <f t="shared" si="18"/>
        <v>4.2378416275537925</v>
      </c>
      <c r="D243" s="4">
        <f t="shared" si="16"/>
        <v>192.10697436241279</v>
      </c>
      <c r="E243" s="4">
        <f t="shared" si="19"/>
        <v>178.92822312641198</v>
      </c>
      <c r="F243" s="25"/>
    </row>
    <row r="244" spans="1:6" x14ac:dyDescent="0.55000000000000004">
      <c r="A244" s="3">
        <v>86.5</v>
      </c>
      <c r="B244" s="5">
        <f t="shared" si="17"/>
        <v>2.7552959973561824</v>
      </c>
      <c r="C244" s="5">
        <f>1/B244*(2/($B$9+1)*(1 + ($B$9-1)/2*B244^2))^(($B$9+1)/(2*$B$9-2))</f>
        <v>4.2293874137003593</v>
      </c>
      <c r="D244" s="5">
        <f t="shared" si="16"/>
        <v>192.08075026446326</v>
      </c>
      <c r="E244" s="5">
        <f t="shared" si="19"/>
        <v>178.92828976583829</v>
      </c>
      <c r="F244" s="2" t="s">
        <v>62</v>
      </c>
    </row>
    <row r="245" spans="1:6" x14ac:dyDescent="0.55000000000000004">
      <c r="A245" s="25">
        <v>86.75</v>
      </c>
      <c r="B245" s="4">
        <f t="shared" si="17"/>
        <v>2.7536468534783611</v>
      </c>
      <c r="C245" s="4">
        <f t="shared" si="18"/>
        <v>4.22097591983795</v>
      </c>
      <c r="D245" s="4">
        <f t="shared" si="16"/>
        <v>192.05455103546183</v>
      </c>
      <c r="E245" s="4">
        <f t="shared" si="19"/>
        <v>178.92824842447831</v>
      </c>
      <c r="F245" s="25"/>
    </row>
    <row r="246" spans="1:6" x14ac:dyDescent="0.55000000000000004">
      <c r="A246" s="25">
        <v>87</v>
      </c>
      <c r="B246" s="4">
        <f t="shared" si="17"/>
        <v>2.752002445625815</v>
      </c>
      <c r="C246" s="4">
        <f t="shared" si="18"/>
        <v>4.2126068079055337</v>
      </c>
      <c r="D246" s="4">
        <f t="shared" si="16"/>
        <v>192.02837671152369</v>
      </c>
      <c r="E246" s="4">
        <f t="shared" si="19"/>
        <v>178.92810018974239</v>
      </c>
      <c r="F246" s="25"/>
    </row>
    <row r="247" spans="1:6" x14ac:dyDescent="0.55000000000000004">
      <c r="A247" s="25">
        <v>87.25</v>
      </c>
      <c r="B247" s="4">
        <f t="shared" si="17"/>
        <v>2.7503627460565903</v>
      </c>
      <c r="C247" s="4">
        <f t="shared" si="18"/>
        <v>4.2042797434819255</v>
      </c>
      <c r="D247" s="4">
        <f t="shared" si="16"/>
        <v>192.00222732721559</v>
      </c>
      <c r="E247" s="4">
        <f t="shared" si="19"/>
        <v>178.92784613617326</v>
      </c>
      <c r="F247" s="25"/>
    </row>
    <row r="248" spans="1:6" x14ac:dyDescent="0.55000000000000004">
      <c r="A248" s="25">
        <v>87.5</v>
      </c>
      <c r="B248" s="4">
        <f t="shared" si="17"/>
        <v>2.7487277272706914</v>
      </c>
      <c r="C248" s="4">
        <f t="shared" si="18"/>
        <v>4.1959943957362711</v>
      </c>
      <c r="D248" s="4">
        <f t="shared" si="16"/>
        <v>191.97610291558576</v>
      </c>
      <c r="E248" s="4">
        <f t="shared" si="19"/>
        <v>178.92748732563001</v>
      </c>
      <c r="F248" s="25"/>
    </row>
    <row r="249" spans="1:6" x14ac:dyDescent="0.55000000000000004">
      <c r="A249" s="25">
        <v>87.75</v>
      </c>
      <c r="B249" s="4">
        <f t="shared" si="17"/>
        <v>2.747097362007294</v>
      </c>
      <c r="C249" s="4">
        <f t="shared" si="18"/>
        <v>4.1877504373794006</v>
      </c>
      <c r="D249" s="4">
        <f t="shared" si="16"/>
        <v>191.9500035081937</v>
      </c>
      <c r="E249" s="4">
        <f t="shared" si="19"/>
        <v>178.92702480746922</v>
      </c>
      <c r="F249" s="25"/>
    </row>
    <row r="250" spans="1:6" x14ac:dyDescent="0.55000000000000004">
      <c r="A250" s="25">
        <v>88</v>
      </c>
      <c r="B250" s="4">
        <f t="shared" si="17"/>
        <v>2.7454716232419796</v>
      </c>
      <c r="C250" s="4">
        <f t="shared" si="18"/>
        <v>4.1795475446158736</v>
      </c>
      <c r="D250" s="4">
        <f t="shared" si="16"/>
        <v>191.92392913513939</v>
      </c>
      <c r="E250" s="4">
        <f t="shared" si="19"/>
        <v>178.92645961872304</v>
      </c>
      <c r="F250" s="25"/>
    </row>
    <row r="251" spans="1:6" x14ac:dyDescent="0.55000000000000004">
      <c r="A251" s="25">
        <v>88.25</v>
      </c>
      <c r="B251" s="4">
        <f t="shared" si="17"/>
        <v>2.7438504841840183</v>
      </c>
      <c r="C251" s="4">
        <f t="shared" si="18"/>
        <v>4.1713853970969206</v>
      </c>
      <c r="D251" s="4">
        <f t="shared" si="16"/>
        <v>191.89787982509145</v>
      </c>
      <c r="E251" s="4">
        <f t="shared" si="19"/>
        <v>178.92579278427414</v>
      </c>
      <c r="F251" s="25"/>
    </row>
    <row r="252" spans="1:6" x14ac:dyDescent="0.55000000000000004">
      <c r="A252" s="25">
        <v>88.5</v>
      </c>
      <c r="B252" s="4">
        <f t="shared" si="17"/>
        <v>2.7422339182736932</v>
      </c>
      <c r="C252" s="4">
        <f t="shared" si="18"/>
        <v>4.1632636778740588</v>
      </c>
      <c r="D252" s="4">
        <f t="shared" si="16"/>
        <v>191.87185560531529</v>
      </c>
      <c r="E252" s="4">
        <f t="shared" si="19"/>
        <v>178.92502531702755</v>
      </c>
      <c r="F252" s="25"/>
    </row>
    <row r="253" spans="1:6" x14ac:dyDescent="0.55000000000000004">
      <c r="A253" s="25">
        <v>88.75</v>
      </c>
      <c r="B253" s="4">
        <f t="shared" si="17"/>
        <v>2.7406218991796556</v>
      </c>
      <c r="C253" s="4">
        <f t="shared" si="18"/>
        <v>4.155182073353525</v>
      </c>
      <c r="D253" s="4">
        <f t="shared" si="16"/>
        <v>191.84585650170041</v>
      </c>
      <c r="E253" s="4">
        <f t="shared" si="19"/>
        <v>178.92415821808018</v>
      </c>
      <c r="F253" s="25"/>
    </row>
    <row r="254" spans="1:6" x14ac:dyDescent="0.55000000000000004">
      <c r="A254" s="25">
        <v>89</v>
      </c>
      <c r="B254" s="4">
        <f t="shared" si="17"/>
        <v>2.7390144007963233</v>
      </c>
      <c r="C254" s="4">
        <f t="shared" si="18"/>
        <v>4.1471402732514075</v>
      </c>
      <c r="D254" s="4">
        <f t="shared" si="16"/>
        <v>191.81988253878737</v>
      </c>
      <c r="E254" s="4">
        <f t="shared" si="19"/>
        <v>178.92319247688701</v>
      </c>
      <c r="F254" s="25"/>
    </row>
    <row r="255" spans="1:6" x14ac:dyDescent="0.55000000000000004">
      <c r="A255" s="25">
        <v>89.25</v>
      </c>
      <c r="B255" s="4">
        <f t="shared" si="17"/>
        <v>2.7374113972413121</v>
      </c>
      <c r="C255" s="4">
        <f t="shared" si="18"/>
        <v>4.1391379705495073</v>
      </c>
      <c r="D255" s="4">
        <f t="shared" si="16"/>
        <v>191.79393373979377</v>
      </c>
      <c r="E255" s="4">
        <f t="shared" si="19"/>
        <v>178.92212907142437</v>
      </c>
      <c r="F255" s="25"/>
    </row>
    <row r="256" spans="1:6" x14ac:dyDescent="0.55000000000000004">
      <c r="A256" s="25">
        <v>89.5</v>
      </c>
      <c r="B256" s="4">
        <f t="shared" si="17"/>
        <v>2.7358128628529084</v>
      </c>
      <c r="C256" s="4">
        <f t="shared" si="18"/>
        <v>4.1311748614519512</v>
      </c>
      <c r="D256" s="4">
        <f t="shared" si="16"/>
        <v>191.76801012664072</v>
      </c>
      <c r="E256" s="4">
        <f t="shared" si="19"/>
        <v>178.92096896835139</v>
      </c>
      <c r="F256" s="25"/>
    </row>
    <row r="257" spans="1:5" x14ac:dyDescent="0.55000000000000004">
      <c r="A257" s="25">
        <v>89.75</v>
      </c>
      <c r="B257" s="4">
        <f t="shared" si="17"/>
        <v>2.7342187721875719</v>
      </c>
      <c r="C257" s="4">
        <f t="shared" si="18"/>
        <v>4.1232506453424245</v>
      </c>
      <c r="D257" s="4">
        <f t="shared" si="16"/>
        <v>191.74211171997732</v>
      </c>
      <c r="E257" s="4">
        <f t="shared" si="19"/>
        <v>178.91971312316758</v>
      </c>
    </row>
    <row r="258" spans="1:5" x14ac:dyDescent="0.55000000000000004">
      <c r="A258" s="25">
        <v>90</v>
      </c>
      <c r="B258" s="4">
        <f t="shared" si="17"/>
        <v>2.7326291000174772</v>
      </c>
      <c r="C258" s="4">
        <f t="shared" si="18"/>
        <v>4.1153650247421503</v>
      </c>
      <c r="D258" s="4">
        <f t="shared" si="16"/>
        <v>191.71623853920613</v>
      </c>
      <c r="E258" s="4">
        <f t="shared" si="19"/>
        <v>178.91836248036878</v>
      </c>
    </row>
    <row r="259" spans="1:5" x14ac:dyDescent="0.55000000000000004">
      <c r="A259" s="25">
        <v>90.25</v>
      </c>
      <c r="B259" s="4">
        <f t="shared" si="17"/>
        <v>2.7310438213280892</v>
      </c>
      <c r="C259" s="4">
        <f t="shared" si="18"/>
        <v>4.1075177052685321</v>
      </c>
      <c r="D259" s="4">
        <f t="shared" si="16"/>
        <v>191.69039060250728</v>
      </c>
      <c r="E259" s="4">
        <f t="shared" si="19"/>
        <v>178.91691797359985</v>
      </c>
    </row>
    <row r="260" spans="1:5" x14ac:dyDescent="0.55000000000000004">
      <c r="A260" s="25">
        <v>90.5</v>
      </c>
      <c r="B260" s="4">
        <f t="shared" si="17"/>
        <v>2.7294629113157711</v>
      </c>
      <c r="C260" s="4">
        <f t="shared" si="18"/>
        <v>4.0997083955944182</v>
      </c>
      <c r="D260" s="4">
        <f t="shared" si="16"/>
        <v>191.6645679268623</v>
      </c>
      <c r="E260" s="4">
        <f t="shared" si="19"/>
        <v>178.91538052580552</v>
      </c>
    </row>
    <row r="261" spans="1:5" x14ac:dyDescent="0.55000000000000004">
      <c r="A261" s="25">
        <v>90.75</v>
      </c>
      <c r="B261" s="4">
        <f t="shared" si="17"/>
        <v>2.7278863453854258</v>
      </c>
      <c r="C261" s="4">
        <f t="shared" si="18"/>
        <v>4.0919368074080609</v>
      </c>
      <c r="D261" s="4">
        <f t="shared" si="16"/>
        <v>191.63877052807766</v>
      </c>
      <c r="E261" s="4">
        <f t="shared" si="19"/>
        <v>178.91375104937802</v>
      </c>
    </row>
    <row r="262" spans="1:5" x14ac:dyDescent="0.55000000000000004">
      <c r="A262" s="25">
        <v>91</v>
      </c>
      <c r="B262" s="4">
        <f t="shared" si="17"/>
        <v>2.7263140991481731</v>
      </c>
      <c r="C262" s="4">
        <f t="shared" si="18"/>
        <v>4.084202655373665</v>
      </c>
      <c r="D262" s="4">
        <f t="shared" si="16"/>
        <v>191.61299842080751</v>
      </c>
      <c r="E262" s="4">
        <f t="shared" si="19"/>
        <v>178.91203044630282</v>
      </c>
    </row>
    <row r="263" spans="1:5" x14ac:dyDescent="0.55000000000000004">
      <c r="A263" s="25">
        <v>91.25</v>
      </c>
      <c r="B263" s="4">
        <f t="shared" si="17"/>
        <v>2.7247461484190572</v>
      </c>
      <c r="C263" s="4">
        <f t="shared" si="18"/>
        <v>4.0765056570926017</v>
      </c>
      <c r="D263" s="4">
        <f t="shared" si="16"/>
        <v>191.58725161857652</v>
      </c>
      <c r="E263" s="4">
        <f t="shared" si="19"/>
        <v>178.91021960830199</v>
      </c>
    </row>
    <row r="264" spans="1:5" x14ac:dyDescent="0.55000000000000004">
      <c r="A264" s="25">
        <v>91.5</v>
      </c>
      <c r="B264" s="4">
        <f t="shared" si="17"/>
        <v>2.7231824692147804</v>
      </c>
      <c r="C264" s="4">
        <f t="shared" si="18"/>
        <v>4.0688455330651898</v>
      </c>
      <c r="D264" s="4">
        <f t="shared" si="16"/>
        <v>191.5615301338018</v>
      </c>
      <c r="E264" s="4">
        <f t="shared" si="19"/>
        <v>178.90831941697482</v>
      </c>
    </row>
    <row r="265" spans="1:5" x14ac:dyDescent="0.55000000000000004">
      <c r="A265" s="25">
        <v>91.75</v>
      </c>
      <c r="B265" s="4">
        <f t="shared" si="17"/>
        <v>2.7216230377514821</v>
      </c>
      <c r="C265" s="4">
        <f t="shared" si="18"/>
        <v>4.0612220066531215</v>
      </c>
      <c r="D265" s="4">
        <f t="shared" si="16"/>
        <v>191.53583397781443</v>
      </c>
      <c r="E265" s="4">
        <f t="shared" si="19"/>
        <v>178.90633074393642</v>
      </c>
    </row>
    <row r="266" spans="1:5" x14ac:dyDescent="0.55000000000000004">
      <c r="A266" s="25">
        <v>92</v>
      </c>
      <c r="B266" s="4">
        <f t="shared" si="17"/>
        <v>2.7200678304425301</v>
      </c>
      <c r="C266" s="4">
        <f t="shared" si="18"/>
        <v>4.0536348040424199</v>
      </c>
      <c r="D266" s="4">
        <f t="shared" si="16"/>
        <v>191.51016316088098</v>
      </c>
      <c r="E266" s="4">
        <f t="shared" si="19"/>
        <v>178.90425445095437</v>
      </c>
    </row>
    <row r="267" spans="1:5" x14ac:dyDescent="0.55000000000000004">
      <c r="A267" s="25">
        <v>92.25</v>
      </c>
      <c r="B267" s="4">
        <f t="shared" si="17"/>
        <v>2.7185168238963593</v>
      </c>
      <c r="C267" s="4">
        <f t="shared" si="18"/>
        <v>4.0460836542070506</v>
      </c>
      <c r="D267" s="4">
        <f t="shared" si="16"/>
        <v>191.48451769222422</v>
      </c>
      <c r="E267" s="4">
        <f t="shared" si="19"/>
        <v>178.90209139008255</v>
      </c>
    </row>
    <row r="268" spans="1:5" x14ac:dyDescent="0.55000000000000004">
      <c r="A268" s="25">
        <v>92.5</v>
      </c>
      <c r="B268" s="4">
        <f t="shared" si="17"/>
        <v>2.7169699949143276</v>
      </c>
      <c r="C268" s="4">
        <f t="shared" si="18"/>
        <v>4.0385682888730248</v>
      </c>
      <c r="D268" s="4">
        <f t="shared" si="16"/>
        <v>191.45889758004355</v>
      </c>
      <c r="E268" s="4">
        <f t="shared" si="19"/>
        <v>178.89984240379314</v>
      </c>
    </row>
    <row r="269" spans="1:5" x14ac:dyDescent="0.55000000000000004">
      <c r="A269" s="25">
        <v>92.75</v>
      </c>
      <c r="B269" s="4">
        <f t="shared" si="17"/>
        <v>2.7154273204886086</v>
      </c>
      <c r="C269" s="4">
        <f t="shared" si="18"/>
        <v>4.0310884424831039</v>
      </c>
      <c r="D269" s="4">
        <f t="shared" si="16"/>
        <v>191.43330283153512</v>
      </c>
      <c r="E269" s="4">
        <f t="shared" si="19"/>
        <v>178.89750832510666</v>
      </c>
    </row>
    <row r="270" spans="1:5" x14ac:dyDescent="0.55000000000000004">
      <c r="A270" s="25">
        <v>93</v>
      </c>
      <c r="B270" s="4">
        <f t="shared" si="17"/>
        <v>2.7138887778001077</v>
      </c>
      <c r="C270" s="4">
        <f t="shared" si="18"/>
        <v>4.0236438521620546</v>
      </c>
      <c r="D270" s="4">
        <f t="shared" si="16"/>
        <v>191.40773345291154</v>
      </c>
      <c r="E270" s="4">
        <f t="shared" si="19"/>
        <v>178.89508997771964</v>
      </c>
    </row>
    <row r="271" spans="1:5" x14ac:dyDescent="0.55000000000000004">
      <c r="A271" s="25">
        <v>93.25</v>
      </c>
      <c r="B271" s="4">
        <f t="shared" si="17"/>
        <v>2.7123543442164126</v>
      </c>
      <c r="C271" s="4">
        <f t="shared" si="18"/>
        <v>4.0162342576823944</v>
      </c>
      <c r="D271" s="4">
        <f t="shared" ref="D271:D318" si="20">$B$6*$B$12/9.81*($B$9*SQRT(2/($B$9-1)*(2/($B$9+1))^(($B$9+1)/($B$9-1))*(1 - (A271/$B$3)^(($B$9-1)/$B$9))) + C271/$B$3*(A271 - $E$5))</f>
        <v>191.38218944942108</v>
      </c>
      <c r="E271" s="4">
        <f t="shared" si="19"/>
        <v>178.89258817613029</v>
      </c>
    </row>
    <row r="272" spans="1:5" x14ac:dyDescent="0.55000000000000004">
      <c r="A272" s="25">
        <v>93.5</v>
      </c>
      <c r="B272" s="4">
        <f t="shared" ref="B272:B318" si="21">SQRT(2/($B$9-1)*((A272/$B$3)^((1-$B$9)/$B$9) - 1))</f>
        <v>2.7108239972897628</v>
      </c>
      <c r="C272" s="4">
        <f t="shared" ref="C272:C318" si="22">1/B272*(2/($B$9+1)*(1 + ($B$9-1)/2*B272^2))^(($B$9+1)/(2*$B$9-2))</f>
        <v>4.0088594014307217</v>
      </c>
      <c r="D272" s="4">
        <f t="shared" si="20"/>
        <v>191.35667082536668</v>
      </c>
      <c r="E272" s="4">
        <f t="shared" ref="E272:E318" si="23">$B$6*$B$12/9.81*($B$9*SQRT(2/($B$9-1)*(2/($B$9+1))^(($B$9+1)/($B$9-1))*(1 - (A272/$B$3)^(($B$9-1)/$B$9))) + C272/$B$3*(A272 - $E$4))</f>
        <v>178.89000372576234</v>
      </c>
    </row>
    <row r="273" spans="1:5" x14ac:dyDescent="0.55000000000000004">
      <c r="A273" s="25">
        <v>93.75</v>
      </c>
      <c r="B273" s="4">
        <f t="shared" si="21"/>
        <v>2.7092977147550563</v>
      </c>
      <c r="C273" s="4">
        <f t="shared" si="22"/>
        <v>4.0015190283745339</v>
      </c>
      <c r="D273" s="4">
        <f t="shared" si="20"/>
        <v>191.33117758412448</v>
      </c>
      <c r="E273" s="4">
        <f t="shared" si="23"/>
        <v>178.88733742308671</v>
      </c>
    </row>
    <row r="274" spans="1:5" x14ac:dyDescent="0.55000000000000004">
      <c r="A274" s="25">
        <v>94</v>
      </c>
      <c r="B274" s="4">
        <f t="shared" si="21"/>
        <v>2.7077754745278755</v>
      </c>
      <c r="C274" s="4">
        <f t="shared" si="22"/>
        <v>3.9942128860295463</v>
      </c>
      <c r="D274" s="4">
        <f t="shared" si="20"/>
        <v>191.30570972816221</v>
      </c>
      <c r="E274" s="4">
        <f t="shared" si="23"/>
        <v>178.8845900557414</v>
      </c>
    </row>
    <row r="275" spans="1:5" x14ac:dyDescent="0.55000000000000004">
      <c r="A275" s="25">
        <v>94.25</v>
      </c>
      <c r="B275" s="4">
        <f t="shared" si="21"/>
        <v>2.7062572547025439</v>
      </c>
      <c r="C275" s="4">
        <f t="shared" si="22"/>
        <v>3.9869407244275319</v>
      </c>
      <c r="D275" s="4">
        <f t="shared" si="20"/>
        <v>191.2802672590569</v>
      </c>
      <c r="E275" s="4">
        <f t="shared" si="23"/>
        <v>178.88176240264946</v>
      </c>
    </row>
    <row r="276" spans="1:5" x14ac:dyDescent="0.55000000000000004">
      <c r="A276" s="25">
        <v>94.5</v>
      </c>
      <c r="B276" s="4">
        <f t="shared" si="21"/>
        <v>2.704743033550209</v>
      </c>
      <c r="C276" s="4">
        <f t="shared" si="22"/>
        <v>3.979702296084652</v>
      </c>
      <c r="D276" s="4">
        <f t="shared" si="20"/>
        <v>191.25485017751257</v>
      </c>
      <c r="E276" s="4">
        <f t="shared" si="23"/>
        <v>178.87885523413496</v>
      </c>
    </row>
    <row r="277" spans="1:5" x14ac:dyDescent="0.55000000000000004">
      <c r="A277" s="25">
        <v>94.75</v>
      </c>
      <c r="B277" s="4">
        <f t="shared" si="21"/>
        <v>2.7032327895169441</v>
      </c>
      <c r="C277" s="4">
        <f t="shared" si="22"/>
        <v>3.9724973559702255</v>
      </c>
      <c r="D277" s="4">
        <f t="shared" si="20"/>
        <v>191.2294584833773</v>
      </c>
      <c r="E277" s="4">
        <f t="shared" si="23"/>
        <v>178.87586931203728</v>
      </c>
    </row>
    <row r="278" spans="1:5" x14ac:dyDescent="0.55000000000000004">
      <c r="A278" s="25">
        <v>95</v>
      </c>
      <c r="B278" s="4">
        <f t="shared" si="21"/>
        <v>2.7017265012218861</v>
      </c>
      <c r="C278" s="4">
        <f t="shared" si="22"/>
        <v>3.9653256614760322</v>
      </c>
      <c r="D278" s="4">
        <f t="shared" si="20"/>
        <v>191.20409217566029</v>
      </c>
      <c r="E278" s="4">
        <f t="shared" si="23"/>
        <v>178.87280538982353</v>
      </c>
    </row>
    <row r="279" spans="1:5" x14ac:dyDescent="0.55000000000000004">
      <c r="A279" s="25">
        <v>95.25</v>
      </c>
      <c r="B279" s="4">
        <f t="shared" si="21"/>
        <v>2.7002241474553896</v>
      </c>
      <c r="C279" s="4">
        <f t="shared" si="22"/>
        <v>3.9581869723860406</v>
      </c>
      <c r="D279" s="4">
        <f t="shared" si="20"/>
        <v>191.17875125254832</v>
      </c>
      <c r="E279" s="4">
        <f t="shared" si="23"/>
        <v>178.86966421269935</v>
      </c>
    </row>
    <row r="280" spans="1:5" x14ac:dyDescent="0.55000000000000004">
      <c r="A280" s="25">
        <v>95.5</v>
      </c>
      <c r="B280" s="4">
        <f t="shared" si="21"/>
        <v>2.6987257071772106</v>
      </c>
      <c r="C280" s="4">
        <f t="shared" si="22"/>
        <v>3.9510810508466219</v>
      </c>
      <c r="D280" s="4">
        <f t="shared" si="20"/>
        <v>191.15343571142216</v>
      </c>
      <c r="E280" s="4">
        <f t="shared" si="23"/>
        <v>178.86644651771772</v>
      </c>
    </row>
    <row r="281" spans="1:5" x14ac:dyDescent="0.55000000000000004">
      <c r="A281" s="25">
        <v>95.75</v>
      </c>
      <c r="B281" s="4">
        <f t="shared" si="21"/>
        <v>2.697231159514708</v>
      </c>
      <c r="C281" s="4">
        <f t="shared" si="22"/>
        <v>3.9440076613371557</v>
      </c>
      <c r="D281" s="4">
        <f t="shared" si="20"/>
        <v>191.12814554887242</v>
      </c>
      <c r="E281" s="4">
        <f t="shared" si="23"/>
        <v>178.86315303388633</v>
      </c>
    </row>
    <row r="282" spans="1:5" x14ac:dyDescent="0.55000000000000004">
      <c r="A282" s="25">
        <v>96</v>
      </c>
      <c r="B282" s="4">
        <f t="shared" si="21"/>
        <v>2.6957404837610768</v>
      </c>
      <c r="C282" s="4">
        <f t="shared" si="22"/>
        <v>3.9369665706411525</v>
      </c>
      <c r="D282" s="4">
        <f t="shared" si="20"/>
        <v>191.10288076071518</v>
      </c>
      <c r="E282" s="4">
        <f t="shared" si="23"/>
        <v>178.85978448227306</v>
      </c>
    </row>
    <row r="283" spans="1:5" x14ac:dyDescent="0.55000000000000004">
      <c r="A283" s="25">
        <v>96.25</v>
      </c>
      <c r="B283" s="4">
        <f t="shared" si="21"/>
        <v>2.6942536593735991</v>
      </c>
      <c r="C283" s="4">
        <f t="shared" si="22"/>
        <v>3.9299575478177475</v>
      </c>
      <c r="D283" s="4">
        <f t="shared" si="20"/>
        <v>191.0776413420075</v>
      </c>
      <c r="E283" s="4">
        <f t="shared" si="23"/>
        <v>178.85634157611003</v>
      </c>
    </row>
    <row r="284" spans="1:5" x14ac:dyDescent="0.55000000000000004">
      <c r="A284" s="25">
        <v>96.5</v>
      </c>
      <c r="B284" s="4">
        <f t="shared" si="21"/>
        <v>2.6927706659719184</v>
      </c>
      <c r="C284" s="4">
        <f t="shared" si="22"/>
        <v>3.9229803641736583</v>
      </c>
      <c r="D284" s="4">
        <f t="shared" si="20"/>
        <v>191.05242728706261</v>
      </c>
      <c r="E284" s="4">
        <f t="shared" si="23"/>
        <v>178.85282502089601</v>
      </c>
    </row>
    <row r="285" spans="1:5" x14ac:dyDescent="0.55000000000000004">
      <c r="A285" s="25">
        <v>96.75</v>
      </c>
      <c r="B285" s="4">
        <f t="shared" si="21"/>
        <v>2.6912914833363391</v>
      </c>
      <c r="C285" s="4">
        <f t="shared" si="22"/>
        <v>3.9160347932355339</v>
      </c>
      <c r="D285" s="4">
        <f t="shared" si="20"/>
        <v>191.0272385894643</v>
      </c>
      <c r="E285" s="4">
        <f t="shared" si="23"/>
        <v>178.84923551449691</v>
      </c>
    </row>
    <row r="286" spans="1:5" x14ac:dyDescent="0.55000000000000004">
      <c r="A286" s="25">
        <v>97</v>
      </c>
      <c r="B286" s="4">
        <f t="shared" si="21"/>
        <v>2.6898160914061457</v>
      </c>
      <c r="C286" s="4">
        <f t="shared" si="22"/>
        <v>3.9091206107227312</v>
      </c>
      <c r="D286" s="4">
        <f t="shared" si="20"/>
        <v>191.00207524208199</v>
      </c>
      <c r="E286" s="4">
        <f t="shared" si="23"/>
        <v>178.8455737472454</v>
      </c>
    </row>
    <row r="287" spans="1:5" x14ac:dyDescent="0.55000000000000004">
      <c r="A287" s="25">
        <v>97.25</v>
      </c>
      <c r="B287" s="4">
        <f t="shared" si="21"/>
        <v>2.6883444702779458</v>
      </c>
      <c r="C287" s="4">
        <f t="shared" si="22"/>
        <v>3.9022375945204897</v>
      </c>
      <c r="D287" s="4">
        <f t="shared" si="20"/>
        <v>190.97693723708454</v>
      </c>
      <c r="E287" s="4">
        <f t="shared" si="23"/>
        <v>178.8418404020382</v>
      </c>
    </row>
    <row r="288" spans="1:5" x14ac:dyDescent="0.55000000000000004">
      <c r="A288" s="25">
        <v>97.5</v>
      </c>
      <c r="B288" s="4">
        <f t="shared" si="21"/>
        <v>2.6868766002040307</v>
      </c>
      <c r="C288" s="4">
        <f t="shared" si="22"/>
        <v>3.895385524653487</v>
      </c>
      <c r="D288" s="4">
        <f t="shared" si="20"/>
        <v>190.95182456595461</v>
      </c>
      <c r="E288" s="4">
        <f t="shared" si="23"/>
        <v>178.83803615443259</v>
      </c>
    </row>
    <row r="289" spans="1:5" x14ac:dyDescent="0.55000000000000004">
      <c r="A289" s="25">
        <v>97.75</v>
      </c>
      <c r="B289" s="4">
        <f t="shared" si="21"/>
        <v>2.6854124615907651</v>
      </c>
      <c r="C289" s="4">
        <f t="shared" si="22"/>
        <v>3.8885641832598261</v>
      </c>
      <c r="D289" s="4">
        <f t="shared" si="20"/>
        <v>190.92673721950212</v>
      </c>
      <c r="E289" s="4">
        <f t="shared" si="23"/>
        <v>178.83416167274086</v>
      </c>
    </row>
    <row r="290" spans="1:5" x14ac:dyDescent="0.55000000000000004">
      <c r="A290" s="25">
        <v>98</v>
      </c>
      <c r="B290" s="4">
        <f t="shared" si="21"/>
        <v>2.6839520349969863</v>
      </c>
      <c r="C290" s="4">
        <f t="shared" si="22"/>
        <v>3.8817733545653494</v>
      </c>
      <c r="D290" s="4">
        <f t="shared" si="20"/>
        <v>190.90167518787794</v>
      </c>
      <c r="E290" s="4">
        <f t="shared" si="23"/>
        <v>178.8302176181239</v>
      </c>
    </row>
    <row r="291" spans="1:5" x14ac:dyDescent="0.55000000000000004">
      <c r="A291" s="25">
        <v>98.25</v>
      </c>
      <c r="B291" s="4">
        <f t="shared" si="21"/>
        <v>2.6824953011324371</v>
      </c>
      <c r="C291" s="4">
        <f t="shared" si="22"/>
        <v>3.8750128248583757</v>
      </c>
      <c r="D291" s="4">
        <f t="shared" si="20"/>
        <v>190.87663846058715</v>
      </c>
      <c r="E291" s="4">
        <f t="shared" si="23"/>
        <v>178.8262046446828</v>
      </c>
    </row>
    <row r="292" spans="1:5" x14ac:dyDescent="0.55000000000000004">
      <c r="A292" s="25">
        <v>98.5</v>
      </c>
      <c r="B292" s="4">
        <f t="shared" si="21"/>
        <v>2.6810422408562053</v>
      </c>
      <c r="C292" s="4">
        <f t="shared" si="22"/>
        <v>3.8682823824647725</v>
      </c>
      <c r="D292" s="4">
        <f t="shared" si="20"/>
        <v>190.85162702650177</v>
      </c>
      <c r="E292" s="4">
        <f t="shared" si="23"/>
        <v>178.82212339954947</v>
      </c>
    </row>
    <row r="293" spans="1:5" x14ac:dyDescent="0.55000000000000004">
      <c r="A293" s="25">
        <v>98.75</v>
      </c>
      <c r="B293" s="4">
        <f t="shared" si="21"/>
        <v>2.6795928351751965</v>
      </c>
      <c r="C293" s="4">
        <f t="shared" si="22"/>
        <v>3.8615818177234278</v>
      </c>
      <c r="D293" s="4">
        <f t="shared" si="20"/>
        <v>190.82664087387383</v>
      </c>
      <c r="E293" s="4">
        <f t="shared" si="23"/>
        <v>178.81797452297562</v>
      </c>
    </row>
    <row r="294" spans="1:5" x14ac:dyDescent="0.55000000000000004">
      <c r="A294" s="25">
        <v>99</v>
      </c>
      <c r="B294" s="4">
        <f t="shared" si="21"/>
        <v>2.6781470652426145</v>
      </c>
      <c r="C294" s="4">
        <f t="shared" si="22"/>
        <v>3.8549109229620404</v>
      </c>
      <c r="D294" s="4">
        <f t="shared" si="20"/>
        <v>190.80167999034774</v>
      </c>
      <c r="E294" s="4">
        <f t="shared" si="23"/>
        <v>178.81375864842067</v>
      </c>
    </row>
    <row r="295" spans="1:5" x14ac:dyDescent="0.55000000000000004">
      <c r="A295" s="25">
        <v>99.25</v>
      </c>
      <c r="B295" s="4">
        <f t="shared" si="21"/>
        <v>2.6767049123564686</v>
      </c>
      <c r="C295" s="4">
        <f t="shared" si="22"/>
        <v>3.8482694924732921</v>
      </c>
      <c r="D295" s="4">
        <f t="shared" si="20"/>
        <v>190.77674436297264</v>
      </c>
      <c r="E295" s="4">
        <f t="shared" si="23"/>
        <v>178.80947640263807</v>
      </c>
    </row>
    <row r="296" spans="1:5" x14ac:dyDescent="0.55000000000000004">
      <c r="A296" s="25">
        <v>99.5</v>
      </c>
      <c r="B296" s="4">
        <f t="shared" si="21"/>
        <v>2.6752663579580975</v>
      </c>
      <c r="C296" s="4">
        <f t="shared" si="22"/>
        <v>3.8416573224913364</v>
      </c>
      <c r="D296" s="4">
        <f t="shared" si="20"/>
        <v>190.75183397821431</v>
      </c>
      <c r="E296" s="4">
        <f t="shared" si="23"/>
        <v>178.80512840576037</v>
      </c>
    </row>
    <row r="297" spans="1:5" x14ac:dyDescent="0.55000000000000004">
      <c r="A297" s="25">
        <v>99.75</v>
      </c>
      <c r="B297" s="4">
        <f t="shared" si="21"/>
        <v>2.6738313836307128</v>
      </c>
      <c r="C297" s="4">
        <f t="shared" si="22"/>
        <v>3.8350742111686449</v>
      </c>
      <c r="D297" s="4">
        <f t="shared" si="20"/>
        <v>190.72694882196731</v>
      </c>
      <c r="E297" s="4">
        <f t="shared" si="23"/>
        <v>178.8007152713833</v>
      </c>
    </row>
    <row r="298" spans="1:5" x14ac:dyDescent="0.55000000000000004">
      <c r="A298" s="25">
        <v>100</v>
      </c>
      <c r="B298" s="4">
        <f t="shared" si="21"/>
        <v>2.6723999710979602</v>
      </c>
      <c r="C298" s="4">
        <f t="shared" si="22"/>
        <v>3.8285199585532266</v>
      </c>
      <c r="D298" s="4">
        <f t="shared" si="20"/>
        <v>190.70208887956642</v>
      </c>
      <c r="E298" s="4">
        <f t="shared" si="23"/>
        <v>178.79623760664819</v>
      </c>
    </row>
    <row r="299" spans="1:5" x14ac:dyDescent="0.55000000000000004">
      <c r="A299" s="25">
        <v>100.25</v>
      </c>
      <c r="B299" s="4">
        <f t="shared" si="21"/>
        <v>2.6709721022224984</v>
      </c>
      <c r="C299" s="4">
        <f t="shared" si="22"/>
        <v>3.8219943665660643</v>
      </c>
      <c r="D299" s="4">
        <f t="shared" si="20"/>
        <v>190.67725413579808</v>
      </c>
      <c r="E299" s="4">
        <f t="shared" si="23"/>
        <v>178.79169601232351</v>
      </c>
    </row>
    <row r="300" spans="1:5" x14ac:dyDescent="0.55000000000000004">
      <c r="A300" s="25">
        <v>100.5</v>
      </c>
      <c r="B300" s="4">
        <f t="shared" si="21"/>
        <v>2.6695477590045944</v>
      </c>
      <c r="C300" s="4">
        <f t="shared" si="22"/>
        <v>3.8154972389789874</v>
      </c>
      <c r="D300" s="4">
        <f t="shared" si="20"/>
        <v>190.65244457491153</v>
      </c>
      <c r="E300" s="4">
        <f t="shared" si="23"/>
        <v>178.78709108288473</v>
      </c>
    </row>
    <row r="301" spans="1:5" x14ac:dyDescent="0.55000000000000004">
      <c r="A301" s="25">
        <v>100.75</v>
      </c>
      <c r="B301" s="4">
        <f t="shared" si="21"/>
        <v>2.6681269235807421</v>
      </c>
      <c r="C301" s="4">
        <f t="shared" si="22"/>
        <v>3.8090283813928032</v>
      </c>
      <c r="D301" s="4">
        <f t="shared" si="20"/>
        <v>190.62766018063007</v>
      </c>
      <c r="E301" s="4">
        <f t="shared" si="23"/>
        <v>178.78242340659367</v>
      </c>
    </row>
    <row r="302" spans="1:5" x14ac:dyDescent="0.55000000000000004">
      <c r="A302" s="25">
        <v>101</v>
      </c>
      <c r="B302" s="4">
        <f t="shared" si="21"/>
        <v>2.6667095782222932</v>
      </c>
      <c r="C302" s="4">
        <f t="shared" si="22"/>
        <v>3.8025876012157558</v>
      </c>
      <c r="D302" s="4">
        <f t="shared" si="20"/>
        <v>190.60290093616149</v>
      </c>
      <c r="E302" s="4">
        <f t="shared" si="23"/>
        <v>178.77769356557593</v>
      </c>
    </row>
    <row r="303" spans="1:5" x14ac:dyDescent="0.55000000000000004">
      <c r="A303" s="25">
        <v>101.25</v>
      </c>
      <c r="B303" s="4">
        <f t="shared" si="21"/>
        <v>2.6652957053341049</v>
      </c>
      <c r="C303" s="4">
        <f t="shared" si="22"/>
        <v>3.7961747076422925</v>
      </c>
      <c r="D303" s="4">
        <f t="shared" si="20"/>
        <v>190.57816682420915</v>
      </c>
      <c r="E303" s="4">
        <f t="shared" si="23"/>
        <v>178.77290213589797</v>
      </c>
    </row>
    <row r="304" spans="1:5" x14ac:dyDescent="0.55000000000000004">
      <c r="A304" s="25">
        <v>101.5</v>
      </c>
      <c r="B304" s="4">
        <f t="shared" si="21"/>
        <v>2.6638852874532093</v>
      </c>
      <c r="C304" s="4">
        <f t="shared" si="22"/>
        <v>3.7897895116321192</v>
      </c>
      <c r="D304" s="4">
        <f t="shared" si="20"/>
        <v>190.55345782698188</v>
      </c>
      <c r="E304" s="4">
        <f t="shared" si="23"/>
        <v>178.76804968764228</v>
      </c>
    </row>
    <row r="305" spans="1:5" x14ac:dyDescent="0.55000000000000004">
      <c r="A305" s="25">
        <v>101.75</v>
      </c>
      <c r="B305" s="4">
        <f t="shared" si="21"/>
        <v>2.6624783072474925</v>
      </c>
      <c r="C305" s="4">
        <f t="shared" si="22"/>
        <v>3.7834318258895614</v>
      </c>
      <c r="D305" s="4">
        <f t="shared" si="20"/>
        <v>190.52877392620454</v>
      </c>
      <c r="E305" s="4">
        <f t="shared" si="23"/>
        <v>178.76313678498175</v>
      </c>
    </row>
    <row r="306" spans="1:5" x14ac:dyDescent="0.55000000000000004">
      <c r="A306" s="25">
        <v>102</v>
      </c>
      <c r="B306" s="4">
        <f t="shared" si="21"/>
        <v>2.6610747475143963</v>
      </c>
      <c r="C306" s="4">
        <f t="shared" si="22"/>
        <v>3.7771014648432244</v>
      </c>
      <c r="D306" s="4">
        <f t="shared" si="20"/>
        <v>190.50411510312804</v>
      </c>
      <c r="E306" s="4">
        <f t="shared" si="23"/>
        <v>178.75816398625346</v>
      </c>
    </row>
    <row r="307" spans="1:5" x14ac:dyDescent="0.55000000000000004">
      <c r="A307" s="25">
        <v>102.25</v>
      </c>
      <c r="B307" s="4">
        <f t="shared" si="21"/>
        <v>2.6596745911796331</v>
      </c>
      <c r="C307" s="4">
        <f t="shared" si="22"/>
        <v>3.7707982446259236</v>
      </c>
      <c r="D307" s="4">
        <f t="shared" si="20"/>
        <v>190.47948133853922</v>
      </c>
      <c r="E307" s="4">
        <f t="shared" si="23"/>
        <v>178.75313184403046</v>
      </c>
    </row>
    <row r="308" spans="1:5" x14ac:dyDescent="0.55000000000000004">
      <c r="A308" s="25">
        <v>102.5</v>
      </c>
      <c r="B308" s="4">
        <f t="shared" si="21"/>
        <v>2.6582778212959171</v>
      </c>
      <c r="C308" s="4">
        <f t="shared" si="22"/>
        <v>3.7645219830549106</v>
      </c>
      <c r="D308" s="4">
        <f t="shared" si="20"/>
        <v>190.45487261277023</v>
      </c>
      <c r="E308" s="4">
        <f t="shared" si="23"/>
        <v>178.74804090519308</v>
      </c>
    </row>
    <row r="309" spans="1:5" x14ac:dyDescent="0.55000000000000004">
      <c r="A309" s="25">
        <v>102.75</v>
      </c>
      <c r="B309" s="4">
        <f t="shared" si="21"/>
        <v>2.6568844210417075</v>
      </c>
      <c r="C309" s="4">
        <f t="shared" si="22"/>
        <v>3.7582724996123535</v>
      </c>
      <c r="D309" s="4">
        <f t="shared" si="20"/>
        <v>190.43028890570841</v>
      </c>
      <c r="E309" s="4">
        <f t="shared" si="23"/>
        <v>178.7428917109992</v>
      </c>
    </row>
    <row r="310" spans="1:5" x14ac:dyDescent="0.55000000000000004">
      <c r="A310" s="25">
        <v>103</v>
      </c>
      <c r="B310" s="4">
        <f t="shared" si="21"/>
        <v>2.6554943737199777</v>
      </c>
      <c r="C310" s="4">
        <f t="shared" si="22"/>
        <v>3.7520496154261442</v>
      </c>
      <c r="D310" s="4">
        <f t="shared" si="20"/>
        <v>190.40573019680548</v>
      </c>
      <c r="E310" s="4">
        <f t="shared" si="23"/>
        <v>178.73768479715326</v>
      </c>
    </row>
    <row r="311" spans="1:5" x14ac:dyDescent="0.55000000000000004">
      <c r="A311" s="25">
        <v>103.25</v>
      </c>
      <c r="B311" s="4">
        <f t="shared" si="21"/>
        <v>2.6541076627569855</v>
      </c>
      <c r="C311" s="4">
        <f t="shared" si="22"/>
        <v>3.7458531532508981</v>
      </c>
      <c r="D311" s="4">
        <f t="shared" si="20"/>
        <v>190.38119646508667</v>
      </c>
      <c r="E311" s="4">
        <f t="shared" si="23"/>
        <v>178.73242069387456</v>
      </c>
    </row>
    <row r="312" spans="1:5" x14ac:dyDescent="0.55000000000000004">
      <c r="A312" s="25">
        <v>103.5</v>
      </c>
      <c r="B312" s="4">
        <f t="shared" si="21"/>
        <v>2.6527242717010684</v>
      </c>
      <c r="C312" s="4">
        <f t="shared" si="22"/>
        <v>3.7396829374492673</v>
      </c>
      <c r="D312" s="4">
        <f t="shared" si="20"/>
        <v>190.35668768915977</v>
      </c>
      <c r="E312" s="4">
        <f t="shared" si="23"/>
        <v>178.72709992596415</v>
      </c>
    </row>
    <row r="313" spans="1:5" x14ac:dyDescent="0.55000000000000004">
      <c r="A313" s="25">
        <v>103.75</v>
      </c>
      <c r="B313" s="4">
        <f t="shared" si="21"/>
        <v>2.6513441842214522</v>
      </c>
      <c r="C313" s="4">
        <f t="shared" si="22"/>
        <v>3.7335387939735205</v>
      </c>
      <c r="D313" s="4">
        <f t="shared" si="20"/>
        <v>190.33220384722395</v>
      </c>
      <c r="E313" s="4">
        <f t="shared" si="23"/>
        <v>178.72172301287122</v>
      </c>
    </row>
    <row r="314" spans="1:5" x14ac:dyDescent="0.55000000000000004">
      <c r="A314" s="25">
        <v>104</v>
      </c>
      <c r="B314" s="4">
        <f t="shared" si="21"/>
        <v>2.6499673841070686</v>
      </c>
      <c r="C314" s="4">
        <f t="shared" si="22"/>
        <v>3.7274205503473361</v>
      </c>
      <c r="D314" s="4">
        <f t="shared" si="20"/>
        <v>190.30774491707845</v>
      </c>
      <c r="E314" s="4">
        <f t="shared" si="23"/>
        <v>178.71629046875833</v>
      </c>
    </row>
    <row r="315" spans="1:5" x14ac:dyDescent="0.55000000000000004">
      <c r="A315" s="25">
        <v>104.25</v>
      </c>
      <c r="B315" s="4">
        <f t="shared" si="21"/>
        <v>2.6485938552653945</v>
      </c>
      <c r="C315" s="4">
        <f t="shared" si="22"/>
        <v>3.7213280356478879</v>
      </c>
      <c r="D315" s="4">
        <f t="shared" si="20"/>
        <v>190.28331087613114</v>
      </c>
      <c r="E315" s="4">
        <f t="shared" si="23"/>
        <v>178.71080280256544</v>
      </c>
    </row>
    <row r="316" spans="1:5" x14ac:dyDescent="0.55000000000000004">
      <c r="A316" s="25">
        <v>104.5</v>
      </c>
      <c r="B316" s="4">
        <f t="shared" si="21"/>
        <v>2.6472235817212986</v>
      </c>
      <c r="C316" s="4">
        <f t="shared" si="22"/>
        <v>3.7152610804881396</v>
      </c>
      <c r="D316" s="4">
        <f t="shared" si="20"/>
        <v>190.25890170140676</v>
      </c>
      <c r="E316" s="4">
        <f t="shared" si="23"/>
        <v>178.70526051807369</v>
      </c>
    </row>
    <row r="317" spans="1:5" x14ac:dyDescent="0.55000000000000004">
      <c r="A317" s="25">
        <v>104.75</v>
      </c>
      <c r="B317" s="4">
        <f t="shared" si="21"/>
        <v>2.6458565476159084</v>
      </c>
      <c r="C317" s="4">
        <f t="shared" si="22"/>
        <v>3.70921951699943</v>
      </c>
      <c r="D317" s="4">
        <f t="shared" si="20"/>
        <v>190.23451736955528</v>
      </c>
      <c r="E317" s="4">
        <f t="shared" si="23"/>
        <v>178.69966411396746</v>
      </c>
    </row>
    <row r="318" spans="1:5" x14ac:dyDescent="0.55000000000000004">
      <c r="A318" s="25">
        <v>105</v>
      </c>
      <c r="B318" s="4">
        <f t="shared" si="21"/>
        <v>2.6444927372054843</v>
      </c>
      <c r="C318" s="4">
        <f t="shared" si="22"/>
        <v>3.7032031788142481</v>
      </c>
      <c r="D318" s="4">
        <f t="shared" si="20"/>
        <v>190.21015785685989</v>
      </c>
      <c r="E318" s="4">
        <f t="shared" si="23"/>
        <v>178.69401408389609</v>
      </c>
    </row>
  </sheetData>
  <pageMargins left="0.7" right="0.7" top="0.75" bottom="0.75" header="0.3" footer="0.3"/>
  <pageSetup orientation="portrait" horizontalDpi="300" verticalDpi="300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S318"/>
  <sheetViews>
    <sheetView tabSelected="1" topLeftCell="A13" zoomScaleNormal="100" workbookViewId="0">
      <selection activeCell="L24" sqref="L24"/>
    </sheetView>
  </sheetViews>
  <sheetFormatPr defaultRowHeight="14.4" x14ac:dyDescent="0.55000000000000004"/>
  <cols>
    <col min="1" max="1" width="11.68359375" bestFit="1" customWidth="1"/>
    <col min="2" max="2" width="10.15625" bestFit="1" customWidth="1"/>
    <col min="3" max="3" width="9" bestFit="1" customWidth="1"/>
    <col min="4" max="5" width="9.578125" bestFit="1" customWidth="1"/>
    <col min="8" max="8" width="10.26171875" customWidth="1"/>
    <col min="9" max="9" width="9.578125" bestFit="1" customWidth="1"/>
    <col min="11" max="11" width="22.68359375" customWidth="1"/>
    <col min="12" max="12" width="11" bestFit="1" customWidth="1"/>
    <col min="14" max="14" width="9.15625" customWidth="1"/>
  </cols>
  <sheetData>
    <row r="1" spans="1:16" x14ac:dyDescent="0.55000000000000004">
      <c r="A1" s="31" t="s">
        <v>0</v>
      </c>
      <c r="B1" s="34">
        <f>CONVERT(65000, "ft", "m")</f>
        <v>19812</v>
      </c>
      <c r="C1" s="25" t="str">
        <f>"---&gt;"</f>
        <v>---&gt;</v>
      </c>
      <c r="D1" s="32" t="s">
        <v>1</v>
      </c>
      <c r="E1" s="4">
        <f>SQRT(2*9.81*(B1 - E5)) + E2</f>
        <v>886.67741259109312</v>
      </c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</row>
    <row r="2" spans="1:16" ht="16.8" x14ac:dyDescent="0.75">
      <c r="A2" s="31" t="s">
        <v>2</v>
      </c>
      <c r="B2" s="12">
        <v>4.5</v>
      </c>
      <c r="C2" s="25"/>
      <c r="D2" s="31" t="s">
        <v>81</v>
      </c>
      <c r="E2" s="12">
        <v>329.69317583030301</v>
      </c>
      <c r="F2" s="25"/>
      <c r="G2" s="25"/>
      <c r="H2" s="25"/>
      <c r="I2" s="25"/>
      <c r="J2" s="25"/>
      <c r="K2" s="31" t="s">
        <v>91</v>
      </c>
      <c r="L2" s="12">
        <v>5</v>
      </c>
      <c r="N2" s="25"/>
      <c r="O2" s="25"/>
      <c r="P2" s="25"/>
    </row>
    <row r="3" spans="1:16" ht="16.8" x14ac:dyDescent="0.75">
      <c r="A3" s="31" t="s">
        <v>3</v>
      </c>
      <c r="B3" s="13">
        <f>CONVERT(450,"psi","Pa")/1000</f>
        <v>3102.6407819257624</v>
      </c>
      <c r="C3" s="25"/>
      <c r="D3" s="31" t="s">
        <v>4</v>
      </c>
      <c r="E3" s="25">
        <v>1401</v>
      </c>
      <c r="F3" s="10" t="s">
        <v>77</v>
      </c>
      <c r="G3" s="25"/>
      <c r="H3" s="25"/>
      <c r="I3" s="25"/>
      <c r="J3" s="25"/>
      <c r="K3" s="31" t="s">
        <v>138</v>
      </c>
      <c r="L3" s="12">
        <v>5</v>
      </c>
      <c r="M3" s="25"/>
      <c r="N3" s="25"/>
      <c r="O3" s="25"/>
      <c r="P3" s="25"/>
    </row>
    <row r="4" spans="1:16" ht="16.8" x14ac:dyDescent="0.75">
      <c r="A4" s="32" t="s">
        <v>78</v>
      </c>
      <c r="B4" s="12">
        <v>7000</v>
      </c>
      <c r="C4" s="25"/>
      <c r="D4" s="31" t="s">
        <v>6</v>
      </c>
      <c r="E4" s="4">
        <f>101.325*(1 - 0.0065*E3/288.16)^(-9.81/-0.0065/287)</f>
        <v>85.581205816462187</v>
      </c>
      <c r="F4" s="2" t="s">
        <v>7</v>
      </c>
      <c r="G4" s="25"/>
      <c r="H4" s="25"/>
      <c r="I4" s="25"/>
      <c r="J4" s="25"/>
      <c r="K4" s="31" t="s">
        <v>139</v>
      </c>
      <c r="L4" s="30">
        <f>IF(L3=5,141.3, IF(L3=6,168.28,IF(L3=8,219.08)))</f>
        <v>141.30000000000001</v>
      </c>
      <c r="M4" s="25"/>
      <c r="N4" s="25"/>
      <c r="O4" s="25"/>
      <c r="P4" s="25"/>
    </row>
    <row r="5" spans="1:16" ht="16.8" x14ac:dyDescent="0.75">
      <c r="A5" s="32" t="s">
        <v>8</v>
      </c>
      <c r="B5" s="25">
        <v>0.9</v>
      </c>
      <c r="C5" s="25"/>
      <c r="D5" s="31" t="s">
        <v>82</v>
      </c>
      <c r="E5" s="12">
        <v>4000</v>
      </c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</row>
    <row r="6" spans="1:16" ht="16.8" x14ac:dyDescent="0.75">
      <c r="A6" s="32" t="s">
        <v>11</v>
      </c>
      <c r="B6" s="25">
        <v>0.9</v>
      </c>
      <c r="C6" s="25"/>
      <c r="D6" s="32" t="s">
        <v>9</v>
      </c>
      <c r="E6" s="4">
        <f>101.325*(1 - 0.0065*2/3*E5/288.16)^(-9.81/-0.0065/287)</f>
        <v>73.120104968355392</v>
      </c>
      <c r="F6" s="2" t="s">
        <v>83</v>
      </c>
      <c r="G6" s="25"/>
      <c r="H6" s="25"/>
      <c r="I6" s="25"/>
      <c r="J6" s="25"/>
      <c r="K6" s="25"/>
      <c r="L6" s="25"/>
      <c r="M6" s="25"/>
      <c r="N6" s="25"/>
      <c r="O6" s="25"/>
      <c r="P6" s="25"/>
    </row>
    <row r="7" spans="1:16" ht="16.8" x14ac:dyDescent="0.75">
      <c r="A7" s="32" t="s">
        <v>12</v>
      </c>
      <c r="B7" s="25">
        <f>19/30</f>
        <v>0.6333333333333333</v>
      </c>
      <c r="C7" s="25"/>
      <c r="D7" s="25"/>
      <c r="E7" s="25"/>
      <c r="F7" s="25"/>
      <c r="G7" s="25"/>
      <c r="H7" s="25"/>
      <c r="I7" s="25"/>
      <c r="J7" s="25"/>
      <c r="K7" s="25"/>
      <c r="L7" s="25"/>
      <c r="M7" s="25" t="s">
        <v>84</v>
      </c>
      <c r="N7" s="25"/>
      <c r="O7" s="25"/>
      <c r="P7" s="25"/>
    </row>
    <row r="8" spans="1:16" x14ac:dyDescent="0.55000000000000004">
      <c r="A8" s="25"/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 t="s">
        <v>85</v>
      </c>
      <c r="N8" s="25">
        <f>CONVERT(1.45, "in", "m")</f>
        <v>3.6830000000000002E-2</v>
      </c>
      <c r="O8" s="25">
        <f>PI()*N8^2/4</f>
        <v>1.0653524748024891E-3</v>
      </c>
      <c r="P8" s="25"/>
    </row>
    <row r="9" spans="1:16" ht="16.8" x14ac:dyDescent="0.75">
      <c r="A9" s="32" t="s">
        <v>13</v>
      </c>
      <c r="B9" s="25">
        <v>1.2343</v>
      </c>
      <c r="C9" s="25"/>
      <c r="D9" s="25"/>
      <c r="E9" s="25"/>
      <c r="F9" s="25"/>
      <c r="G9" s="25"/>
      <c r="H9" s="31" t="s">
        <v>117</v>
      </c>
      <c r="I9" s="25"/>
      <c r="J9" s="25"/>
      <c r="K9" s="25"/>
      <c r="L9" s="25"/>
      <c r="M9" s="25" t="s">
        <v>86</v>
      </c>
      <c r="N9" s="25">
        <f>CONVERT(3.275, "in", "m")</f>
        <v>8.3184999999999995E-2</v>
      </c>
      <c r="O9" s="25">
        <f>PI()*N9^2/4</f>
        <v>5.4347544054950984E-3</v>
      </c>
      <c r="P9" s="25"/>
    </row>
    <row r="10" spans="1:16" x14ac:dyDescent="0.55000000000000004">
      <c r="A10" s="32" t="s">
        <v>15</v>
      </c>
      <c r="B10" s="25">
        <v>23.103000000000002</v>
      </c>
      <c r="C10" s="25" t="str">
        <f>"---&gt;"</f>
        <v>---&gt;</v>
      </c>
      <c r="D10" s="31" t="s">
        <v>16</v>
      </c>
      <c r="E10" s="25">
        <f>8314/B10</f>
        <v>359.86668398043543</v>
      </c>
      <c r="F10" s="25"/>
      <c r="G10" s="25"/>
      <c r="H10" s="4">
        <f>E190</f>
        <v>189.83192185952259</v>
      </c>
      <c r="I10" s="25"/>
      <c r="J10" s="25"/>
      <c r="K10" s="25"/>
      <c r="L10" s="25"/>
      <c r="M10" s="6"/>
      <c r="N10" s="25" t="s">
        <v>87</v>
      </c>
      <c r="O10" s="25"/>
      <c r="P10" s="25"/>
    </row>
    <row r="11" spans="1:16" ht="16.8" x14ac:dyDescent="0.75">
      <c r="A11" s="32" t="s">
        <v>17</v>
      </c>
      <c r="B11" s="25">
        <v>2825.98</v>
      </c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</row>
    <row r="12" spans="1:16" x14ac:dyDescent="0.55000000000000004">
      <c r="A12" s="32" t="s">
        <v>18</v>
      </c>
      <c r="B12" s="4">
        <f>B5*SQRT(B9*E10*B11)/B9/(2/(B9 + 1))^((B9 + 1)/(2*B9 - 2))</f>
        <v>1385.4302060307175</v>
      </c>
      <c r="C12" s="25"/>
      <c r="D12" s="25"/>
      <c r="E12" s="25"/>
      <c r="F12" s="25"/>
      <c r="G12" s="25"/>
      <c r="H12" s="25" t="s">
        <v>19</v>
      </c>
      <c r="I12" s="25"/>
      <c r="J12" s="25" t="s">
        <v>20</v>
      </c>
      <c r="K12" s="25"/>
      <c r="L12" s="25"/>
      <c r="M12" s="25" t="s">
        <v>21</v>
      </c>
      <c r="N12" s="25"/>
      <c r="O12" s="25"/>
      <c r="P12" s="10" t="s">
        <v>63</v>
      </c>
    </row>
    <row r="13" spans="1:16" ht="16.8" x14ac:dyDescent="0.75">
      <c r="A13" s="25"/>
      <c r="B13" s="25"/>
      <c r="C13" s="25"/>
      <c r="D13" s="9" t="s">
        <v>22</v>
      </c>
      <c r="E13" s="3" t="s">
        <v>23</v>
      </c>
      <c r="F13" s="25"/>
      <c r="G13" s="25"/>
      <c r="H13" s="32" t="s">
        <v>24</v>
      </c>
      <c r="I13" s="25">
        <f>0.2*B3</f>
        <v>620.52815638515256</v>
      </c>
      <c r="J13" s="25">
        <f>CONVERT(I13*1000, "Pa", "psi")</f>
        <v>90.000000000000014</v>
      </c>
      <c r="K13" s="25"/>
      <c r="L13" s="25"/>
      <c r="M13" s="32" t="s">
        <v>28</v>
      </c>
      <c r="N13" s="7">
        <f>C190</f>
        <v>5.8925914167420999</v>
      </c>
      <c r="O13" s="31" t="s">
        <v>64</v>
      </c>
      <c r="P13" s="25"/>
    </row>
    <row r="14" spans="1:16" ht="17.7" x14ac:dyDescent="0.75">
      <c r="A14" s="25" t="s">
        <v>26</v>
      </c>
      <c r="B14" s="25" t="s">
        <v>27</v>
      </c>
      <c r="C14" s="1" t="s">
        <v>28</v>
      </c>
      <c r="D14" s="1" t="s">
        <v>29</v>
      </c>
      <c r="E14" s="1" t="s">
        <v>29</v>
      </c>
      <c r="F14" s="25"/>
      <c r="G14" s="25"/>
      <c r="H14" s="32" t="s">
        <v>30</v>
      </c>
      <c r="I14" s="25">
        <v>0</v>
      </c>
      <c r="J14" s="2" t="s">
        <v>31</v>
      </c>
      <c r="K14" s="25"/>
      <c r="L14" s="25"/>
      <c r="M14" s="31" t="s">
        <v>25</v>
      </c>
      <c r="N14" s="33">
        <f>I26*B12/(B3*1000)</f>
        <v>1.6784675274579906E-3</v>
      </c>
      <c r="O14" s="17">
        <f>SQRT(N14/PI())*2</f>
        <v>4.6228684066425316E-2</v>
      </c>
      <c r="P14" s="10" t="s">
        <v>65</v>
      </c>
    </row>
    <row r="15" spans="1:16" ht="17.7" x14ac:dyDescent="0.75">
      <c r="A15" s="25">
        <v>29.5</v>
      </c>
      <c r="B15" s="4">
        <f t="shared" ref="B15:B46" si="0">SQRT(2/($B$9-1)*((A15/$B$3)^((1-$B$9)/$B$9) - 1))</f>
        <v>3.4814982468511504</v>
      </c>
      <c r="C15" s="4">
        <f t="shared" ref="C15:C46" si="1">1/B15*(2/($B$9+1)*(1 + ($B$9-1)/2*B15^2))^(($B$9+1)/(2*$B$9-2))</f>
        <v>11.450975594821408</v>
      </c>
      <c r="D15" s="4">
        <f t="shared" ref="D15:D46" si="2">$B$6*$B$12/9.81*($B$9*SQRT(2/($B$9-1)*(2/($B$9+1))^(($B$9+1)/($B$9-1))*(1 - (A15/$B$3)^(($B$9-1)/$B$9))) + C15/$B$3*(A15 - $E$6))</f>
        <v>186.57286382192007</v>
      </c>
      <c r="E15" s="4">
        <f t="shared" ref="E15:E46" si="3">$B$6*$B$12/9.81*($B$9*SQRT(2/($B$9-1)*(2/($B$9+1))^(($B$9+1)/($B$9-1))*(1 - (A15/$B$3)^(($B$9-1)/$B$9))) + C15/$B$3*(A15 - $E$4))</f>
        <v>180.72731142865268</v>
      </c>
      <c r="F15" s="25"/>
      <c r="G15" s="25"/>
      <c r="H15" s="32" t="s">
        <v>33</v>
      </c>
      <c r="I15" s="25">
        <f>0.5*B3/E10/B11*1^2</f>
        <v>1.5254247025087578E-3</v>
      </c>
      <c r="J15" s="2" t="s">
        <v>34</v>
      </c>
      <c r="K15" s="25"/>
      <c r="L15" s="25"/>
      <c r="M15" s="31" t="s">
        <v>32</v>
      </c>
      <c r="N15" s="25">
        <f>N14*N13</f>
        <v>9.8905233455792909E-3</v>
      </c>
      <c r="O15" s="17">
        <f>SQRT(N15/PI())*2</f>
        <v>0.11221856103924108</v>
      </c>
      <c r="P15" s="10" t="s">
        <v>66</v>
      </c>
    </row>
    <row r="16" spans="1:16" ht="16.8" x14ac:dyDescent="0.75">
      <c r="A16" s="25">
        <v>29.75</v>
      </c>
      <c r="B16" s="4">
        <f t="shared" si="0"/>
        <v>3.4767464996848227</v>
      </c>
      <c r="C16" s="4">
        <f t="shared" si="1"/>
        <v>11.379378370431638</v>
      </c>
      <c r="D16" s="4">
        <f t="shared" si="2"/>
        <v>186.70043904560808</v>
      </c>
      <c r="E16" s="4">
        <f t="shared" si="3"/>
        <v>180.89143596841578</v>
      </c>
      <c r="F16" s="25"/>
      <c r="G16" s="25"/>
      <c r="H16" s="32" t="s">
        <v>36</v>
      </c>
      <c r="I16" s="15">
        <f>B3+I13+I14+I15</f>
        <v>3723.1704637356174</v>
      </c>
      <c r="J16" s="4">
        <f>CONVERT(I16*1000, "Pa", "psi")</f>
        <v>540.00022124414784</v>
      </c>
      <c r="K16" s="25"/>
      <c r="L16" s="25"/>
      <c r="M16" s="25"/>
      <c r="N16" s="25"/>
      <c r="O16" s="25"/>
      <c r="P16" s="25"/>
    </row>
    <row r="17" spans="1:19" x14ac:dyDescent="0.55000000000000004">
      <c r="A17" s="25">
        <v>30</v>
      </c>
      <c r="B17" s="4">
        <f t="shared" si="0"/>
        <v>3.4720356207273309</v>
      </c>
      <c r="C17" s="4">
        <f t="shared" si="1"/>
        <v>11.308839621944699</v>
      </c>
      <c r="D17" s="4">
        <f t="shared" si="2"/>
        <v>186.82540579299376</v>
      </c>
      <c r="E17" s="4">
        <f t="shared" si="3"/>
        <v>181.05241169570203</v>
      </c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1:19" x14ac:dyDescent="0.55000000000000004">
      <c r="A18" s="25">
        <v>30.25</v>
      </c>
      <c r="B18" s="4">
        <f t="shared" si="0"/>
        <v>3.467364915193258</v>
      </c>
      <c r="C18" s="4">
        <f t="shared" si="1"/>
        <v>11.239335038272094</v>
      </c>
      <c r="D18" s="4">
        <f t="shared" si="2"/>
        <v>186.94782856598624</v>
      </c>
      <c r="E18" s="4">
        <f t="shared" si="3"/>
        <v>181.21031552286902</v>
      </c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</row>
    <row r="19" spans="1:19" ht="16.8" x14ac:dyDescent="0.75">
      <c r="A19" s="25">
        <v>30.5</v>
      </c>
      <c r="B19" s="4">
        <f t="shared" si="0"/>
        <v>3.4627337057609475</v>
      </c>
      <c r="C19" s="4">
        <f t="shared" si="1"/>
        <v>11.170841062097542</v>
      </c>
      <c r="D19" s="4">
        <f t="shared" si="2"/>
        <v>187.06776979958087</v>
      </c>
      <c r="E19" s="4">
        <f t="shared" si="3"/>
        <v>181.36522191057091</v>
      </c>
      <c r="F19" s="25"/>
      <c r="G19" s="25"/>
      <c r="H19" s="25" t="s">
        <v>37</v>
      </c>
      <c r="I19" s="25"/>
      <c r="J19" s="25"/>
      <c r="K19" s="25" t="s">
        <v>38</v>
      </c>
      <c r="L19" s="3" t="s">
        <v>74</v>
      </c>
      <c r="M19" s="25"/>
      <c r="N19" s="25"/>
      <c r="O19" s="25"/>
      <c r="P19" s="25"/>
      <c r="Q19" s="25"/>
      <c r="R19" s="25"/>
      <c r="S19" s="25"/>
    </row>
    <row r="20" spans="1:19" ht="17.7" x14ac:dyDescent="0.75">
      <c r="A20" s="25">
        <v>30.75</v>
      </c>
      <c r="B20" s="4">
        <f t="shared" si="0"/>
        <v>3.4581413319941356</v>
      </c>
      <c r="C20" s="4">
        <f t="shared" si="1"/>
        <v>11.103334860551779</v>
      </c>
      <c r="D20" s="4">
        <f t="shared" si="2"/>
        <v>187.18528994379068</v>
      </c>
      <c r="E20" s="4">
        <f t="shared" si="3"/>
        <v>181.51720296466024</v>
      </c>
      <c r="F20" s="25"/>
      <c r="G20" s="25"/>
      <c r="H20" s="31" t="s">
        <v>39</v>
      </c>
      <c r="I20" s="13">
        <f>CONVERT(88, "lbm", "kg")</f>
        <v>39.916128560000004</v>
      </c>
      <c r="J20" s="25"/>
      <c r="K20" s="31" t="s">
        <v>40</v>
      </c>
      <c r="L20" s="12">
        <v>700</v>
      </c>
      <c r="M20" s="10" t="s">
        <v>41</v>
      </c>
      <c r="N20" s="25"/>
      <c r="O20" s="25"/>
      <c r="P20" s="25"/>
      <c r="Q20" s="25"/>
      <c r="R20" s="25"/>
      <c r="S20" s="25"/>
    </row>
    <row r="21" spans="1:19" ht="16.8" x14ac:dyDescent="0.75">
      <c r="A21" s="25">
        <v>31</v>
      </c>
      <c r="B21" s="4">
        <f t="shared" si="0"/>
        <v>3.4535871497872721</v>
      </c>
      <c r="C21" s="4">
        <f t="shared" si="1"/>
        <v>11.036794297255904</v>
      </c>
      <c r="D21" s="4">
        <f t="shared" si="2"/>
        <v>187.30044754170814</v>
      </c>
      <c r="E21" s="4">
        <f t="shared" si="3"/>
        <v>181.66632852852112</v>
      </c>
      <c r="F21" s="25"/>
      <c r="G21" s="25"/>
      <c r="H21" s="31" t="s">
        <v>42</v>
      </c>
      <c r="I21" s="4">
        <f>I20*EXP(E1/H10/9.81)</f>
        <v>64.258402388325564</v>
      </c>
      <c r="J21" s="25"/>
      <c r="K21" s="31" t="s">
        <v>88</v>
      </c>
      <c r="L21" s="12">
        <v>1</v>
      </c>
      <c r="M21" s="25"/>
      <c r="N21" s="25"/>
      <c r="O21" s="25"/>
      <c r="P21" s="25"/>
      <c r="Q21" s="25"/>
      <c r="R21" s="25"/>
      <c r="S21" s="25"/>
    </row>
    <row r="22" spans="1:19" ht="17.7" x14ac:dyDescent="0.75">
      <c r="A22" s="25">
        <v>31.25</v>
      </c>
      <c r="B22" s="4">
        <f t="shared" si="0"/>
        <v>3.4490705308333749</v>
      </c>
      <c r="C22" s="4">
        <f t="shared" si="1"/>
        <v>10.971197905659077</v>
      </c>
      <c r="D22" s="4">
        <f t="shared" si="2"/>
        <v>187.41329930390822</v>
      </c>
      <c r="E22" s="4">
        <f t="shared" si="3"/>
        <v>181.81266627108272</v>
      </c>
      <c r="F22" s="25"/>
      <c r="G22" s="25"/>
      <c r="H22" s="31" t="s">
        <v>45</v>
      </c>
      <c r="I22" s="7">
        <f>I21-I20</f>
        <v>24.34227382832556</v>
      </c>
      <c r="J22" s="25"/>
      <c r="K22" s="31" t="s">
        <v>43</v>
      </c>
      <c r="L22" s="20">
        <f>I28/L21/L20</f>
        <v>4.3935095256598918E-3</v>
      </c>
      <c r="M22" s="4">
        <f>L22*100^2</f>
        <v>43.93509525659892</v>
      </c>
      <c r="N22" s="25" t="s">
        <v>44</v>
      </c>
      <c r="O22" s="25" t="s">
        <v>67</v>
      </c>
      <c r="P22" s="25"/>
      <c r="Q22" s="25"/>
      <c r="R22" s="25"/>
      <c r="S22" s="25"/>
    </row>
    <row r="23" spans="1:19" ht="16.8" x14ac:dyDescent="0.75">
      <c r="A23" s="25">
        <v>31.5</v>
      </c>
      <c r="B23" s="4">
        <f t="shared" si="0"/>
        <v>3.444590862113349</v>
      </c>
      <c r="C23" s="4">
        <f t="shared" si="1"/>
        <v>10.90652486360092</v>
      </c>
      <c r="D23" s="4">
        <f t="shared" si="2"/>
        <v>187.52390017939157</v>
      </c>
      <c r="E23" s="4">
        <f t="shared" si="3"/>
        <v>181.95628177074832</v>
      </c>
      <c r="F23" s="25"/>
      <c r="G23" s="25"/>
      <c r="H23" s="31" t="s">
        <v>48</v>
      </c>
      <c r="I23" s="14">
        <f>I22/(1+B2)</f>
        <v>4.4258679687864655</v>
      </c>
      <c r="J23" s="25"/>
      <c r="K23" s="31" t="s">
        <v>46</v>
      </c>
      <c r="L23" s="16">
        <f>2*SQRT(L22/PI())</f>
        <v>7.4792981410295459E-2</v>
      </c>
      <c r="M23" s="4">
        <f>L23*100</f>
        <v>7.4792981410295463</v>
      </c>
      <c r="N23" s="25" t="s">
        <v>47</v>
      </c>
      <c r="O23" s="8">
        <f>CONVERT(L23, "m", "in")</f>
        <v>2.9446055673344671</v>
      </c>
      <c r="P23" s="4"/>
      <c r="Q23" s="25"/>
      <c r="R23" s="25"/>
      <c r="S23" s="25"/>
    </row>
    <row r="24" spans="1:19" ht="17.100000000000001" thickBot="1" x14ac:dyDescent="0.8">
      <c r="A24" s="25">
        <v>31.75</v>
      </c>
      <c r="B24" s="4">
        <f t="shared" si="0"/>
        <v>3.4401475454057118</v>
      </c>
      <c r="C24" s="4">
        <f t="shared" si="1"/>
        <v>10.842754969033056</v>
      </c>
      <c r="D24" s="4">
        <f t="shared" si="2"/>
        <v>187.6323034232548</v>
      </c>
      <c r="E24" s="4">
        <f t="shared" si="3"/>
        <v>182.09723859545909</v>
      </c>
      <c r="F24" s="25"/>
      <c r="G24" s="25"/>
      <c r="H24" s="31" t="s">
        <v>51</v>
      </c>
      <c r="I24" s="14">
        <f>I22-I23</f>
        <v>19.916405859539093</v>
      </c>
      <c r="J24" s="25"/>
      <c r="K24" s="31" t="s">
        <v>49</v>
      </c>
      <c r="L24" s="17">
        <f>(I27/(900*0.000155*L20^0.5*PI()*L23))^(1/(0+1))</f>
        <v>0.78806701961257952</v>
      </c>
      <c r="M24" s="4">
        <f>L24*100</f>
        <v>78.806701961257957</v>
      </c>
      <c r="N24" s="25" t="s">
        <v>47</v>
      </c>
      <c r="O24" s="8">
        <f>CONVERT(L24, "m", "in")</f>
        <v>31.026260614668487</v>
      </c>
      <c r="P24" s="10" t="s">
        <v>68</v>
      </c>
      <c r="Q24" s="25"/>
      <c r="R24" s="25"/>
      <c r="S24" s="25"/>
    </row>
    <row r="25" spans="1:19" ht="17.399999999999999" thickTop="1" thickBot="1" x14ac:dyDescent="0.8">
      <c r="A25" s="25">
        <v>32</v>
      </c>
      <c r="B25" s="4">
        <f t="shared" si="0"/>
        <v>3.4357399968157836</v>
      </c>
      <c r="C25" s="4">
        <f t="shared" si="1"/>
        <v>10.779868616838174</v>
      </c>
      <c r="D25" s="4">
        <f t="shared" si="2"/>
        <v>187.73856066126305</v>
      </c>
      <c r="E25" s="4">
        <f t="shared" si="3"/>
        <v>182.23559837910051</v>
      </c>
      <c r="F25" s="25"/>
      <c r="G25" s="25"/>
      <c r="H25" s="31" t="s">
        <v>53</v>
      </c>
      <c r="I25" s="7">
        <f>I20/I21</f>
        <v>0.62118146540244434</v>
      </c>
      <c r="J25" s="25"/>
      <c r="K25" s="31" t="s">
        <v>52</v>
      </c>
      <c r="L25" s="24">
        <f>SQRT(4*I23/PI()/L24/900/L21 + L23^2)</f>
        <v>0.11635787416084852</v>
      </c>
      <c r="M25" s="4">
        <f t="shared" ref="M25:M26" si="4">L25*100</f>
        <v>11.635787416084851</v>
      </c>
      <c r="N25" s="25" t="s">
        <v>47</v>
      </c>
      <c r="O25" s="8">
        <f t="shared" ref="O25:O26" si="5">CONVERT(L25, "m", "in")</f>
        <v>4.5810186677499418</v>
      </c>
      <c r="P25" s="25"/>
      <c r="Q25" s="25"/>
      <c r="R25" s="25"/>
      <c r="S25" s="25"/>
    </row>
    <row r="26" spans="1:19" ht="17.100000000000001" thickTop="1" x14ac:dyDescent="0.75">
      <c r="A26" s="25">
        <v>32.25</v>
      </c>
      <c r="B26" s="4">
        <f t="shared" si="0"/>
        <v>3.431367646323404</v>
      </c>
      <c r="C26" s="4">
        <f t="shared" si="1"/>
        <v>10.717846776689218</v>
      </c>
      <c r="D26" s="4">
        <f t="shared" si="2"/>
        <v>187.84272195148847</v>
      </c>
      <c r="E26" s="4">
        <f t="shared" si="3"/>
        <v>182.37142089444302</v>
      </c>
      <c r="F26" s="25"/>
      <c r="G26" s="25"/>
      <c r="H26" s="31" t="s">
        <v>55</v>
      </c>
      <c r="I26" s="23">
        <f>B4/H10/9.81</f>
        <v>3.7588914830645739</v>
      </c>
      <c r="J26" s="25"/>
      <c r="K26" s="31" t="s">
        <v>54</v>
      </c>
      <c r="L26" s="17">
        <f>(L25-L23)/2</f>
        <v>2.0782446375276528E-2</v>
      </c>
      <c r="M26" s="4">
        <f t="shared" si="4"/>
        <v>2.0782446375276526</v>
      </c>
      <c r="N26" s="25" t="s">
        <v>47</v>
      </c>
      <c r="O26" s="4">
        <f t="shared" si="5"/>
        <v>0.81820655020773725</v>
      </c>
      <c r="P26" s="25"/>
      <c r="Q26" s="25"/>
      <c r="R26" s="25"/>
      <c r="S26" s="25"/>
    </row>
    <row r="27" spans="1:19" ht="16.8" x14ac:dyDescent="0.75">
      <c r="A27" s="25">
        <v>32.5</v>
      </c>
      <c r="B27" s="4">
        <f t="shared" si="0"/>
        <v>3.4270299373483191</v>
      </c>
      <c r="C27" s="4">
        <f t="shared" si="1"/>
        <v>10.656670971893947</v>
      </c>
      <c r="D27" s="4">
        <f t="shared" si="2"/>
        <v>187.94483584317021</v>
      </c>
      <c r="E27" s="4">
        <f t="shared" si="3"/>
        <v>182.50476412280173</v>
      </c>
      <c r="F27" s="25"/>
      <c r="G27" s="25"/>
      <c r="H27" s="31" t="s">
        <v>57</v>
      </c>
      <c r="I27" s="8">
        <f>I26/(1 + B2)</f>
        <v>0.68343481510264981</v>
      </c>
      <c r="J27" s="25"/>
      <c r="K27" s="31" t="s">
        <v>69</v>
      </c>
      <c r="L27" s="25"/>
      <c r="M27" s="25">
        <v>0</v>
      </c>
      <c r="N27" s="25"/>
      <c r="O27" s="25"/>
      <c r="P27" s="25"/>
      <c r="Q27" s="25"/>
      <c r="R27" s="25"/>
      <c r="S27" s="25"/>
    </row>
    <row r="28" spans="1:19" ht="16.8" x14ac:dyDescent="0.75">
      <c r="A28" s="25">
        <v>32.75</v>
      </c>
      <c r="B28" s="4">
        <f t="shared" si="0"/>
        <v>3.422726326332421</v>
      </c>
      <c r="C28" s="4">
        <f t="shared" si="1"/>
        <v>10.596323259174278</v>
      </c>
      <c r="D28" s="4">
        <f t="shared" si="2"/>
        <v>188.04494943294017</v>
      </c>
      <c r="E28" s="4">
        <f t="shared" si="3"/>
        <v>182.63568432058474</v>
      </c>
      <c r="F28" s="25"/>
      <c r="G28" s="25"/>
      <c r="H28" s="31" t="s">
        <v>58</v>
      </c>
      <c r="I28" s="14">
        <f>I26-I27</f>
        <v>3.075456667961924</v>
      </c>
      <c r="J28" s="25"/>
      <c r="K28" s="25"/>
      <c r="L28" s="25"/>
      <c r="M28" s="25"/>
      <c r="N28" s="25"/>
      <c r="O28" s="25"/>
      <c r="P28" s="25"/>
      <c r="Q28" s="25"/>
      <c r="R28" s="25"/>
      <c r="S28" s="25"/>
    </row>
    <row r="29" spans="1:19" x14ac:dyDescent="0.55000000000000004">
      <c r="A29" s="25">
        <v>33</v>
      </c>
      <c r="B29" s="4">
        <f t="shared" si="0"/>
        <v>3.4184562823380427</v>
      </c>
      <c r="C29" s="4">
        <f t="shared" si="1"/>
        <v>10.536786209331751</v>
      </c>
      <c r="D29" s="4">
        <f t="shared" si="2"/>
        <v>188.14310841855291</v>
      </c>
      <c r="E29" s="4">
        <f t="shared" si="3"/>
        <v>182.76423608289267</v>
      </c>
      <c r="F29" s="25"/>
      <c r="G29" s="25"/>
      <c r="H29" s="1"/>
      <c r="I29" s="7"/>
      <c r="J29" s="25"/>
      <c r="K29" s="25"/>
      <c r="L29" s="25"/>
      <c r="M29" s="25"/>
      <c r="N29" s="25"/>
      <c r="O29" s="25"/>
      <c r="P29" s="25"/>
      <c r="Q29" s="25"/>
      <c r="R29" s="25"/>
      <c r="S29" s="7"/>
    </row>
    <row r="30" spans="1:19" x14ac:dyDescent="0.55000000000000004">
      <c r="A30" s="25">
        <v>33.25</v>
      </c>
      <c r="B30" s="4">
        <f t="shared" si="0"/>
        <v>3.4142192866616075</v>
      </c>
      <c r="C30" s="4">
        <f t="shared" si="1"/>
        <v>10.478042888754585</v>
      </c>
      <c r="D30" s="4">
        <f t="shared" si="2"/>
        <v>188.23935715024555</v>
      </c>
      <c r="E30" s="4">
        <f t="shared" si="3"/>
        <v>182.89047240431901</v>
      </c>
      <c r="F30" s="25"/>
      <c r="G30" s="25"/>
      <c r="H30" s="25"/>
      <c r="I30" s="25"/>
      <c r="J30" s="25"/>
      <c r="K30" s="4"/>
      <c r="L30" s="25"/>
      <c r="M30" s="4"/>
      <c r="N30" s="4"/>
      <c r="O30" s="25"/>
      <c r="P30" s="25"/>
      <c r="Q30" s="25"/>
      <c r="R30" s="25"/>
      <c r="S30" s="25"/>
    </row>
    <row r="31" spans="1:19" x14ac:dyDescent="0.55000000000000004">
      <c r="A31" s="25">
        <v>33.5</v>
      </c>
      <c r="B31" s="4">
        <f t="shared" si="0"/>
        <v>3.410014832461902</v>
      </c>
      <c r="C31" s="4">
        <f t="shared" si="1"/>
        <v>10.420076841722992</v>
      </c>
      <c r="D31" s="4">
        <f t="shared" si="2"/>
        <v>188.33373867985159</v>
      </c>
      <c r="E31" s="4">
        <f t="shared" si="3"/>
        <v>183.01444473709705</v>
      </c>
      <c r="F31" s="25"/>
      <c r="G31" s="25"/>
      <c r="H31" s="21" t="s">
        <v>75</v>
      </c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</row>
    <row r="32" spans="1:19" x14ac:dyDescent="0.55000000000000004">
      <c r="A32" s="25">
        <v>33.75</v>
      </c>
      <c r="B32" s="4">
        <f t="shared" si="0"/>
        <v>3.4058424244023411</v>
      </c>
      <c r="C32" s="4">
        <f t="shared" si="1"/>
        <v>10.362872073473188</v>
      </c>
      <c r="D32" s="4">
        <f t="shared" si="2"/>
        <v>188.42629480778126</v>
      </c>
      <c r="E32" s="4">
        <f t="shared" si="3"/>
        <v>183.13620304672554</v>
      </c>
      <c r="F32" s="25"/>
      <c r="G32" s="25"/>
      <c r="H32" s="25" t="s">
        <v>37</v>
      </c>
      <c r="I32" s="25"/>
      <c r="J32" s="25"/>
      <c r="K32" s="25" t="s">
        <v>38</v>
      </c>
      <c r="L32" s="25"/>
      <c r="M32" s="25"/>
      <c r="N32" s="25"/>
      <c r="O32" s="25"/>
      <c r="P32" s="25"/>
      <c r="Q32" s="25"/>
      <c r="R32" s="25"/>
      <c r="S32" s="25"/>
    </row>
    <row r="33" spans="1:15" ht="17.7" x14ac:dyDescent="0.75">
      <c r="A33" s="25">
        <v>34</v>
      </c>
      <c r="B33" s="4">
        <f t="shared" si="0"/>
        <v>3.401701578306576</v>
      </c>
      <c r="C33" s="4">
        <f t="shared" si="1"/>
        <v>10.306413033981752</v>
      </c>
      <c r="D33" s="4">
        <f t="shared" si="2"/>
        <v>188.51706612797551</v>
      </c>
      <c r="E33" s="4">
        <f t="shared" si="3"/>
        <v>183.25579586520067</v>
      </c>
      <c r="F33" s="25"/>
      <c r="G33" s="25"/>
      <c r="H33" s="25" t="s">
        <v>39</v>
      </c>
      <c r="I33" s="13">
        <f>I20</f>
        <v>39.916128560000004</v>
      </c>
      <c r="J33" s="25"/>
      <c r="K33" s="25" t="s">
        <v>40</v>
      </c>
      <c r="L33" s="12">
        <v>674.61547150345939</v>
      </c>
      <c r="M33" s="10" t="s">
        <v>41</v>
      </c>
      <c r="N33" s="25"/>
      <c r="O33" s="25"/>
    </row>
    <row r="34" spans="1:15" ht="16.8" x14ac:dyDescent="0.75">
      <c r="A34" s="25">
        <v>34.25</v>
      </c>
      <c r="B34" s="4">
        <f t="shared" si="0"/>
        <v>3.3975918208268752</v>
      </c>
      <c r="C34" s="4">
        <f t="shared" si="1"/>
        <v>10.250684602435113</v>
      </c>
      <c r="D34" s="4">
        <f t="shared" si="2"/>
        <v>188.60609207093597</v>
      </c>
      <c r="E34" s="4">
        <f t="shared" si="3"/>
        <v>183.37327034197409</v>
      </c>
      <c r="F34" s="25"/>
      <c r="G34" s="25"/>
      <c r="H34" s="25" t="s">
        <v>42</v>
      </c>
      <c r="I34" s="4">
        <f>I33+I35</f>
        <v>101.02723967111112</v>
      </c>
      <c r="J34" s="25"/>
      <c r="K34" s="25" t="s">
        <v>88</v>
      </c>
      <c r="L34" s="12">
        <v>1</v>
      </c>
      <c r="M34" s="25"/>
      <c r="N34" s="25"/>
      <c r="O34" s="25"/>
    </row>
    <row r="35" spans="1:15" ht="17.7" x14ac:dyDescent="0.75">
      <c r="A35" s="25">
        <v>34.5</v>
      </c>
      <c r="B35" s="4">
        <f t="shared" si="0"/>
        <v>3.3935126891246949</v>
      </c>
      <c r="C35" s="4">
        <f t="shared" si="1"/>
        <v>10.195672072350012</v>
      </c>
      <c r="D35" s="4">
        <f t="shared" si="2"/>
        <v>188.69341094492628</v>
      </c>
      <c r="E35" s="4">
        <f t="shared" si="3"/>
        <v>183.48867229274998</v>
      </c>
      <c r="F35" s="25"/>
      <c r="G35" s="25"/>
      <c r="H35" s="25" t="s">
        <v>45</v>
      </c>
      <c r="I35" s="7">
        <f>I36+I37</f>
        <v>61.111111111111114</v>
      </c>
      <c r="J35" s="25"/>
      <c r="K35" s="25" t="s">
        <v>43</v>
      </c>
      <c r="L35" s="20">
        <f>I41/L34/L33</f>
        <v>4.5588291372978887E-3</v>
      </c>
      <c r="M35" s="4">
        <f>L35*100^2</f>
        <v>45.588291372978887</v>
      </c>
      <c r="N35" s="25" t="s">
        <v>44</v>
      </c>
      <c r="O35" s="25" t="s">
        <v>67</v>
      </c>
    </row>
    <row r="36" spans="1:15" ht="16.8" x14ac:dyDescent="0.75">
      <c r="A36" s="25">
        <v>34.75</v>
      </c>
      <c r="B36" s="4">
        <f t="shared" si="0"/>
        <v>3.3894637305629232</v>
      </c>
      <c r="C36" s="4">
        <f t="shared" si="1"/>
        <v>10.14136113731349</v>
      </c>
      <c r="D36" s="4">
        <f t="shared" si="2"/>
        <v>188.77905997543391</v>
      </c>
      <c r="E36" s="4">
        <f t="shared" si="3"/>
        <v>183.60204624622631</v>
      </c>
      <c r="F36" s="25"/>
      <c r="G36" s="25"/>
      <c r="H36" s="25" t="s">
        <v>48</v>
      </c>
      <c r="I36" s="14">
        <f>I37/B2</f>
        <v>11.111111111111111</v>
      </c>
      <c r="J36" s="25"/>
      <c r="K36" s="25" t="s">
        <v>46</v>
      </c>
      <c r="L36" s="16">
        <f>2*SQRT(L35/PI())</f>
        <v>7.6187148097947327E-2</v>
      </c>
      <c r="M36" s="4">
        <f>L36*100</f>
        <v>7.6187148097947324</v>
      </c>
      <c r="N36" s="25" t="s">
        <v>47</v>
      </c>
      <c r="O36" s="8">
        <f>CONVERT(L36, "m", "in")</f>
        <v>2.9994940196042252</v>
      </c>
    </row>
    <row r="37" spans="1:15" ht="17.100000000000001" thickBot="1" x14ac:dyDescent="0.8">
      <c r="A37" s="25">
        <v>35</v>
      </c>
      <c r="B37" s="4">
        <f t="shared" si="0"/>
        <v>3.3854445024092796</v>
      </c>
      <c r="C37" s="4">
        <f t="shared" si="1"/>
        <v>10.087737877312151</v>
      </c>
      <c r="D37" s="4">
        <f t="shared" si="2"/>
        <v>188.86307534297899</v>
      </c>
      <c r="E37" s="4">
        <f t="shared" si="3"/>
        <v>183.71343548888274</v>
      </c>
      <c r="F37" s="25"/>
      <c r="G37" s="25"/>
      <c r="H37" s="25" t="s">
        <v>51</v>
      </c>
      <c r="I37" s="22">
        <v>50</v>
      </c>
      <c r="J37" s="25"/>
      <c r="K37" s="25" t="s">
        <v>49</v>
      </c>
      <c r="L37" s="17">
        <f>(I40*PI()^(0.5-1)/(0.155/1000*(4*I39)^0.5*900)*L36^(2*0.5-1))^(1/(0+1))</f>
        <v>0.71283344010233907</v>
      </c>
      <c r="M37" s="4">
        <f>L37*100</f>
        <v>71.283344010233904</v>
      </c>
      <c r="N37" s="25" t="s">
        <v>47</v>
      </c>
      <c r="O37" s="8">
        <f t="shared" ref="O37:O39" si="6">CONVERT(L37, "m", "in")</f>
        <v>28.064308665446422</v>
      </c>
    </row>
    <row r="38" spans="1:15" ht="17.399999999999999" thickTop="1" thickBot="1" x14ac:dyDescent="0.8">
      <c r="A38" s="25">
        <v>35.25</v>
      </c>
      <c r="B38" s="4">
        <f t="shared" si="0"/>
        <v>3.3814545715503872</v>
      </c>
      <c r="C38" s="4">
        <f t="shared" si="1"/>
        <v>10.034788745622473</v>
      </c>
      <c r="D38" s="4">
        <f t="shared" si="2"/>
        <v>188.9454922193496</v>
      </c>
      <c r="E38" s="4">
        <f t="shared" si="3"/>
        <v>183.82288210790773</v>
      </c>
      <c r="F38" s="25"/>
      <c r="G38" s="25"/>
      <c r="H38" s="25" t="s">
        <v>53</v>
      </c>
      <c r="I38" s="7">
        <f>I33/I34</f>
        <v>0.39510263459582651</v>
      </c>
      <c r="J38" s="25"/>
      <c r="K38" s="25" t="s">
        <v>52</v>
      </c>
      <c r="L38" s="24">
        <f>SQRT(4*I36/PI()/L37/900/L34 + L36^2)</f>
        <v>0.16690094544532938</v>
      </c>
      <c r="M38" s="4">
        <f t="shared" ref="M38:M39" si="7">L38*100</f>
        <v>16.690094544532936</v>
      </c>
      <c r="N38" s="25" t="s">
        <v>47</v>
      </c>
      <c r="O38" s="8">
        <f t="shared" si="6"/>
        <v>6.5709033639893457</v>
      </c>
    </row>
    <row r="39" spans="1:15" ht="17.100000000000001" thickTop="1" x14ac:dyDescent="0.75">
      <c r="A39" s="25">
        <v>35.5</v>
      </c>
      <c r="B39" s="4">
        <f t="shared" si="0"/>
        <v>3.3774935142160776</v>
      </c>
      <c r="C39" s="4">
        <f t="shared" si="1"/>
        <v>9.9825005562352551</v>
      </c>
      <c r="D39" s="4">
        <f t="shared" si="2"/>
        <v>189.02634480233965</v>
      </c>
      <c r="E39" s="4">
        <f t="shared" si="3"/>
        <v>183.9304270323565</v>
      </c>
      <c r="F39" s="25"/>
      <c r="G39" s="25"/>
      <c r="H39" s="25" t="s">
        <v>55</v>
      </c>
      <c r="I39" s="23">
        <f>B4/H10/9.81</f>
        <v>3.7588914830645739</v>
      </c>
      <c r="J39" s="25"/>
      <c r="K39" s="25" t="s">
        <v>54</v>
      </c>
      <c r="L39" s="17">
        <f>(L38-L36)/2</f>
        <v>4.5356898673691026E-2</v>
      </c>
      <c r="M39" s="4">
        <f t="shared" si="7"/>
        <v>4.5356898673691024</v>
      </c>
      <c r="N39" s="25" t="s">
        <v>47</v>
      </c>
      <c r="O39" s="4">
        <f t="shared" si="6"/>
        <v>1.7857046721925602</v>
      </c>
    </row>
    <row r="40" spans="1:15" ht="16.8" x14ac:dyDescent="0.75">
      <c r="A40" s="25">
        <v>35.75</v>
      </c>
      <c r="B40" s="4">
        <f t="shared" si="0"/>
        <v>3.3735609157134676</v>
      </c>
      <c r="C40" s="4">
        <f t="shared" si="1"/>
        <v>9.9308604717888311</v>
      </c>
      <c r="D40" s="4">
        <f t="shared" si="2"/>
        <v>189.10566634906175</v>
      </c>
      <c r="E40" s="4">
        <f t="shared" si="3"/>
        <v>184.03611007262336</v>
      </c>
      <c r="F40" s="25"/>
      <c r="G40" s="25"/>
      <c r="H40" s="25" t="s">
        <v>57</v>
      </c>
      <c r="I40" s="8">
        <f>I39/(1 + B2)</f>
        <v>0.68343481510264981</v>
      </c>
      <c r="J40" s="25"/>
      <c r="K40" s="25"/>
      <c r="L40" s="25"/>
      <c r="M40" s="25"/>
      <c r="N40" s="25"/>
      <c r="O40" s="25"/>
    </row>
    <row r="41" spans="1:15" ht="16.8" x14ac:dyDescent="0.75">
      <c r="A41" s="25">
        <v>36</v>
      </c>
      <c r="B41" s="4">
        <f t="shared" si="0"/>
        <v>3.3696563701704187</v>
      </c>
      <c r="C41" s="4">
        <f t="shared" si="1"/>
        <v>9.8798559919872257</v>
      </c>
      <c r="D41" s="4">
        <f t="shared" si="2"/>
        <v>189.18348920790163</v>
      </c>
      <c r="E41" s="4">
        <f t="shared" si="3"/>
        <v>184.13996995830894</v>
      </c>
      <c r="F41" s="25"/>
      <c r="G41" s="25"/>
      <c r="H41" s="25" t="s">
        <v>58</v>
      </c>
      <c r="I41" s="7">
        <f>I39-I40</f>
        <v>3.075456667961924</v>
      </c>
      <c r="J41" s="25"/>
      <c r="K41" s="25"/>
      <c r="L41" s="25"/>
      <c r="M41" s="25"/>
      <c r="N41" s="25"/>
      <c r="O41" s="25"/>
    </row>
    <row r="42" spans="1:15" x14ac:dyDescent="0.55000000000000004">
      <c r="A42" s="25">
        <v>36.25</v>
      </c>
      <c r="B42" s="4">
        <f t="shared" si="0"/>
        <v>3.3657794802879715</v>
      </c>
      <c r="C42" s="4">
        <f t="shared" si="1"/>
        <v>9.8294749424803918</v>
      </c>
      <c r="D42" s="4">
        <f t="shared" si="2"/>
        <v>189.25984484917947</v>
      </c>
      <c r="E42" s="4">
        <f t="shared" si="3"/>
        <v>184.24204437455765</v>
      </c>
      <c r="F42" s="25"/>
      <c r="G42" s="25"/>
      <c r="H42" s="25"/>
      <c r="I42" s="25"/>
      <c r="J42" s="25"/>
      <c r="K42" s="25"/>
      <c r="L42" s="25"/>
      <c r="M42" s="25"/>
      <c r="N42" s="25"/>
      <c r="O42" s="25"/>
    </row>
    <row r="43" spans="1:15" x14ac:dyDescent="0.55000000000000004">
      <c r="A43" s="25">
        <v>36.5</v>
      </c>
      <c r="B43" s="4">
        <f t="shared" si="0"/>
        <v>3.3619298571013854</v>
      </c>
      <c r="C43" s="4">
        <f t="shared" si="1"/>
        <v>9.7797054641849979</v>
      </c>
      <c r="D43" s="4">
        <f t="shared" si="2"/>
        <v>189.334763894579</v>
      </c>
      <c r="E43" s="4">
        <f t="shared" si="3"/>
        <v>184.34236999693849</v>
      </c>
      <c r="F43" s="25"/>
      <c r="G43" s="25"/>
      <c r="H43" s="25"/>
      <c r="I43" s="25"/>
      <c r="J43" s="25"/>
      <c r="K43" s="25"/>
      <c r="L43" s="25"/>
      <c r="M43" s="25"/>
      <c r="N43" s="25"/>
      <c r="O43" s="25"/>
    </row>
    <row r="44" spans="1:15" x14ac:dyDescent="0.55000000000000004">
      <c r="A44" s="25">
        <v>36.75</v>
      </c>
      <c r="B44" s="4">
        <f t="shared" si="0"/>
        <v>3.3581071197494299</v>
      </c>
      <c r="C44" s="4">
        <f t="shared" si="1"/>
        <v>9.7305360030257244</v>
      </c>
      <c r="D44" s="4">
        <f t="shared" si="2"/>
        <v>189.40827614539981</v>
      </c>
      <c r="E44" s="4">
        <f t="shared" si="3"/>
        <v>184.44098252493441</v>
      </c>
      <c r="F44" s="25"/>
      <c r="G44" s="25"/>
      <c r="H44" s="25"/>
      <c r="I44" s="25"/>
      <c r="J44" s="25"/>
      <c r="K44" s="25"/>
      <c r="L44" s="25"/>
      <c r="M44" s="25"/>
      <c r="N44" s="25"/>
      <c r="O44" s="25"/>
    </row>
    <row r="45" spans="1:15" x14ac:dyDescent="0.55000000000000004">
      <c r="A45" s="25">
        <v>37</v>
      </c>
      <c r="B45" s="4">
        <f t="shared" si="0"/>
        <v>3.3543108952515857</v>
      </c>
      <c r="C45" s="4">
        <f t="shared" si="1"/>
        <v>9.6819553000773695</v>
      </c>
      <c r="D45" s="4">
        <f t="shared" si="2"/>
        <v>189.48041060969086</v>
      </c>
      <c r="E45" s="4">
        <f t="shared" si="3"/>
        <v>184.53791671410784</v>
      </c>
      <c r="F45" s="25"/>
      <c r="G45" s="25"/>
      <c r="H45" s="25"/>
      <c r="I45" s="25"/>
      <c r="J45" s="25"/>
      <c r="K45" s="25"/>
      <c r="L45" s="25"/>
      <c r="M45" s="25"/>
      <c r="N45" s="25"/>
      <c r="O45" s="25"/>
    </row>
    <row r="46" spans="1:15" x14ac:dyDescent="0.55000000000000004">
      <c r="A46" s="25">
        <v>37.25</v>
      </c>
      <c r="B46" s="4">
        <f t="shared" si="0"/>
        <v>3.3505408182928353</v>
      </c>
      <c r="C46" s="4">
        <f t="shared" si="1"/>
        <v>9.6339523820899426</v>
      </c>
      <c r="D46" s="4">
        <f t="shared" si="2"/>
        <v>189.5511955283132</v>
      </c>
      <c r="E46" s="4">
        <f t="shared" si="3"/>
        <v>184.63320640700039</v>
      </c>
      <c r="F46" s="25"/>
      <c r="G46" s="25"/>
      <c r="H46" s="25"/>
      <c r="I46" s="25"/>
      <c r="J46" s="25"/>
      <c r="K46" s="25"/>
      <c r="L46" s="25"/>
      <c r="M46" s="25"/>
      <c r="N46" s="25"/>
      <c r="O46" s="25"/>
    </row>
    <row r="47" spans="1:15" x14ac:dyDescent="0.55000000000000004">
      <c r="A47" s="25">
        <v>37.5</v>
      </c>
      <c r="B47" s="4">
        <f t="shared" ref="B47:B78" si="8">SQRT(2/($B$9-1)*((A47/$B$3)^((1-$B$9)/$B$9) - 1))</f>
        <v>3.3467965310157295</v>
      </c>
      <c r="C47" s="4">
        <f t="shared" ref="C47:C78" si="9">1/B47*(2/($B$9+1)*(1 + ($B$9-1)/2*B47^2))^(($B$9+1)/(2*$B$9-2))</f>
        <v>9.5865165523789475</v>
      </c>
      <c r="D47" s="4">
        <f t="shared" ref="D47:D78" si="10">$B$6*$B$12/9.81*($B$9*SQRT(2/($B$9-1)*(2/($B$9+1))^(($B$9+1)/($B$9-1))*(1 - (A47/$B$3)^(($B$9-1)/$B$9))) + C47/$B$3*(A47 - $E$6))</f>
        <v>189.62065839998277</v>
      </c>
      <c r="E47" s="4">
        <f t="shared" ref="E47:E79" si="11">$B$6*$B$12/9.81*($B$9*SQRT(2/($B$9-1)*(2/($B$9+1))^(($B$9+1)/($B$9-1))*(1 - (A47/$B$3)^(($B$9-1)/$B$9))) + C47/$B$3*(A47 - $E$4))</f>
        <v>184.72688456282614</v>
      </c>
      <c r="F47" s="25"/>
      <c r="G47" s="25"/>
      <c r="H47" s="25"/>
      <c r="I47" s="25"/>
      <c r="J47" s="25"/>
      <c r="K47" s="25"/>
      <c r="L47" s="25"/>
      <c r="M47" s="25"/>
      <c r="N47" s="25"/>
      <c r="O47" s="25"/>
    </row>
    <row r="48" spans="1:15" x14ac:dyDescent="0.55000000000000004">
      <c r="A48" s="25">
        <v>37.75</v>
      </c>
      <c r="B48" s="4">
        <f t="shared" si="8"/>
        <v>3.3430776828194468</v>
      </c>
      <c r="C48" s="4">
        <f t="shared" si="9"/>
        <v>9.5396373820649352</v>
      </c>
      <c r="D48" s="4">
        <f t="shared" si="10"/>
        <v>189.68882600533993</v>
      </c>
      <c r="E48" s="4">
        <f t="shared" si="11"/>
        <v>184.81898328601287</v>
      </c>
      <c r="F48" s="25"/>
      <c r="G48" s="25"/>
      <c r="H48" s="25"/>
      <c r="I48" s="25"/>
      <c r="J48" s="25"/>
      <c r="K48" s="25"/>
      <c r="L48" s="25"/>
      <c r="M48" s="25"/>
      <c r="N48" s="25"/>
      <c r="O48" s="25"/>
    </row>
    <row r="49" spans="1:5" x14ac:dyDescent="0.55000000000000004">
      <c r="A49" s="25">
        <v>38</v>
      </c>
      <c r="B49" s="4">
        <f t="shared" si="8"/>
        <v>3.3393839301655577</v>
      </c>
      <c r="C49" s="4">
        <f t="shared" si="9"/>
        <v>9.4933047016462542</v>
      </c>
      <c r="D49" s="4">
        <f t="shared" si="10"/>
        <v>189.75572443008758</v>
      </c>
      <c r="E49" s="4">
        <f t="shared" si="11"/>
        <v>184.90953385364264</v>
      </c>
    </row>
    <row r="50" spans="1:5" x14ac:dyDescent="0.55000000000000004">
      <c r="A50" s="25">
        <v>38.25</v>
      </c>
      <c r="B50" s="4">
        <f t="shared" si="8"/>
        <v>3.3357149363902301</v>
      </c>
      <c r="C50" s="4">
        <f t="shared" si="9"/>
        <v>9.4475085928906619</v>
      </c>
      <c r="D50" s="4">
        <f t="shared" si="10"/>
        <v>189.82137908724238</v>
      </c>
      <c r="E50" s="4">
        <f t="shared" si="11"/>
        <v>184.99856674184173</v>
      </c>
    </row>
    <row r="51" spans="1:5" x14ac:dyDescent="0.55000000000000004">
      <c r="A51" s="25">
        <v>38.5</v>
      </c>
      <c r="B51" s="4">
        <f t="shared" si="8"/>
        <v>3.3320703715226241</v>
      </c>
      <c r="C51" s="4">
        <f t="shared" si="9"/>
        <v>9.4022393810313183</v>
      </c>
      <c r="D51" s="4">
        <f t="shared" si="10"/>
        <v>189.88581473853594</v>
      </c>
      <c r="E51" s="4">
        <f t="shared" si="11"/>
        <v>185.08611165116616</v>
      </c>
    </row>
    <row r="52" spans="1:5" x14ac:dyDescent="0.55000000000000004">
      <c r="A52" s="25">
        <v>38.75</v>
      </c>
      <c r="B52" s="4">
        <f t="shared" si="8"/>
        <v>3.3284499121092281</v>
      </c>
      <c r="C52" s="4">
        <f t="shared" si="9"/>
        <v>9.3574876272542582</v>
      </c>
      <c r="D52" s="4">
        <f t="shared" si="10"/>
        <v>189.94905551500568</v>
      </c>
      <c r="E52" s="4">
        <f t="shared" si="11"/>
        <v>185.17219753102714</v>
      </c>
    </row>
    <row r="53" spans="1:5" x14ac:dyDescent="0.55000000000000004">
      <c r="A53" s="25">
        <v>39</v>
      </c>
      <c r="B53" s="4">
        <f t="shared" si="8"/>
        <v>3.3248532410439107</v>
      </c>
      <c r="C53" s="4">
        <f t="shared" si="9"/>
        <v>9.3132441214642707</v>
      </c>
      <c r="D53" s="4">
        <f t="shared" si="10"/>
        <v>190.01112493680947</v>
      </c>
      <c r="E53" s="4">
        <f t="shared" si="11"/>
        <v>185.25685260319895</v>
      </c>
    </row>
    <row r="54" spans="1:5" x14ac:dyDescent="0.55000000000000004">
      <c r="A54" s="25">
        <v>39.25</v>
      </c>
      <c r="B54" s="4">
        <f t="shared" si="8"/>
        <v>3.3212800474034618</v>
      </c>
      <c r="C54" s="4">
        <f t="shared" si="9"/>
        <v>9.2694998753173969</v>
      </c>
      <c r="D54" s="4">
        <f t="shared" si="10"/>
        <v>190.0720459322992</v>
      </c>
      <c r="E54" s="4">
        <f t="shared" si="11"/>
        <v>185.34010438444909</v>
      </c>
    </row>
    <row r="55" spans="1:5" x14ac:dyDescent="0.55000000000000004">
      <c r="A55" s="25">
        <v>39.5</v>
      </c>
      <c r="B55" s="4">
        <f t="shared" si="8"/>
        <v>3.3177300262884191</v>
      </c>
      <c r="C55" s="4">
        <f t="shared" si="9"/>
        <v>9.2262461155086157</v>
      </c>
      <c r="D55" s="4">
        <f t="shared" si="10"/>
        <v>190.1318408563844</v>
      </c>
      <c r="E55" s="4">
        <f t="shared" si="11"/>
        <v>185.42197970832854</v>
      </c>
    </row>
    <row r="56" spans="1:5" x14ac:dyDescent="0.55000000000000004">
      <c r="A56" s="25">
        <v>39.75</v>
      </c>
      <c r="B56" s="4">
        <f t="shared" si="8"/>
        <v>3.3142028786689637</v>
      </c>
      <c r="C56" s="4">
        <f t="shared" si="9"/>
        <v>9.1834742773035405</v>
      </c>
      <c r="D56" s="4">
        <f t="shared" si="10"/>
        <v>190.19053150821756</v>
      </c>
      <c r="E56" s="4">
        <f t="shared" si="11"/>
        <v>185.5025047461591</v>
      </c>
    </row>
    <row r="57" spans="1:5" x14ac:dyDescent="0.55000000000000004">
      <c r="A57" s="25">
        <v>40</v>
      </c>
      <c r="B57" s="4">
        <f t="shared" si="8"/>
        <v>3.3106983112357118</v>
      </c>
      <c r="C57" s="4">
        <f t="shared" si="9"/>
        <v>9.1411759983041385</v>
      </c>
      <c r="D57" s="4">
        <f t="shared" si="10"/>
        <v>190.248139148229</v>
      </c>
      <c r="E57" s="4">
        <f t="shared" si="11"/>
        <v>185.58170502725068</v>
      </c>
    </row>
    <row r="58" spans="1:5" x14ac:dyDescent="0.55000000000000004">
      <c r="A58" s="25">
        <v>40.25</v>
      </c>
      <c r="B58" s="4">
        <f t="shared" si="8"/>
        <v>3.3072160362552019</v>
      </c>
      <c r="C58" s="4">
        <f t="shared" si="9"/>
        <v>9.0993431124383921</v>
      </c>
      <c r="D58" s="4">
        <f t="shared" si="10"/>
        <v>190.30468451454047</v>
      </c>
      <c r="E58" s="4">
        <f t="shared" si="11"/>
        <v>185.65960545838303</v>
      </c>
    </row>
    <row r="59" spans="1:5" x14ac:dyDescent="0.55000000000000004">
      <c r="A59" s="25">
        <v>40.5</v>
      </c>
      <c r="B59" s="4">
        <f t="shared" si="8"/>
        <v>3.3037557714299073</v>
      </c>
      <c r="C59" s="4">
        <f t="shared" si="9"/>
        <v>9.0579676441645276</v>
      </c>
      <c r="D59" s="4">
        <f t="shared" si="10"/>
        <v>190.36018783878254</v>
      </c>
      <c r="E59" s="4">
        <f t="shared" si="11"/>
        <v>185.73623034258193</v>
      </c>
    </row>
    <row r="60" spans="1:5" x14ac:dyDescent="0.55000000000000004">
      <c r="A60" s="25">
        <v>40.75</v>
      </c>
      <c r="B60" s="4">
        <f t="shared" si="8"/>
        <v>3.3003172397626068</v>
      </c>
      <c r="C60" s="4">
        <f t="shared" si="9"/>
        <v>9.0170418028810086</v>
      </c>
      <c r="D60" s="4">
        <f t="shared" si="10"/>
        <v>190.41466886134182</v>
      </c>
      <c r="E60" s="4">
        <f t="shared" si="11"/>
        <v>185.81160339722013</v>
      </c>
    </row>
    <row r="61" spans="1:5" x14ac:dyDescent="0.55000000000000004">
      <c r="A61" s="25">
        <v>41</v>
      </c>
      <c r="B61" s="4">
        <f t="shared" si="8"/>
        <v>3.2969001694249473</v>
      </c>
      <c r="C61" s="4">
        <f t="shared" si="9"/>
        <v>8.976557977533588</v>
      </c>
      <c r="D61" s="4">
        <f t="shared" si="10"/>
        <v>190.46814684606093</v>
      </c>
      <c r="E61" s="4">
        <f t="shared" si="11"/>
        <v>185.88574777146985</v>
      </c>
    </row>
    <row r="62" spans="1:5" x14ac:dyDescent="0.55000000000000004">
      <c r="A62" s="25">
        <v>41.25</v>
      </c>
      <c r="B62" s="4">
        <f t="shared" si="8"/>
        <v>3.2935042936300505</v>
      </c>
      <c r="C62" s="4">
        <f t="shared" si="9"/>
        <v>8.9365087314114966</v>
      </c>
      <c r="D62" s="4">
        <f t="shared" si="10"/>
        <v>190.52064059441508</v>
      </c>
      <c r="E62" s="4">
        <f t="shared" si="11"/>
        <v>185.95868606313641</v>
      </c>
    </row>
    <row r="63" spans="1:5" x14ac:dyDescent="0.55000000000000004">
      <c r="A63" s="25">
        <v>41.5</v>
      </c>
      <c r="B63" s="4">
        <f t="shared" si="8"/>
        <v>3.2901293505090097</v>
      </c>
      <c r="C63" s="4">
        <f t="shared" si="9"/>
        <v>8.8968867971249654</v>
      </c>
      <c r="D63" s="4">
        <f t="shared" si="10"/>
        <v>190.57216845918609</v>
      </c>
      <c r="E63" s="4">
        <f t="shared" si="11"/>
        <v>186.03044033489576</v>
      </c>
    </row>
    <row r="64" spans="1:5" x14ac:dyDescent="0.55000000000000004">
      <c r="A64" s="25">
        <v>41.75</v>
      </c>
      <c r="B64" s="4">
        <f t="shared" si="8"/>
        <v>3.286775082991134</v>
      </c>
      <c r="C64" s="4">
        <f t="shared" si="9"/>
        <v>8.8576850717566042</v>
      </c>
      <c r="D64" s="4">
        <f t="shared" si="10"/>
        <v>190.62274835765442</v>
      </c>
      <c r="E64" s="4">
        <f t="shared" si="11"/>
        <v>186.10103212996188</v>
      </c>
    </row>
    <row r="65" spans="1:5" x14ac:dyDescent="0.55000000000000004">
      <c r="A65" s="25">
        <v>42</v>
      </c>
      <c r="B65" s="4">
        <f t="shared" si="8"/>
        <v>3.2834412386878178</v>
      </c>
      <c r="C65" s="4">
        <f t="shared" si="9"/>
        <v>8.8188966121798398</v>
      </c>
      <c r="D65" s="4">
        <f t="shared" si="10"/>
        <v>190.67239778433031</v>
      </c>
      <c r="E65" s="4">
        <f t="shared" si="11"/>
        <v>186.17048248720758</v>
      </c>
    </row>
    <row r="66" spans="1:5" x14ac:dyDescent="0.55000000000000004">
      <c r="A66" s="25">
        <v>42.25</v>
      </c>
      <c r="B66" s="4">
        <f t="shared" si="8"/>
        <v>3.2801275697798817</v>
      </c>
      <c r="C66" s="4">
        <f t="shared" si="9"/>
        <v>8.780514630537537</v>
      </c>
      <c r="D66" s="4">
        <f t="shared" si="10"/>
        <v>190.72113382324011</v>
      </c>
      <c r="E66" s="4">
        <f t="shared" si="11"/>
        <v>186.23881195575925</v>
      </c>
    </row>
    <row r="67" spans="1:5" x14ac:dyDescent="0.55000000000000004">
      <c r="A67" s="25">
        <v>42.5</v>
      </c>
      <c r="B67" s="4">
        <f t="shared" si="8"/>
        <v>3.2768338329082853</v>
      </c>
      <c r="C67" s="4">
        <f t="shared" si="9"/>
        <v>8.7425324898743924</v>
      </c>
      <c r="D67" s="4">
        <f t="shared" si="10"/>
        <v>190.76897315978889</v>
      </c>
      <c r="E67" s="4">
        <f t="shared" si="11"/>
        <v>186.3060406090886</v>
      </c>
    </row>
    <row r="68" spans="1:5" x14ac:dyDescent="0.55000000000000004">
      <c r="A68" s="25">
        <v>42.75</v>
      </c>
      <c r="B68" s="4">
        <f t="shared" si="8"/>
        <v>3.2735597890680772</v>
      </c>
      <c r="C68" s="4">
        <f t="shared" si="9"/>
        <v>8.7049436999171714</v>
      </c>
      <c r="D68" s="4">
        <f t="shared" si="10"/>
        <v>190.81593209221384</v>
      </c>
      <c r="E68" s="4">
        <f t="shared" si="11"/>
        <v>186.37218805862068</v>
      </c>
    </row>
    <row r="69" spans="1:5" x14ac:dyDescent="0.55000000000000004">
      <c r="A69" s="25">
        <v>43</v>
      </c>
      <c r="B69" s="4">
        <f t="shared" si="8"/>
        <v>3.2703052035054689</v>
      </c>
      <c r="C69" s="4">
        <f t="shared" si="9"/>
        <v>8.6677419129966999</v>
      </c>
      <c r="D69" s="4">
        <f t="shared" si="10"/>
        <v>190.86202654264628</v>
      </c>
      <c r="E69" s="4">
        <f t="shared" si="11"/>
        <v>186.43727346687729</v>
      </c>
    </row>
    <row r="70" spans="1:5" x14ac:dyDescent="0.55000000000000004">
      <c r="A70" s="25">
        <v>43.25</v>
      </c>
      <c r="B70" s="4">
        <f t="shared" si="8"/>
        <v>3.267069845617931</v>
      </c>
      <c r="C70" s="4">
        <f t="shared" si="9"/>
        <v>8.6309209201064228</v>
      </c>
      <c r="D70" s="4">
        <f t="shared" si="10"/>
        <v>190.90727206779675</v>
      </c>
      <c r="E70" s="4">
        <f t="shared" si="11"/>
        <v>186.50131556017431</v>
      </c>
    </row>
    <row r="71" spans="1:5" x14ac:dyDescent="0.55000000000000004">
      <c r="A71" s="25">
        <v>43.5</v>
      </c>
      <c r="B71" s="4">
        <f t="shared" si="8"/>
        <v>3.263853488857194</v>
      </c>
      <c r="C71" s="4">
        <f t="shared" si="9"/>
        <v>8.5944746470916709</v>
      </c>
      <c r="D71" s="4">
        <f t="shared" si="10"/>
        <v>190.95168386927946</v>
      </c>
      <c r="E71" s="4">
        <f t="shared" si="11"/>
        <v>186.56433264089131</v>
      </c>
    </row>
    <row r="72" spans="1:5" x14ac:dyDescent="0.55000000000000004">
      <c r="A72" s="25">
        <v>43.75</v>
      </c>
      <c r="B72" s="4">
        <f t="shared" si="8"/>
        <v>3.2606559106350685</v>
      </c>
      <c r="C72" s="4">
        <f t="shared" si="9"/>
        <v>8.5583971509651491</v>
      </c>
      <c r="D72" s="4">
        <f t="shared" si="10"/>
        <v>190.99527680358847</v>
      </c>
      <c r="E72" s="4">
        <f t="shared" si="11"/>
        <v>186.62634259932886</v>
      </c>
    </row>
    <row r="73" spans="1:5" x14ac:dyDescent="0.55000000000000004">
      <c r="A73" s="25">
        <v>44</v>
      </c>
      <c r="B73" s="4">
        <f t="shared" si="8"/>
        <v>3.2574768922319701</v>
      </c>
      <c r="C73" s="4">
        <f t="shared" si="9"/>
        <v>8.5226826163433262</v>
      </c>
      <c r="D73" s="4">
        <f t="shared" si="10"/>
        <v>191.0380653917409</v>
      </c>
      <c r="E73" s="4">
        <f t="shared" si="11"/>
        <v>186.68736292517076</v>
      </c>
    </row>
    <row r="74" spans="1:5" x14ac:dyDescent="0.55000000000000004">
      <c r="A74" s="25">
        <v>44.25</v>
      </c>
      <c r="B74" s="4">
        <f t="shared" si="8"/>
        <v>3.2543162187080705</v>
      </c>
      <c r="C74" s="4">
        <f t="shared" si="9"/>
        <v>8.4873253519993579</v>
      </c>
      <c r="D74" s="4">
        <f t="shared" si="10"/>
        <v>191.08006382859884</v>
      </c>
      <c r="E74" s="4">
        <f t="shared" si="11"/>
        <v>186.7474107185655</v>
      </c>
    </row>
    <row r="75" spans="1:5" x14ac:dyDescent="0.55000000000000004">
      <c r="A75" s="25">
        <v>44.5</v>
      </c>
      <c r="B75" s="4">
        <f t="shared" si="8"/>
        <v>3.2511736788169761</v>
      </c>
      <c r="C75" s="4">
        <f t="shared" si="9"/>
        <v>8.4523197875280012</v>
      </c>
      <c r="D75" s="4">
        <f t="shared" si="10"/>
        <v>191.12128599188327</v>
      </c>
      <c r="E75" s="4">
        <f t="shared" si="11"/>
        <v>186.806502700843</v>
      </c>
    </row>
    <row r="76" spans="1:5" x14ac:dyDescent="0.55000000000000004">
      <c r="A76" s="25">
        <v>44.75</v>
      </c>
      <c r="B76" s="4">
        <f t="shared" si="8"/>
        <v>3.248049064921855</v>
      </c>
      <c r="C76" s="4">
        <f t="shared" si="9"/>
        <v>8.4176604701182125</v>
      </c>
      <c r="D76" s="4">
        <f t="shared" si="10"/>
        <v>191.16174545089086</v>
      </c>
      <c r="E76" s="4">
        <f t="shared" si="11"/>
        <v>186.86465522487862</v>
      </c>
    </row>
    <row r="77" spans="1:5" x14ac:dyDescent="0.55000000000000004">
      <c r="A77" s="25">
        <v>45</v>
      </c>
      <c r="B77" s="4">
        <f t="shared" si="8"/>
        <v>3.244942172913921</v>
      </c>
      <c r="C77" s="4">
        <f t="shared" si="9"/>
        <v>8.3833420614295537</v>
      </c>
      <c r="D77" s="4">
        <f t="shared" si="10"/>
        <v>191.20145547492604</v>
      </c>
      <c r="E77" s="4">
        <f t="shared" si="11"/>
        <v>186.92188428512011</v>
      </c>
    </row>
    <row r="78" spans="1:5" x14ac:dyDescent="0.55000000000000004">
      <c r="A78" s="25">
        <v>45.25</v>
      </c>
      <c r="B78" s="4">
        <f t="shared" si="8"/>
        <v>3.2418528021332076</v>
      </c>
      <c r="C78" s="4">
        <f t="shared" si="9"/>
        <v>8.3493593345683355</v>
      </c>
      <c r="D78" s="4">
        <f t="shared" si="10"/>
        <v>191.24042904145836</v>
      </c>
      <c r="E78" s="4">
        <f t="shared" si="11"/>
        <v>186.97820552728831</v>
      </c>
    </row>
    <row r="79" spans="1:5" x14ac:dyDescent="0.55000000000000004">
      <c r="A79" s="25">
        <v>45.5</v>
      </c>
      <c r="B79" s="4">
        <f t="shared" ref="B79:B110" si="12">SQRT(2/($B$9-1)*((A79/$B$3)^((1-$B$9)/$B$9) - 1))</f>
        <v>3.2387807552915437</v>
      </c>
      <c r="C79" s="4">
        <f t="shared" ref="C79:C110" si="13">1/B79*(2/($B$9+1)*(1 + ($B$9-1)/2*B79^2))^(($B$9+1)/(2*$B$9-2))</f>
        <v>8.3157071711598149</v>
      </c>
      <c r="D79" s="4">
        <f t="shared" ref="D79:D142" si="14">$B$6*$B$12/9.81*($B$9*SQRT(2/($B$9-1)*(2/($B$9+1))^(($B$9+1)/($B$9-1))*(1 - (A79/$B$3)^(($B$9-1)/$B$9))) + C79/$B$3*(A79 - $E$6))</f>
        <v>191.27867884401581</v>
      </c>
      <c r="E79" s="4">
        <f t="shared" si="11"/>
        <v>187.03363425776527</v>
      </c>
    </row>
    <row r="80" spans="1:5" x14ac:dyDescent="0.55000000000000004">
      <c r="A80" s="25">
        <v>45.75</v>
      </c>
      <c r="B80" s="4">
        <f t="shared" ref="B80:B143" si="15">SQRT(2/($B$9-1)*((A80/$B$3)^((1-$B$9)/$B$9) - 1))</f>
        <v>3.2357258383976655</v>
      </c>
      <c r="C80" s="4">
        <f t="shared" ref="C80:C143" si="16">1/B80*(2/($B$9+1)*(1 + ($B$9-1)/2*B80^2))^(($B$9+1)/(2*$B$9-2))</f>
        <v>8.2823805585130579</v>
      </c>
      <c r="D80" s="4">
        <f t="shared" si="14"/>
        <v>191.31621729982422</v>
      </c>
      <c r="E80" s="4">
        <f t="shared" ref="E80:E143" si="17">$B$6*$B$12/9.81*($B$9*SQRT(2/($B$9-1)*(2/($B$9+1))^(($B$9+1)/($B$9-1))*(1 - (A80/$B$3)^(($B$9-1)/$B$9))) + C80/$B$3*(A80 - $E$4))</f>
        <v>187.08818545268079</v>
      </c>
    </row>
    <row r="81" spans="1:5" x14ac:dyDescent="0.55000000000000004">
      <c r="A81" s="25">
        <v>46</v>
      </c>
      <c r="B81" s="4">
        <f t="shared" si="15"/>
        <v>3.2326878606843925</v>
      </c>
      <c r="C81" s="4">
        <f t="shared" si="16"/>
        <v>8.2493745868747315</v>
      </c>
      <c r="D81" s="4">
        <f t="shared" si="14"/>
        <v>191.35305655720157</v>
      </c>
      <c r="E81" s="4">
        <f t="shared" si="17"/>
        <v>187.14187376670881</v>
      </c>
    </row>
    <row r="82" spans="1:5" x14ac:dyDescent="0.55000000000000004">
      <c r="A82" s="25">
        <v>46.25</v>
      </c>
      <c r="B82" s="4">
        <f t="shared" si="15"/>
        <v>3.2296666345377947</v>
      </c>
      <c r="C82" s="4">
        <f t="shared" si="16"/>
        <v>8.2166844467688804</v>
      </c>
      <c r="D82" s="4">
        <f t="shared" si="14"/>
        <v>191.38920850271728</v>
      </c>
      <c r="E82" s="4">
        <f t="shared" si="17"/>
        <v>187.19471354158452</v>
      </c>
    </row>
    <row r="83" spans="1:5" x14ac:dyDescent="0.55000000000000004">
      <c r="A83" s="25">
        <v>46.5</v>
      </c>
      <c r="B83" s="4">
        <f t="shared" si="15"/>
        <v>3.2266619754282964</v>
      </c>
      <c r="C83" s="4">
        <f t="shared" si="16"/>
        <v>8.1843054264193515</v>
      </c>
      <c r="D83" s="4">
        <f t="shared" si="14"/>
        <v>191.42468476812408</v>
      </c>
      <c r="E83" s="4">
        <f t="shared" si="17"/>
        <v>187.24671881435219</v>
      </c>
    </row>
    <row r="84" spans="1:5" x14ac:dyDescent="0.55000000000000004">
      <c r="A84" s="25">
        <v>46.75</v>
      </c>
      <c r="B84" s="4">
        <f t="shared" si="15"/>
        <v>3.2236737018436408</v>
      </c>
      <c r="C84" s="4">
        <f t="shared" si="16"/>
        <v>8.1522329092519144</v>
      </c>
      <c r="D84" s="4">
        <f t="shared" si="14"/>
        <v>191.45949673707196</v>
      </c>
      <c r="E84" s="4">
        <f t="shared" si="17"/>
        <v>187.29790332535413</v>
      </c>
    </row>
    <row r="85" spans="1:5" x14ac:dyDescent="0.55000000000000004">
      <c r="A85" s="25">
        <v>47</v>
      </c>
      <c r="B85" s="4">
        <f t="shared" si="15"/>
        <v>3.2207016352236706</v>
      </c>
      <c r="C85" s="4">
        <f t="shared" si="16"/>
        <v>8.1204623714733248</v>
      </c>
      <c r="D85" s="4">
        <f t="shared" si="14"/>
        <v>191.49365555161111</v>
      </c>
      <c r="E85" s="4">
        <f t="shared" si="17"/>
        <v>187.34828052596956</v>
      </c>
    </row>
    <row r="86" spans="1:5" x14ac:dyDescent="0.55000000000000004">
      <c r="A86" s="25">
        <v>47.25</v>
      </c>
      <c r="B86" s="4">
        <f t="shared" si="15"/>
        <v>3.2177455998968503</v>
      </c>
      <c r="C86" s="4">
        <f t="shared" si="16"/>
        <v>8.0889893797243175</v>
      </c>
      <c r="D86" s="4">
        <f t="shared" si="14"/>
        <v>191.52717211849213</v>
      </c>
      <c r="E86" s="4">
        <f t="shared" si="17"/>
        <v>187.39786358611295</v>
      </c>
    </row>
    <row r="87" spans="1:5" x14ac:dyDescent="0.55000000000000004">
      <c r="A87" s="25">
        <v>47.5</v>
      </c>
      <c r="B87" s="4">
        <f t="shared" si="15"/>
        <v>3.2148054230184826</v>
      </c>
      <c r="C87" s="4">
        <f t="shared" si="16"/>
        <v>8.057809588804103</v>
      </c>
      <c r="D87" s="4">
        <f t="shared" si="14"/>
        <v>191.56005711527095</v>
      </c>
      <c r="E87" s="4">
        <f t="shared" si="17"/>
        <v>187.44666540150044</v>
      </c>
    </row>
    <row r="88" spans="1:5" x14ac:dyDescent="0.55000000000000004">
      <c r="A88" s="25">
        <v>47.75</v>
      </c>
      <c r="B88" s="4">
        <f t="shared" si="15"/>
        <v>3.2118809345105701</v>
      </c>
      <c r="C88" s="4">
        <f t="shared" si="16"/>
        <v>8.0269187394638077</v>
      </c>
      <c r="D88" s="4">
        <f t="shared" si="14"/>
        <v>191.59232099622497</v>
      </c>
      <c r="E88" s="4">
        <f t="shared" si="17"/>
        <v>187.49469860069254</v>
      </c>
    </row>
    <row r="89" spans="1:5" x14ac:dyDescent="0.55000000000000004">
      <c r="A89" s="25">
        <v>48</v>
      </c>
      <c r="B89" s="4">
        <f t="shared" si="15"/>
        <v>3.2089719670032579</v>
      </c>
      <c r="C89" s="4">
        <f t="shared" si="16"/>
        <v>7.9963126562662579</v>
      </c>
      <c r="D89" s="4">
        <f t="shared" si="14"/>
        <v>191.62397399808756</v>
      </c>
      <c r="E89" s="4">
        <f t="shared" si="17"/>
        <v>187.54197555192107</v>
      </c>
    </row>
    <row r="90" spans="1:5" x14ac:dyDescent="0.55000000000000004">
      <c r="A90" s="25">
        <v>48.25</v>
      </c>
      <c r="B90" s="4">
        <f t="shared" si="15"/>
        <v>3.2060783557778207</v>
      </c>
      <c r="C90" s="4">
        <f t="shared" si="16"/>
        <v>7.9659872455100222</v>
      </c>
      <c r="D90" s="4">
        <f t="shared" si="14"/>
        <v>191.65502614560745</v>
      </c>
      <c r="E90" s="4">
        <f t="shared" si="17"/>
        <v>187.58850836970831</v>
      </c>
    </row>
    <row r="91" spans="1:5" x14ac:dyDescent="0.55000000000000004">
      <c r="A91" s="25">
        <v>48.5</v>
      </c>
      <c r="B91" s="4">
        <f t="shared" si="15"/>
        <v>3.2031999387111312</v>
      </c>
      <c r="C91" s="4">
        <f t="shared" si="16"/>
        <v>7.9359384932152119</v>
      </c>
      <c r="D91" s="4">
        <f t="shared" si="14"/>
        <v>191.68548725693896</v>
      </c>
      <c r="E91" s="4">
        <f t="shared" si="17"/>
        <v>187.63430892128554</v>
      </c>
    </row>
    <row r="92" spans="1:5" x14ac:dyDescent="0.55000000000000004">
      <c r="A92" s="25">
        <v>48.75</v>
      </c>
      <c r="B92" s="4">
        <f t="shared" si="15"/>
        <v>3.2003365562215755</v>
      </c>
      <c r="C92" s="4">
        <f t="shared" si="16"/>
        <v>7.9061624631690455</v>
      </c>
      <c r="D92" s="4">
        <f t="shared" si="14"/>
        <v>191.71536694886888</v>
      </c>
      <c r="E92" s="4">
        <f t="shared" si="17"/>
        <v>187.67938883281741</v>
      </c>
    </row>
    <row r="93" spans="1:5" x14ac:dyDescent="0.55000000000000004">
      <c r="A93" s="25">
        <v>49</v>
      </c>
      <c r="B93" s="4">
        <f t="shared" si="15"/>
        <v>3.1974880512163768</v>
      </c>
      <c r="C93" s="4">
        <f t="shared" si="16"/>
        <v>7.8766552950292068</v>
      </c>
      <c r="D93" s="4">
        <f t="shared" si="14"/>
        <v>191.7446746418866</v>
      </c>
      <c r="E93" s="4">
        <f t="shared" si="17"/>
        <v>187.7237594954407</v>
      </c>
    </row>
    <row r="94" spans="1:5" x14ac:dyDescent="0.55000000000000004">
      <c r="A94" s="25">
        <v>49.25</v>
      </c>
      <c r="B94" s="4">
        <f t="shared" si="15"/>
        <v>3.1946542690402535</v>
      </c>
      <c r="C94" s="4">
        <f t="shared" si="16"/>
        <v>7.8474132024826035</v>
      </c>
      <c r="D94" s="4">
        <f t="shared" si="14"/>
        <v>191.77341956510199</v>
      </c>
      <c r="E94" s="4">
        <f t="shared" si="17"/>
        <v>187.76743207112156</v>
      </c>
    </row>
    <row r="95" spans="1:5" x14ac:dyDescent="0.55000000000000004">
      <c r="A95" s="25">
        <v>49.5</v>
      </c>
      <c r="B95" s="4">
        <f t="shared" si="15"/>
        <v>3.1918350574254091</v>
      </c>
      <c r="C95" s="4">
        <f t="shared" si="16"/>
        <v>7.8184324714581699</v>
      </c>
      <c r="D95" s="4">
        <f t="shared" si="14"/>
        <v>191.80161076101658</v>
      </c>
      <c r="E95" s="4">
        <f t="shared" si="17"/>
        <v>187.81041749833946</v>
      </c>
    </row>
    <row r="96" spans="1:5" x14ac:dyDescent="0.55000000000000004">
      <c r="A96" s="25">
        <v>49.75</v>
      </c>
      <c r="B96" s="4">
        <f t="shared" si="15"/>
        <v>3.1890302664427912</v>
      </c>
      <c r="C96" s="4">
        <f t="shared" si="16"/>
        <v>7.7897094583914459</v>
      </c>
      <c r="D96" s="4">
        <f t="shared" si="14"/>
        <v>191.82925709015356</v>
      </c>
      <c r="E96" s="4">
        <f t="shared" si="17"/>
        <v>187.85272649760299</v>
      </c>
    </row>
    <row r="97" spans="1:5" x14ac:dyDescent="0.55000000000000004">
      <c r="A97" s="25">
        <v>50</v>
      </c>
      <c r="B97" s="4">
        <f t="shared" si="15"/>
        <v>3.1862397484545788</v>
      </c>
      <c r="C97" s="4">
        <f t="shared" si="16"/>
        <v>7.7612405885393576</v>
      </c>
      <c r="D97" s="4">
        <f t="shared" si="14"/>
        <v>191.85636723555103</v>
      </c>
      <c r="E97" s="4">
        <f t="shared" si="17"/>
        <v>187.89436957680329</v>
      </c>
    </row>
    <row r="98" spans="1:5" x14ac:dyDescent="0.55000000000000004">
      <c r="A98" s="25">
        <v>50.25</v>
      </c>
      <c r="B98" s="4">
        <f t="shared" si="15"/>
        <v>3.1834633580678755</v>
      </c>
      <c r="C98" s="4">
        <f t="shared" si="16"/>
        <v>7.7330223543435146</v>
      </c>
      <c r="D98" s="4">
        <f t="shared" si="14"/>
        <v>191.88294970712295</v>
      </c>
      <c r="E98" s="4">
        <f t="shared" si="17"/>
        <v>187.93535703641064</v>
      </c>
    </row>
    <row r="99" spans="1:5" x14ac:dyDescent="0.55000000000000004">
      <c r="A99" s="25">
        <v>50.5</v>
      </c>
      <c r="B99" s="4">
        <f t="shared" si="15"/>
        <v>3.1807009520895648</v>
      </c>
      <c r="C99" s="4">
        <f t="shared" si="16"/>
        <v>7.7050513138403565</v>
      </c>
      <c r="D99" s="4">
        <f t="shared" si="14"/>
        <v>191.90901284589333</v>
      </c>
      <c r="E99" s="4">
        <f t="shared" si="17"/>
        <v>187.9756989745201</v>
      </c>
    </row>
    <row r="100" spans="1:5" x14ac:dyDescent="0.55000000000000004">
      <c r="A100" s="25">
        <v>50.75</v>
      </c>
      <c r="B100" s="4">
        <f t="shared" si="15"/>
        <v>3.1779523894822792</v>
      </c>
      <c r="C100" s="4">
        <f t="shared" si="16"/>
        <v>7.6773240891164525</v>
      </c>
      <c r="D100" s="4">
        <f t="shared" si="14"/>
        <v>191.93456482810646</v>
      </c>
      <c r="E100" s="4">
        <f t="shared" si="17"/>
        <v>188.01540529175048</v>
      </c>
    </row>
    <row r="101" spans="1:5" x14ac:dyDescent="0.55000000000000004">
      <c r="A101" s="25">
        <v>51</v>
      </c>
      <c r="B101" s="4">
        <f t="shared" si="15"/>
        <v>3.1752175313214868</v>
      </c>
      <c r="C101" s="4">
        <f t="shared" si="16"/>
        <v>7.6498373648078477</v>
      </c>
      <c r="D101" s="4">
        <f t="shared" si="14"/>
        <v>191.95961366921873</v>
      </c>
      <c r="E101" s="4">
        <f t="shared" si="17"/>
        <v>188.05448569600205</v>
      </c>
    </row>
    <row r="102" spans="1:5" x14ac:dyDescent="0.55000000000000004">
      <c r="A102" s="25">
        <v>51.25</v>
      </c>
      <c r="B102" s="4">
        <f t="shared" si="15"/>
        <v>3.1724962407536097</v>
      </c>
      <c r="C102" s="4">
        <f t="shared" si="16"/>
        <v>7.6225878866414361</v>
      </c>
      <c r="D102" s="4">
        <f t="shared" si="14"/>
        <v>191.9841672277754</v>
      </c>
      <c r="E102" s="4">
        <f t="shared" si="17"/>
        <v>188.09294970707799</v>
      </c>
    </row>
    <row r="103" spans="1:5" x14ac:dyDescent="0.55000000000000004">
      <c r="A103" s="25">
        <v>51.5</v>
      </c>
      <c r="B103" s="4">
        <f t="shared" si="15"/>
        <v>3.1697883829551992</v>
      </c>
      <c r="C103" s="4">
        <f t="shared" si="16"/>
        <v>7.5955724600175483</v>
      </c>
      <c r="D103" s="4">
        <f t="shared" si="14"/>
        <v>192.00823320917556</v>
      </c>
      <c r="E103" s="4">
        <f t="shared" si="17"/>
        <v>188.13080666117287</v>
      </c>
    </row>
    <row r="104" spans="1:5" x14ac:dyDescent="0.55000000000000004">
      <c r="A104" s="25">
        <v>51.75</v>
      </c>
      <c r="B104" s="4">
        <f t="shared" si="15"/>
        <v>3.167093825093092</v>
      </c>
      <c r="C104" s="4">
        <f t="shared" si="16"/>
        <v>7.5687879486318952</v>
      </c>
      <c r="D104" s="4">
        <f t="shared" si="14"/>
        <v>192.03181916933073</v>
      </c>
      <c r="E104" s="4">
        <f t="shared" si="17"/>
        <v>188.16806571523489</v>
      </c>
    </row>
    <row r="105" spans="1:5" x14ac:dyDescent="0.55000000000000004">
      <c r="A105" s="25">
        <v>52</v>
      </c>
      <c r="B105" s="4">
        <f t="shared" si="15"/>
        <v>3.1644124362855468</v>
      </c>
      <c r="C105" s="4">
        <f t="shared" si="16"/>
        <v>7.5422312731359868</v>
      </c>
      <c r="D105" s="4">
        <f t="shared" si="14"/>
        <v>192.05493251821872</v>
      </c>
      <c r="E105" s="4">
        <f t="shared" si="17"/>
        <v>188.20473585120331</v>
      </c>
    </row>
    <row r="106" spans="1:5" x14ac:dyDescent="0.55000000000000004">
      <c r="A106" s="25">
        <v>52.25</v>
      </c>
      <c r="B106" s="4">
        <f t="shared" si="15"/>
        <v>3.1617440875643181</v>
      </c>
      <c r="C106" s="4">
        <f t="shared" si="16"/>
        <v>7.5158994098345309</v>
      </c>
      <c r="D106" s="4">
        <f t="shared" si="14"/>
        <v>192.07758052333719</v>
      </c>
      <c r="E106" s="4">
        <f t="shared" si="17"/>
        <v>188.24082588012723</v>
      </c>
    </row>
    <row r="107" spans="1:5" x14ac:dyDescent="0.55000000000000004">
      <c r="A107" s="25">
        <v>52.5</v>
      </c>
      <c r="B107" s="4">
        <f t="shared" si="15"/>
        <v>3.1590886518376453</v>
      </c>
      <c r="C107" s="4">
        <f t="shared" si="16"/>
        <v>7.489789389418692</v>
      </c>
      <c r="D107" s="4">
        <f t="shared" si="14"/>
        <v>192.09977031306019</v>
      </c>
      <c r="E107" s="4">
        <f t="shared" si="17"/>
        <v>188.27634444616857</v>
      </c>
    </row>
    <row r="108" spans="1:5" x14ac:dyDescent="0.55000000000000004">
      <c r="A108" s="25">
        <v>52.75</v>
      </c>
      <c r="B108" s="4">
        <f t="shared" si="15"/>
        <v>3.1564460038541382</v>
      </c>
      <c r="C108" s="4">
        <f t="shared" si="16"/>
        <v>7.4638982957341469</v>
      </c>
      <c r="D108" s="4">
        <f t="shared" si="14"/>
        <v>192.12150887990072</v>
      </c>
      <c r="E108" s="4">
        <f t="shared" si="17"/>
        <v>188.31130003049367</v>
      </c>
    </row>
    <row r="109" spans="1:5" x14ac:dyDescent="0.55000000000000004">
      <c r="A109" s="25">
        <v>53</v>
      </c>
      <c r="B109" s="4">
        <f t="shared" si="15"/>
        <v>3.1538160201675094</v>
      </c>
      <c r="C109" s="4">
        <f t="shared" si="16"/>
        <v>7.4382232645825948</v>
      </c>
      <c r="D109" s="4">
        <f t="shared" si="14"/>
        <v>192.142803083682</v>
      </c>
      <c r="E109" s="4">
        <f t="shared" si="17"/>
        <v>188.34570095505626</v>
      </c>
    </row>
    <row r="110" spans="1:5" x14ac:dyDescent="0.55000000000000004">
      <c r="A110" s="25">
        <v>53.25</v>
      </c>
      <c r="B110" s="4">
        <f t="shared" si="15"/>
        <v>3.1511985791021653</v>
      </c>
      <c r="C110" s="4">
        <f t="shared" si="16"/>
        <v>7.4127614825559416</v>
      </c>
      <c r="D110" s="4">
        <f t="shared" si="14"/>
        <v>192.16365965462111</v>
      </c>
      <c r="E110" s="4">
        <f t="shared" si="17"/>
        <v>188.37955538627637</v>
      </c>
    </row>
    <row r="111" spans="1:5" x14ac:dyDescent="0.55000000000000004">
      <c r="A111" s="25">
        <v>53.5</v>
      </c>
      <c r="B111" s="4">
        <f t="shared" si="15"/>
        <v>3.1485935607195952</v>
      </c>
      <c r="C111" s="4">
        <f t="shared" si="16"/>
        <v>7.3875101859018777</v>
      </c>
      <c r="D111" s="4">
        <f t="shared" si="14"/>
        <v>192.1840851963272</v>
      </c>
      <c r="E111" s="4">
        <f t="shared" si="17"/>
        <v>188.41287133861752</v>
      </c>
    </row>
    <row r="112" spans="1:5" x14ac:dyDescent="0.55000000000000004">
      <c r="A112" s="25">
        <v>53.75</v>
      </c>
      <c r="B112" s="4">
        <f t="shared" si="15"/>
        <v>3.1460008467855629</v>
      </c>
      <c r="C112" s="4">
        <f t="shared" si="16"/>
        <v>7.3624666594200399</v>
      </c>
      <c r="D112" s="4">
        <f t="shared" si="14"/>
        <v>192.20408618871741</v>
      </c>
      <c r="E112" s="4">
        <f t="shared" si="17"/>
        <v>188.44565667806617</v>
      </c>
    </row>
    <row r="113" spans="1:5" x14ac:dyDescent="0.55000000000000004">
      <c r="A113" s="25">
        <v>54</v>
      </c>
      <c r="B113" s="4">
        <f t="shared" si="15"/>
        <v>3.1434203207380591</v>
      </c>
      <c r="C113" s="4">
        <f t="shared" si="16"/>
        <v>7.337628235387637</v>
      </c>
      <c r="D113" s="4">
        <f t="shared" si="14"/>
        <v>192.22366899085276</v>
      </c>
      <c r="E113" s="4">
        <f t="shared" si="17"/>
        <v>188.47791912551605</v>
      </c>
    </row>
    <row r="114" spans="1:5" x14ac:dyDescent="0.55000000000000004">
      <c r="A114" s="25">
        <v>54.25</v>
      </c>
      <c r="B114" s="4">
        <f t="shared" si="15"/>
        <v>3.1408518676560147</v>
      </c>
      <c r="C114" s="4">
        <f t="shared" si="16"/>
        <v>7.3129922925138029</v>
      </c>
      <c r="D114" s="4">
        <f t="shared" si="14"/>
        <v>192.24283984369711</v>
      </c>
      <c r="E114" s="4">
        <f t="shared" si="17"/>
        <v>188.50966626006092</v>
      </c>
    </row>
    <row r="115" spans="1:5" x14ac:dyDescent="0.55000000000000004">
      <c r="A115" s="25">
        <v>54.5</v>
      </c>
      <c r="B115" s="4">
        <f t="shared" si="15"/>
        <v>3.1382953742287221</v>
      </c>
      <c r="C115" s="4">
        <f t="shared" si="16"/>
        <v>7.2885562549215308</v>
      </c>
      <c r="D115" s="4">
        <f t="shared" si="14"/>
        <v>192.26160487280069</v>
      </c>
      <c r="E115" s="4">
        <f t="shared" si="17"/>
        <v>188.54090552219793</v>
      </c>
    </row>
    <row r="116" spans="1:5" x14ac:dyDescent="0.55000000000000004">
      <c r="A116" s="25">
        <v>54.75</v>
      </c>
      <c r="B116" s="4">
        <f t="shared" si="15"/>
        <v>3.1357507287259874</v>
      </c>
      <c r="C116" s="4">
        <f t="shared" si="16"/>
        <v>7.2643175911567122</v>
      </c>
      <c r="D116" s="4">
        <f t="shared" si="14"/>
        <v>192.27997009091189</v>
      </c>
      <c r="E116" s="4">
        <f t="shared" si="17"/>
        <v>188.57164421694492</v>
      </c>
    </row>
    <row r="117" spans="1:5" x14ac:dyDescent="0.55000000000000004">
      <c r="A117" s="25">
        <v>55</v>
      </c>
      <c r="B117" s="4">
        <f t="shared" si="15"/>
        <v>3.1332178209689472</v>
      </c>
      <c r="C117" s="4">
        <f t="shared" si="16"/>
        <v>7.2402738132229656</v>
      </c>
      <c r="D117" s="4">
        <f t="shared" si="14"/>
        <v>192.29794140051811</v>
      </c>
      <c r="E117" s="4">
        <f t="shared" si="17"/>
        <v>188.60188951687454</v>
      </c>
    </row>
    <row r="118" spans="1:5" x14ac:dyDescent="0.55000000000000004">
      <c r="A118" s="25">
        <v>55.25</v>
      </c>
      <c r="B118" s="4">
        <f t="shared" si="15"/>
        <v>3.1306965423015689</v>
      </c>
      <c r="C118" s="4">
        <f t="shared" si="16"/>
        <v>7.2164224756418651</v>
      </c>
      <c r="D118" s="4">
        <f t="shared" si="14"/>
        <v>192.31552459631908</v>
      </c>
      <c r="E118" s="4">
        <f t="shared" si="17"/>
        <v>188.63164846506666</v>
      </c>
    </row>
    <row r="119" spans="1:5" x14ac:dyDescent="0.55000000000000004">
      <c r="A119" s="25">
        <v>55.5</v>
      </c>
      <c r="B119" s="4">
        <f t="shared" si="15"/>
        <v>3.1281867855627965</v>
      </c>
      <c r="C119" s="4">
        <f t="shared" si="16"/>
        <v>7.1927611745376172</v>
      </c>
      <c r="D119" s="4">
        <f t="shared" si="14"/>
        <v>192.33272536763414</v>
      </c>
      <c r="E119" s="4">
        <f t="shared" si="17"/>
        <v>188.66092797798348</v>
      </c>
    </row>
    <row r="120" spans="1:5" x14ac:dyDescent="0.55000000000000004">
      <c r="A120" s="25">
        <v>55.75</v>
      </c>
      <c r="B120" s="4">
        <f t="shared" si="15"/>
        <v>3.125688445059331</v>
      </c>
      <c r="C120" s="4">
        <f t="shared" si="16"/>
        <v>7.1692875467454655</v>
      </c>
      <c r="D120" s="4">
        <f t="shared" si="14"/>
        <v>192.34954930074534</v>
      </c>
      <c r="E120" s="4">
        <f t="shared" si="17"/>
        <v>188.68973484826739</v>
      </c>
    </row>
    <row r="121" spans="1:5" x14ac:dyDescent="0.55000000000000004">
      <c r="A121" s="25">
        <v>56</v>
      </c>
      <c r="B121" s="4">
        <f t="shared" si="15"/>
        <v>3.1232014165390192</v>
      </c>
      <c r="C121" s="4">
        <f t="shared" si="16"/>
        <v>7.1459992689430569</v>
      </c>
      <c r="D121" s="4">
        <f t="shared" si="14"/>
        <v>192.36600188117913</v>
      </c>
      <c r="E121" s="4">
        <f t="shared" si="17"/>
        <v>188.71807574746629</v>
      </c>
    </row>
    <row r="122" spans="1:5" x14ac:dyDescent="0.55000000000000004">
      <c r="A122" s="25">
        <v>56.25</v>
      </c>
      <c r="B122" s="4">
        <f t="shared" si="15"/>
        <v>3.120725597164852</v>
      </c>
      <c r="C122" s="4">
        <f t="shared" si="16"/>
        <v>7.122894056804201</v>
      </c>
      <c r="D122" s="4">
        <f t="shared" si="14"/>
        <v>192.38208849592752</v>
      </c>
      <c r="E122" s="4">
        <f t="shared" si="17"/>
        <v>188.74595722868668</v>
      </c>
    </row>
    <row r="123" spans="1:5" x14ac:dyDescent="0.55000000000000004">
      <c r="A123" s="25">
        <v>56.5</v>
      </c>
      <c r="B123" s="4">
        <f t="shared" si="15"/>
        <v>3.1182608854895424</v>
      </c>
      <c r="C123" s="4">
        <f t="shared" si="16"/>
        <v>7.0999696641742736</v>
      </c>
      <c r="D123" s="4">
        <f t="shared" si="14"/>
        <v>192.39781443561165</v>
      </c>
      <c r="E123" s="4">
        <f t="shared" si="17"/>
        <v>188.77338572917822</v>
      </c>
    </row>
    <row r="124" spans="1:5" x14ac:dyDescent="0.55000000000000004">
      <c r="A124" s="25">
        <v>56.75</v>
      </c>
      <c r="B124" s="4">
        <f t="shared" si="15"/>
        <v>3.1158071814306614</v>
      </c>
      <c r="C124" s="4">
        <f t="shared" si="16"/>
        <v>7.0772238822664928</v>
      </c>
      <c r="D124" s="4">
        <f t="shared" si="14"/>
        <v>192.41318489658829</v>
      </c>
      <c r="E124" s="4">
        <f t="shared" si="17"/>
        <v>188.80036757285029</v>
      </c>
    </row>
    <row r="125" spans="1:5" x14ac:dyDescent="0.55000000000000004">
      <c r="A125" s="25">
        <v>57</v>
      </c>
      <c r="B125" s="4">
        <f t="shared" si="15"/>
        <v>3.1133643862463396</v>
      </c>
      <c r="C125" s="4">
        <f t="shared" si="16"/>
        <v>7.0546545388787782</v>
      </c>
      <c r="D125" s="4">
        <f t="shared" si="14"/>
        <v>192.4282049830021</v>
      </c>
      <c r="E125" s="4">
        <f t="shared" si="17"/>
        <v>188.82690897272442</v>
      </c>
    </row>
    <row r="126" spans="1:5" x14ac:dyDescent="0.55000000000000004">
      <c r="A126" s="25">
        <v>57.25</v>
      </c>
      <c r="B126" s="4">
        <f t="shared" si="15"/>
        <v>3.1109324025114997</v>
      </c>
      <c r="C126" s="4">
        <f t="shared" si="16"/>
        <v>7.0322594976302133</v>
      </c>
      <c r="D126" s="4">
        <f t="shared" si="14"/>
        <v>192.44287970878449</v>
      </c>
      <c r="E126" s="4">
        <f t="shared" si="17"/>
        <v>188.85301603332263</v>
      </c>
    </row>
    <row r="127" spans="1:5" x14ac:dyDescent="0.55000000000000004">
      <c r="A127" s="25">
        <v>57.5</v>
      </c>
      <c r="B127" s="4">
        <f t="shared" si="15"/>
        <v>3.1085111340946101</v>
      </c>
      <c r="C127" s="4">
        <f t="shared" si="16"/>
        <v>7.0100366572167561</v>
      </c>
      <c r="D127" s="4">
        <f t="shared" si="14"/>
        <v>192.45721399960138</v>
      </c>
      <c r="E127" s="4">
        <f t="shared" si="17"/>
        <v>188.87869475299527</v>
      </c>
    </row>
    <row r="128" spans="1:5" x14ac:dyDescent="0.55000000000000004">
      <c r="A128" s="25">
        <v>57.75</v>
      </c>
      <c r="B128" s="4">
        <f t="shared" si="15"/>
        <v>3.106100486134955</v>
      </c>
      <c r="C128" s="4">
        <f t="shared" si="16"/>
        <v>6.9879839506856136</v>
      </c>
      <c r="D128" s="4">
        <f t="shared" si="14"/>
        <v>192.4712126947509</v>
      </c>
      <c r="E128" s="4">
        <f t="shared" si="17"/>
        <v>188.90395102618899</v>
      </c>
    </row>
    <row r="129" spans="1:5" x14ac:dyDescent="0.55000000000000004">
      <c r="A129" s="25">
        <v>58</v>
      </c>
      <c r="B129" s="4">
        <f t="shared" si="15"/>
        <v>3.1037003650203934</v>
      </c>
      <c r="C129" s="4">
        <f t="shared" si="16"/>
        <v>6.9660993447276534</v>
      </c>
      <c r="D129" s="4">
        <f t="shared" si="14"/>
        <v>192.48488054901205</v>
      </c>
      <c r="E129" s="4">
        <f t="shared" si="17"/>
        <v>188.92879064565685</v>
      </c>
    </row>
    <row r="130" spans="1:5" x14ac:dyDescent="0.55000000000000004">
      <c r="A130" s="25">
        <v>58.25</v>
      </c>
      <c r="B130" s="4">
        <f t="shared" si="15"/>
        <v>3.1013106783656048</v>
      </c>
      <c r="C130" s="4">
        <f t="shared" si="16"/>
        <v>6.9443808389873256</v>
      </c>
      <c r="D130" s="4">
        <f t="shared" si="14"/>
        <v>192.49822223444738</v>
      </c>
      <c r="E130" s="4">
        <f t="shared" si="17"/>
        <v>188.95321930461313</v>
      </c>
    </row>
    <row r="131" spans="1:5" x14ac:dyDescent="0.55000000000000004">
      <c r="A131" s="25">
        <v>58.5</v>
      </c>
      <c r="B131" s="4">
        <f t="shared" si="15"/>
        <v>3.0989313349908096</v>
      </c>
      <c r="C131" s="4">
        <f t="shared" si="16"/>
        <v>6.92282646538977</v>
      </c>
      <c r="D131" s="4">
        <f t="shared" si="14"/>
        <v>192.51124234215933</v>
      </c>
      <c r="E131" s="4">
        <f t="shared" si="17"/>
        <v>188.9772425988331</v>
      </c>
    </row>
    <row r="132" spans="1:5" x14ac:dyDescent="0.55000000000000004">
      <c r="A132" s="25">
        <v>58.75</v>
      </c>
      <c r="B132" s="4">
        <f t="shared" si="15"/>
        <v>3.0965622449009396</v>
      </c>
      <c r="C132" s="4">
        <f t="shared" si="16"/>
        <v>6.901434287484344</v>
      </c>
      <c r="D132" s="4">
        <f t="shared" si="14"/>
        <v>192.52394538400233</v>
      </c>
      <c r="E132" s="4">
        <f t="shared" si="17"/>
        <v>189.00086602870041</v>
      </c>
    </row>
    <row r="133" spans="1:5" x14ac:dyDescent="0.55000000000000004">
      <c r="A133" s="25">
        <v>59</v>
      </c>
      <c r="B133" s="4">
        <f t="shared" si="15"/>
        <v>3.0942033192652629</v>
      </c>
      <c r="C133" s="4">
        <f t="shared" si="16"/>
        <v>6.8802023998042889</v>
      </c>
      <c r="D133" s="4">
        <f t="shared" si="14"/>
        <v>192.53633579425224</v>
      </c>
      <c r="E133" s="4">
        <f t="shared" si="17"/>
        <v>189.02409500120328</v>
      </c>
    </row>
    <row r="134" spans="1:5" x14ac:dyDescent="0.55000000000000004">
      <c r="A134" s="25">
        <v>59.25</v>
      </c>
      <c r="B134" s="4">
        <f t="shared" si="15"/>
        <v>3.0918544703974407</v>
      </c>
      <c r="C134" s="4">
        <f t="shared" si="16"/>
        <v>6.8591289272419935</v>
      </c>
      <c r="D134" s="4">
        <f t="shared" si="14"/>
        <v>192.5484179312337</v>
      </c>
      <c r="E134" s="4">
        <f t="shared" si="17"/>
        <v>189.04693483188086</v>
      </c>
    </row>
    <row r="135" spans="1:5" x14ac:dyDescent="0.55000000000000004">
      <c r="A135" s="25">
        <v>59.5</v>
      </c>
      <c r="B135" s="4">
        <f t="shared" si="15"/>
        <v>3.0895156117360076</v>
      </c>
      <c r="C135" s="4">
        <f t="shared" si="16"/>
        <v>6.8382120244394518</v>
      </c>
      <c r="D135" s="4">
        <f t="shared" si="14"/>
        <v>192.56019607890696</v>
      </c>
      <c r="E135" s="4">
        <f t="shared" si="17"/>
        <v>189.06939074672118</v>
      </c>
    </row>
    <row r="136" spans="1:5" x14ac:dyDescent="0.55000000000000004">
      <c r="A136" s="25">
        <v>59.75</v>
      </c>
      <c r="B136" s="4">
        <f t="shared" si="15"/>
        <v>3.0871866578252707</v>
      </c>
      <c r="C136" s="4">
        <f t="shared" si="16"/>
        <v>6.8174498751934625</v>
      </c>
      <c r="D136" s="4">
        <f t="shared" si="14"/>
        <v>192.57167444841582</v>
      </c>
      <c r="E136" s="4">
        <f t="shared" si="17"/>
        <v>189.0914678840127</v>
      </c>
    </row>
    <row r="137" spans="1:5" x14ac:dyDescent="0.55000000000000004">
      <c r="A137" s="25">
        <v>60</v>
      </c>
      <c r="B137" s="4">
        <f t="shared" si="15"/>
        <v>3.0848675242966035</v>
      </c>
      <c r="C137" s="4">
        <f t="shared" si="16"/>
        <v>6.7968406918751452</v>
      </c>
      <c r="D137" s="4">
        <f t="shared" si="14"/>
        <v>192.58285717959657</v>
      </c>
      <c r="E137" s="4">
        <f t="shared" si="17"/>
        <v>189.11317129614957</v>
      </c>
    </row>
    <row r="138" spans="1:5" x14ac:dyDescent="0.55000000000000004">
      <c r="A138" s="25">
        <v>60.25</v>
      </c>
      <c r="B138" s="4">
        <f t="shared" si="15"/>
        <v>3.0825581278501395</v>
      </c>
      <c r="C138" s="4">
        <f t="shared" si="16"/>
        <v>6.7763827148633382</v>
      </c>
      <c r="D138" s="4">
        <f t="shared" si="14"/>
        <v>192.59374834245045</v>
      </c>
      <c r="E138" s="4">
        <f t="shared" si="17"/>
        <v>189.13450595139349</v>
      </c>
    </row>
    <row r="139" spans="1:5" x14ac:dyDescent="0.55000000000000004">
      <c r="A139" s="25">
        <v>60.5</v>
      </c>
      <c r="B139" s="4">
        <f t="shared" si="15"/>
        <v>3.080258386236848</v>
      </c>
      <c r="C139" s="4">
        <f t="shared" si="16"/>
        <v>6.7560742119916508</v>
      </c>
      <c r="D139" s="4">
        <f t="shared" si="14"/>
        <v>192.60435193857981</v>
      </c>
      <c r="E139" s="4">
        <f t="shared" si="17"/>
        <v>189.15547673559186</v>
      </c>
    </row>
    <row r="140" spans="1:5" x14ac:dyDescent="0.55000000000000004">
      <c r="A140" s="25">
        <v>60.75</v>
      </c>
      <c r="B140" s="4">
        <f t="shared" si="15"/>
        <v>3.0779682182409793</v>
      </c>
      <c r="C140" s="4">
        <f t="shared" si="16"/>
        <v>6.7359134780085173</v>
      </c>
      <c r="D140" s="4">
        <f t="shared" si="14"/>
        <v>192.61467190258884</v>
      </c>
      <c r="E140" s="4">
        <f t="shared" si="17"/>
        <v>189.17608845385445</v>
      </c>
    </row>
    <row r="141" spans="1:5" x14ac:dyDescent="0.55000000000000004">
      <c r="A141" s="25">
        <v>61</v>
      </c>
      <c r="B141" s="4">
        <f t="shared" si="15"/>
        <v>3.0756875436628781</v>
      </c>
      <c r="C141" s="4">
        <f t="shared" si="16"/>
        <v>6.7158988340501651</v>
      </c>
      <c r="D141" s="4">
        <f t="shared" si="14"/>
        <v>192.62471210345115</v>
      </c>
      <c r="E141" s="4">
        <f t="shared" si="17"/>
        <v>189.19634583218971</v>
      </c>
    </row>
    <row r="142" spans="1:5" x14ac:dyDescent="0.55000000000000004">
      <c r="A142" s="25">
        <v>61.25</v>
      </c>
      <c r="B142" s="4">
        <f t="shared" si="15"/>
        <v>3.0734162833021519</v>
      </c>
      <c r="C142" s="4">
        <f t="shared" si="16"/>
        <v>6.6960286271259246</v>
      </c>
      <c r="D142" s="4">
        <f t="shared" si="14"/>
        <v>192.63447634584313</v>
      </c>
      <c r="E142" s="4">
        <f t="shared" si="17"/>
        <v>189.2162535191012</v>
      </c>
    </row>
    <row r="143" spans="1:5" x14ac:dyDescent="0.55000000000000004">
      <c r="A143" s="25">
        <v>61.5</v>
      </c>
      <c r="B143" s="4">
        <f t="shared" si="15"/>
        <v>3.0711543589411838</v>
      </c>
      <c r="C143" s="4">
        <f t="shared" si="16"/>
        <v>6.6763012296157127</v>
      </c>
      <c r="D143" s="4">
        <f t="shared" ref="D143:D206" si="18">$B$6*$B$12/9.81*($B$9*SQRT(2/($B$9-1)*(2/($B$9+1))^(($B$9+1)/($B$9-1))*(1 - (A143/$B$3)^(($B$9-1)/$B$9))) + C143/$B$3*(A143 - $E$6))</f>
        <v>192.64396837144608</v>
      </c>
      <c r="E143" s="4">
        <f t="shared" si="17"/>
        <v>189.23581608714608</v>
      </c>
    </row>
    <row r="144" spans="1:5" x14ac:dyDescent="0.55000000000000004">
      <c r="A144" s="25">
        <v>61.75</v>
      </c>
      <c r="B144" s="4">
        <f t="shared" ref="B144:B207" si="19">SQRT(2/($B$9-1)*((A144/$B$3)^((1-$B$9)/$B$9) - 1))</f>
        <v>3.0689016933289839</v>
      </c>
      <c r="C144" s="4">
        <f t="shared" ref="C144:C207" si="20">1/B144*(2/($B$9+1)*(1 + ($B$9-1)/2*B144^2))^(($B$9+1)/(2*$B$9-2))</f>
        <v>6.6567150387792315</v>
      </c>
      <c r="D144" s="4">
        <f t="shared" si="18"/>
        <v>192.65319186021642</v>
      </c>
      <c r="E144" s="4">
        <f t="shared" ref="E144:E207" si="21">$B$6*$B$12/9.81*($B$9*SQRT(2/($B$9-1)*(2/($B$9+1))^(($B$9+1)/($B$9-1))*(1 - (A144/$B$3)^(($B$9-1)/$B$9))) + C144/$B$3*(A144 - $E$4))</f>
        <v>189.25503803445571</v>
      </c>
    </row>
    <row r="145" spans="1:5" x14ac:dyDescent="0.55000000000000004">
      <c r="A145" s="25">
        <v>62</v>
      </c>
      <c r="B145" s="4">
        <f t="shared" si="19"/>
        <v>3.0666582101653721</v>
      </c>
      <c r="C145" s="4">
        <f t="shared" si="20"/>
        <v>6.6372684762766045</v>
      </c>
      <c r="D145" s="4">
        <f t="shared" si="18"/>
        <v>192.66215043162595</v>
      </c>
      <c r="E145" s="4">
        <f t="shared" si="21"/>
        <v>189.27392378622091</v>
      </c>
    </row>
    <row r="146" spans="1:5" x14ac:dyDescent="0.55000000000000004">
      <c r="A146" s="25">
        <v>62.25</v>
      </c>
      <c r="B146" s="4">
        <f t="shared" si="19"/>
        <v>3.0644238340854812</v>
      </c>
      <c r="C146" s="4">
        <f t="shared" si="20"/>
        <v>6.6179599877001678</v>
      </c>
      <c r="D146" s="4">
        <f t="shared" si="18"/>
        <v>192.67084764587233</v>
      </c>
      <c r="E146" s="4">
        <f t="shared" si="21"/>
        <v>189.29247769614125</v>
      </c>
    </row>
    <row r="147" spans="1:5" x14ac:dyDescent="0.55000000000000004">
      <c r="A147" s="25">
        <v>62.5</v>
      </c>
      <c r="B147" s="4">
        <f t="shared" si="19"/>
        <v>3.0621984906445721</v>
      </c>
      <c r="C147" s="4">
        <f t="shared" si="20"/>
        <v>6.5987880421170146</v>
      </c>
      <c r="D147" s="4">
        <f t="shared" si="18"/>
        <v>192.67928700506059</v>
      </c>
      <c r="E147" s="4">
        <f t="shared" si="21"/>
        <v>189.31070404784029</v>
      </c>
    </row>
    <row r="148" spans="1:5" x14ac:dyDescent="0.55000000000000004">
      <c r="A148" s="25">
        <v>62.75</v>
      </c>
      <c r="B148" s="4">
        <f t="shared" si="19"/>
        <v>3.0599821063031585</v>
      </c>
      <c r="C148" s="4">
        <f t="shared" si="20"/>
        <v>6.5797511316222081</v>
      </c>
      <c r="D148" s="4">
        <f t="shared" si="18"/>
        <v>192.68747195435742</v>
      </c>
      <c r="E148" s="4">
        <f t="shared" si="21"/>
        <v>189.32860705624759</v>
      </c>
    </row>
    <row r="149" spans="1:5" x14ac:dyDescent="0.55000000000000004">
      <c r="A149" s="25">
        <v>63</v>
      </c>
      <c r="B149" s="4">
        <f t="shared" si="19"/>
        <v>3.0577746084124309</v>
      </c>
      <c r="C149" s="4">
        <f t="shared" si="20"/>
        <v>6.5608477709021233</v>
      </c>
      <c r="D149" s="4">
        <f t="shared" si="18"/>
        <v>192.69540588311727</v>
      </c>
      <c r="E149" s="4">
        <f t="shared" si="21"/>
        <v>189.34619086894818</v>
      </c>
    </row>
    <row r="150" spans="1:5" x14ac:dyDescent="0.55000000000000004">
      <c r="A150" s="25">
        <v>63.25</v>
      </c>
      <c r="B150" s="4">
        <f t="shared" si="19"/>
        <v>3.0555759251999657</v>
      </c>
      <c r="C150" s="4">
        <f t="shared" si="20"/>
        <v>6.542076496807784</v>
      </c>
      <c r="D150" s="4">
        <f t="shared" si="18"/>
        <v>192.70309212598289</v>
      </c>
      <c r="E150" s="4">
        <f t="shared" si="21"/>
        <v>189.36345956750048</v>
      </c>
    </row>
    <row r="151" spans="1:5" x14ac:dyDescent="0.55000000000000004">
      <c r="A151" s="25">
        <v>63.5</v>
      </c>
      <c r="B151" s="4">
        <f t="shared" si="19"/>
        <v>3.0533859857557277</v>
      </c>
      <c r="C151" s="4">
        <f t="shared" si="20"/>
        <v>6.5234358679379669</v>
      </c>
      <c r="D151" s="4">
        <f t="shared" si="18"/>
        <v>192.71053396395973</v>
      </c>
      <c r="E151" s="4">
        <f t="shared" si="21"/>
        <v>189.38041716872382</v>
      </c>
    </row>
    <row r="152" spans="1:5" x14ac:dyDescent="0.55000000000000004">
      <c r="A152" s="25">
        <v>63.75</v>
      </c>
      <c r="B152" s="4">
        <f t="shared" si="19"/>
        <v>3.0512047200183461</v>
      </c>
      <c r="C152" s="4">
        <f t="shared" si="20"/>
        <v>6.5049244642316859</v>
      </c>
      <c r="D152" s="4">
        <f t="shared" si="18"/>
        <v>192.71773462546528</v>
      </c>
      <c r="E152" s="4">
        <f t="shared" si="21"/>
        <v>189.39706762595571</v>
      </c>
    </row>
    <row r="153" spans="1:5" x14ac:dyDescent="0.55000000000000004">
      <c r="A153" s="25">
        <v>64</v>
      </c>
      <c r="B153" s="4">
        <f t="shared" si="19"/>
        <v>3.0490320587616604</v>
      </c>
      <c r="C153" s="4">
        <f t="shared" si="20"/>
        <v>6.4865408865699345</v>
      </c>
      <c r="D153" s="4">
        <f t="shared" si="18"/>
        <v>192.72469728735422</v>
      </c>
      <c r="E153" s="4">
        <f t="shared" si="21"/>
        <v>189.41341483028015</v>
      </c>
    </row>
    <row r="154" spans="1:5" x14ac:dyDescent="0.55000000000000004">
      <c r="A154" s="25">
        <v>64.25</v>
      </c>
      <c r="B154" s="4">
        <f t="shared" si="19"/>
        <v>3.0468679335815345</v>
      </c>
      <c r="C154" s="4">
        <f t="shared" si="20"/>
        <v>6.468283756386322</v>
      </c>
      <c r="D154" s="4">
        <f t="shared" si="18"/>
        <v>192.73142507591982</v>
      </c>
      <c r="E154" s="4">
        <f t="shared" si="21"/>
        <v>189.42946261172801</v>
      </c>
    </row>
    <row r="155" spans="1:5" x14ac:dyDescent="0.55000000000000004">
      <c r="A155" s="25">
        <v>64.5</v>
      </c>
      <c r="B155" s="4">
        <f t="shared" si="19"/>
        <v>3.0447122768829322</v>
      </c>
      <c r="C155" s="4">
        <f t="shared" si="20"/>
        <v>6.4501517152865313</v>
      </c>
      <c r="D155" s="4">
        <f t="shared" si="18"/>
        <v>192.73792106787221</v>
      </c>
      <c r="E155" s="4">
        <f t="shared" si="21"/>
        <v>189.44521474044956</v>
      </c>
    </row>
    <row r="156" spans="1:5" x14ac:dyDescent="0.55000000000000004">
      <c r="A156" s="25">
        <v>64.75</v>
      </c>
      <c r="B156" s="4">
        <f t="shared" si="19"/>
        <v>3.0425650218672335</v>
      </c>
      <c r="C156" s="4">
        <f t="shared" si="20"/>
        <v>6.4321434246761271</v>
      </c>
      <c r="D156" s="4">
        <f t="shared" si="18"/>
        <v>192.74418829129425</v>
      </c>
      <c r="E156" s="4">
        <f t="shared" si="21"/>
        <v>189.46067492786011</v>
      </c>
    </row>
    <row r="157" spans="1:5" x14ac:dyDescent="0.55000000000000004">
      <c r="A157" s="25">
        <v>65</v>
      </c>
      <c r="B157" s="4">
        <f t="shared" si="19"/>
        <v>3.0404261025198123</v>
      </c>
      <c r="C157" s="4">
        <f t="shared" si="20"/>
        <v>6.4142575653967917</v>
      </c>
      <c r="D157" s="4">
        <f t="shared" si="18"/>
        <v>192.7502297265757</v>
      </c>
      <c r="E157" s="4">
        <f t="shared" si="21"/>
        <v>189.47584682776005</v>
      </c>
    </row>
    <row r="158" spans="1:5" x14ac:dyDescent="0.55000000000000004">
      <c r="A158" s="25">
        <v>65.25</v>
      </c>
      <c r="B158" s="4">
        <f t="shared" si="19"/>
        <v>3.0382954535978475</v>
      </c>
      <c r="C158" s="4">
        <f t="shared" si="20"/>
        <v>6.396492837370495</v>
      </c>
      <c r="D158" s="4">
        <f t="shared" si="18"/>
        <v>192.75604830732587</v>
      </c>
      <c r="E158" s="4">
        <f t="shared" si="21"/>
        <v>189.49073403742921</v>
      </c>
    </row>
    <row r="159" spans="1:5" x14ac:dyDescent="0.55000000000000004">
      <c r="A159" s="25">
        <v>65.5</v>
      </c>
      <c r="B159" s="4">
        <f t="shared" si="19"/>
        <v>3.0361730106183678</v>
      </c>
      <c r="C159" s="4">
        <f t="shared" si="20"/>
        <v>6.378847959251571</v>
      </c>
      <c r="D159" s="4">
        <f t="shared" si="18"/>
        <v>192.76164692126554</v>
      </c>
      <c r="E159" s="4">
        <f t="shared" si="21"/>
        <v>189.50534009869622</v>
      </c>
    </row>
    <row r="160" spans="1:5" x14ac:dyDescent="0.55000000000000004">
      <c r="A160" s="25">
        <v>65.75</v>
      </c>
      <c r="B160" s="4">
        <f t="shared" si="19"/>
        <v>3.034058709846533</v>
      </c>
      <c r="C160" s="4">
        <f t="shared" si="20"/>
        <v>6.3613216680864335</v>
      </c>
      <c r="D160" s="4">
        <f t="shared" si="18"/>
        <v>192.7670284110992</v>
      </c>
      <c r="E160" s="4">
        <f t="shared" si="21"/>
        <v>189.5196684989846</v>
      </c>
    </row>
    <row r="161" spans="1:6" x14ac:dyDescent="0.55000000000000004">
      <c r="A161" s="25">
        <v>66</v>
      </c>
      <c r="B161" s="4">
        <f t="shared" si="19"/>
        <v>3.0319524882841349</v>
      </c>
      <c r="C161" s="4">
        <f t="shared" si="20"/>
        <v>6.3439127189807412</v>
      </c>
      <c r="D161" s="4">
        <f t="shared" si="18"/>
        <v>192.77219557536696</v>
      </c>
      <c r="E161" s="4">
        <f t="shared" si="21"/>
        <v>189.53372267233433</v>
      </c>
      <c r="F161" s="25"/>
    </row>
    <row r="162" spans="1:6" x14ac:dyDescent="0.55000000000000004">
      <c r="A162" s="25">
        <v>66.25</v>
      </c>
      <c r="B162" s="4">
        <f t="shared" si="19"/>
        <v>3.0298542836583189</v>
      </c>
      <c r="C162" s="4">
        <f t="shared" si="20"/>
        <v>6.3266198847738231</v>
      </c>
      <c r="D162" s="4">
        <f t="shared" si="18"/>
        <v>192.77715116927789</v>
      </c>
      <c r="E162" s="4">
        <f t="shared" si="21"/>
        <v>189.54750600040182</v>
      </c>
      <c r="F162" s="25"/>
    </row>
    <row r="163" spans="1:6" x14ac:dyDescent="0.55000000000000004">
      <c r="A163" s="25">
        <v>66.5</v>
      </c>
      <c r="B163" s="4">
        <f t="shared" si="19"/>
        <v>3.0277640344105201</v>
      </c>
      <c r="C163" s="4">
        <f t="shared" si="20"/>
        <v>6.3094419557201453</v>
      </c>
      <c r="D163" s="4">
        <f t="shared" si="18"/>
        <v>192.78189790552426</v>
      </c>
      <c r="E163" s="4">
        <f t="shared" si="21"/>
        <v>189.56102181343644</v>
      </c>
      <c r="F163" s="25"/>
    </row>
    <row r="164" spans="1:6" x14ac:dyDescent="0.55000000000000004">
      <c r="A164" s="25">
        <v>66.75</v>
      </c>
      <c r="B164" s="4">
        <f t="shared" si="19"/>
        <v>3.0256816796856141</v>
      </c>
      <c r="C164" s="4">
        <f t="shared" si="20"/>
        <v>6.2923777391777422</v>
      </c>
      <c r="D164" s="4">
        <f t="shared" si="18"/>
        <v>192.7864384550783</v>
      </c>
      <c r="E164" s="4">
        <f t="shared" si="21"/>
        <v>189.57427339123626</v>
      </c>
      <c r="F164" s="25"/>
    </row>
    <row r="165" spans="1:6" x14ac:dyDescent="0.55000000000000004">
      <c r="A165" s="25">
        <v>67</v>
      </c>
      <c r="B165" s="4">
        <f t="shared" si="19"/>
        <v>3.0236071593212626</v>
      </c>
      <c r="C165" s="4">
        <f t="shared" si="20"/>
        <v>6.2754260593032827</v>
      </c>
      <c r="D165" s="4">
        <f t="shared" si="18"/>
        <v>192.79077544797045</v>
      </c>
      <c r="E165" s="4">
        <f t="shared" si="21"/>
        <v>189.58726396408235</v>
      </c>
      <c r="F165" s="25"/>
    </row>
    <row r="166" spans="1:6" x14ac:dyDescent="0.55000000000000004">
      <c r="A166" s="25">
        <v>67.25</v>
      </c>
      <c r="B166" s="4">
        <f t="shared" si="19"/>
        <v>3.0215404138374686</v>
      </c>
      <c r="C166" s="4">
        <f t="shared" si="20"/>
        <v>6.2585857567537682</v>
      </c>
      <c r="D166" s="4">
        <f t="shared" si="18"/>
        <v>192.79491147405116</v>
      </c>
      <c r="E166" s="4">
        <f t="shared" si="21"/>
        <v>189.59999671365239</v>
      </c>
      <c r="F166" s="25"/>
    </row>
    <row r="167" spans="1:6" x14ac:dyDescent="0.55000000000000004">
      <c r="A167" s="25">
        <v>67.5</v>
      </c>
      <c r="B167" s="4">
        <f t="shared" si="19"/>
        <v>3.019481384426324</v>
      </c>
      <c r="C167" s="4">
        <f t="shared" si="20"/>
        <v>6.2418556883945522</v>
      </c>
      <c r="D167" s="4">
        <f t="shared" si="18"/>
        <v>192.79884908373535</v>
      </c>
      <c r="E167" s="4">
        <f t="shared" si="21"/>
        <v>189.6124747739145</v>
      </c>
      <c r="F167" s="25"/>
    </row>
    <row r="168" spans="1:6" x14ac:dyDescent="0.55000000000000004">
      <c r="A168" s="25">
        <v>67.75</v>
      </c>
      <c r="B168" s="4">
        <f t="shared" si="19"/>
        <v>3.0174300129419471</v>
      </c>
      <c r="C168" s="4">
        <f t="shared" si="20"/>
        <v>6.2252347270136177</v>
      </c>
      <c r="D168" s="4">
        <f t="shared" si="18"/>
        <v>192.80259078873073</v>
      </c>
      <c r="E168" s="4">
        <f t="shared" si="21"/>
        <v>189.62470123200137</v>
      </c>
      <c r="F168" s="25"/>
    </row>
    <row r="169" spans="1:6" x14ac:dyDescent="0.55000000000000004">
      <c r="A169" s="25">
        <v>68</v>
      </c>
      <c r="B169" s="4">
        <f t="shared" si="19"/>
        <v>3.0153862418906114</v>
      </c>
      <c r="C169" s="4">
        <f t="shared" si="20"/>
        <v>6.2087217610419341</v>
      </c>
      <c r="D169" s="4">
        <f t="shared" si="18"/>
        <v>192.80613906275039</v>
      </c>
      <c r="E169" s="4">
        <f t="shared" si="21"/>
        <v>189.63667912906553</v>
      </c>
      <c r="F169" s="25"/>
    </row>
    <row r="170" spans="1:6" x14ac:dyDescent="0.55000000000000004">
      <c r="A170" s="25">
        <v>68.25</v>
      </c>
      <c r="B170" s="4">
        <f t="shared" si="19"/>
        <v>3.0133500144210532</v>
      </c>
      <c r="C170" s="4">
        <f t="shared" si="20"/>
        <v>6.1923156942797135</v>
      </c>
      <c r="D170" s="4">
        <f t="shared" si="18"/>
        <v>192.80949634220943</v>
      </c>
      <c r="E170" s="4">
        <f t="shared" si="21"/>
        <v>189.64841146111564</v>
      </c>
      <c r="F170" s="25"/>
    </row>
    <row r="171" spans="1:6" x14ac:dyDescent="0.55000000000000004">
      <c r="A171" s="25">
        <v>68.5</v>
      </c>
      <c r="B171" s="4">
        <f t="shared" si="19"/>
        <v>3.0113212743149598</v>
      </c>
      <c r="C171" s="4">
        <f t="shared" si="20"/>
        <v>6.17601544562842</v>
      </c>
      <c r="D171" s="4">
        <f t="shared" si="18"/>
        <v>192.81266502690681</v>
      </c>
      <c r="E171" s="4">
        <f t="shared" si="21"/>
        <v>189.65990117983546</v>
      </c>
      <c r="F171" s="25"/>
    </row>
    <row r="172" spans="1:6" x14ac:dyDescent="0.55000000000000004">
      <c r="A172" s="25">
        <v>68.75</v>
      </c>
      <c r="B172" s="4">
        <f t="shared" si="19"/>
        <v>3.0092999659776321</v>
      </c>
      <c r="C172" s="4">
        <f t="shared" si="20"/>
        <v>6.1598199488284751</v>
      </c>
      <c r="D172" s="4">
        <f t="shared" si="18"/>
        <v>192.81564748069226</v>
      </c>
      <c r="E172" s="4">
        <f t="shared" si="21"/>
        <v>189.67115119338428</v>
      </c>
      <c r="F172" s="25"/>
    </row>
    <row r="173" spans="1:6" x14ac:dyDescent="0.55000000000000004">
      <c r="A173" s="25">
        <v>69</v>
      </c>
      <c r="B173" s="4">
        <f t="shared" si="19"/>
        <v>3.0072860344288239</v>
      </c>
      <c r="C173" s="4">
        <f t="shared" si="20"/>
        <v>6.1437281522024181</v>
      </c>
      <c r="D173" s="4">
        <f t="shared" si="18"/>
        <v>192.8184460321188</v>
      </c>
      <c r="E173" s="4">
        <f t="shared" si="21"/>
        <v>189.68216436718077</v>
      </c>
      <c r="F173" s="25"/>
    </row>
    <row r="174" spans="1:6" x14ac:dyDescent="0.55000000000000004">
      <c r="A174" s="25">
        <v>69.25</v>
      </c>
      <c r="B174" s="4">
        <f t="shared" si="19"/>
        <v>3.0052794252937387</v>
      </c>
      <c r="C174" s="4">
        <f t="shared" si="20"/>
        <v>6.1277390184033882</v>
      </c>
      <c r="D174" s="4">
        <f t="shared" si="18"/>
        <v>192.82106297508133</v>
      </c>
      <c r="E174" s="4">
        <f t="shared" si="21"/>
        <v>189.69294352467003</v>
      </c>
      <c r="F174" s="25"/>
    </row>
    <row r="175" spans="1:6" x14ac:dyDescent="0.55000000000000004">
      <c r="A175" s="25">
        <v>69.5</v>
      </c>
      <c r="B175" s="4">
        <f t="shared" si="19"/>
        <v>3.0032800847941989</v>
      </c>
      <c r="C175" s="4">
        <f t="shared" si="20"/>
        <v>6.1118515241689133</v>
      </c>
      <c r="D175" s="4">
        <f t="shared" si="18"/>
        <v>192.82350056944156</v>
      </c>
      <c r="E175" s="4">
        <f t="shared" si="21"/>
        <v>189.70349144807398</v>
      </c>
      <c r="F175" s="25"/>
    </row>
    <row r="176" spans="1:6" x14ac:dyDescent="0.55000000000000004">
      <c r="A176" s="25">
        <v>69.75</v>
      </c>
      <c r="B176" s="4">
        <f t="shared" si="19"/>
        <v>3.0012879597399702</v>
      </c>
      <c r="C176" s="4">
        <f t="shared" si="20"/>
        <v>6.0960646600797332</v>
      </c>
      <c r="D176" s="4">
        <f t="shared" si="18"/>
        <v>192.82576104163942</v>
      </c>
      <c r="E176" s="4">
        <f t="shared" si="21"/>
        <v>189.71381087912599</v>
      </c>
    </row>
    <row r="177" spans="1:6" x14ac:dyDescent="0.55000000000000004">
      <c r="A177" s="25">
        <v>70</v>
      </c>
      <c r="B177" s="4">
        <f t="shared" si="19"/>
        <v>2.9993029975202448</v>
      </c>
      <c r="C177" s="4">
        <f t="shared" si="20"/>
        <v>6.0803774303236402</v>
      </c>
      <c r="D177" s="4">
        <f t="shared" si="18"/>
        <v>192.82784658529152</v>
      </c>
      <c r="E177" s="4">
        <f t="shared" si="21"/>
        <v>189.72390451979004</v>
      </c>
    </row>
    <row r="178" spans="1:6" x14ac:dyDescent="0.55000000000000004">
      <c r="A178" s="25">
        <v>70.25</v>
      </c>
      <c r="B178" s="4">
        <f t="shared" si="19"/>
        <v>2.9973251460952786</v>
      </c>
      <c r="C178" s="4">
        <f t="shared" si="20"/>
        <v>6.0647888524641482</v>
      </c>
      <c r="D178" s="4">
        <f t="shared" si="18"/>
        <v>192.82975936177715</v>
      </c>
      <c r="E178" s="4">
        <f t="shared" si="21"/>
        <v>189.7337750329645</v>
      </c>
    </row>
    <row r="179" spans="1:6" x14ac:dyDescent="0.55000000000000004">
      <c r="A179" s="25">
        <v>70.5</v>
      </c>
      <c r="B179" s="4">
        <f t="shared" si="19"/>
        <v>2.9953543539881773</v>
      </c>
      <c r="C179" s="4">
        <f t="shared" si="20"/>
        <v>6.0492979572139145</v>
      </c>
      <c r="D179" s="4">
        <f t="shared" si="18"/>
        <v>192.83150150081158</v>
      </c>
      <c r="E179" s="4">
        <f t="shared" si="21"/>
        <v>189.7434250431715</v>
      </c>
    </row>
    <row r="180" spans="1:6" x14ac:dyDescent="0.55000000000000004">
      <c r="A180" s="25">
        <v>70.75</v>
      </c>
      <c r="B180" s="4">
        <f t="shared" si="19"/>
        <v>2.9933905702768278</v>
      </c>
      <c r="C180" s="4">
        <f t="shared" si="20"/>
        <v>6.0339037882128093</v>
      </c>
      <c r="D180" s="4">
        <f t="shared" si="18"/>
        <v>192.83307510100741</v>
      </c>
      <c r="E180" s="4">
        <f t="shared" si="21"/>
        <v>189.75285713723113</v>
      </c>
    </row>
    <row r="181" spans="1:6" x14ac:dyDescent="0.55000000000000004">
      <c r="A181" s="25">
        <v>71</v>
      </c>
      <c r="B181" s="4">
        <f t="shared" si="19"/>
        <v>2.9914337445859798</v>
      </c>
      <c r="C181" s="4">
        <f t="shared" si="20"/>
        <v>6.0186054018104675</v>
      </c>
      <c r="D181" s="4">
        <f t="shared" si="18"/>
        <v>192.83448223042424</v>
      </c>
      <c r="E181" s="4">
        <f t="shared" si="21"/>
        <v>189.76207386492254</v>
      </c>
    </row>
    <row r="182" spans="1:6" x14ac:dyDescent="0.55000000000000004">
      <c r="A182" s="25">
        <v>71.25</v>
      </c>
      <c r="B182" s="4">
        <f t="shared" si="19"/>
        <v>2.9894838270794573</v>
      </c>
      <c r="C182" s="4">
        <f t="shared" si="20"/>
        <v>6.0034018668532338</v>
      </c>
      <c r="D182" s="4">
        <f t="shared" si="18"/>
        <v>192.83572492710672</v>
      </c>
      <c r="E182" s="4">
        <f t="shared" si="21"/>
        <v>189.77107773963041</v>
      </c>
    </row>
    <row r="183" spans="1:6" x14ac:dyDescent="0.55000000000000004">
      <c r="A183" s="25">
        <v>71.5</v>
      </c>
      <c r="B183" s="4">
        <f t="shared" si="19"/>
        <v>2.9875407684525204</v>
      </c>
      <c r="C183" s="4">
        <f t="shared" si="20"/>
        <v>5.9882922644755272</v>
      </c>
      <c r="D183" s="4">
        <f t="shared" si="18"/>
        <v>192.8368051996114</v>
      </c>
      <c r="E183" s="4">
        <f t="shared" si="21"/>
        <v>189.77987123897839</v>
      </c>
    </row>
    <row r="184" spans="1:6" x14ac:dyDescent="0.55000000000000004">
      <c r="A184" s="25">
        <v>71.75</v>
      </c>
      <c r="B184" s="4">
        <f t="shared" si="19"/>
        <v>2.9856045199243488</v>
      </c>
      <c r="C184" s="4">
        <f t="shared" si="20"/>
        <v>5.973275687895212</v>
      </c>
      <c r="D184" s="4">
        <f t="shared" si="18"/>
        <v>192.83772502752262</v>
      </c>
      <c r="E184" s="4">
        <f t="shared" si="21"/>
        <v>189.78845680544967</v>
      </c>
    </row>
    <row r="185" spans="1:6" x14ac:dyDescent="0.55000000000000004">
      <c r="A185" s="25">
        <v>72</v>
      </c>
      <c r="B185" s="4">
        <f t="shared" si="19"/>
        <v>2.9836750332306696</v>
      </c>
      <c r="C185" s="4">
        <f t="shared" si="20"/>
        <v>5.9583512422132703</v>
      </c>
      <c r="D185" s="4">
        <f t="shared" si="18"/>
        <v>192.83848636195791</v>
      </c>
      <c r="E185" s="4">
        <f t="shared" si="21"/>
        <v>189.79683684699438</v>
      </c>
    </row>
    <row r="186" spans="1:6" x14ac:dyDescent="0.55000000000000004">
      <c r="A186" s="25">
        <v>72.25</v>
      </c>
      <c r="B186" s="4">
        <f t="shared" si="19"/>
        <v>2.9817522606165077</v>
      </c>
      <c r="C186" s="4">
        <f t="shared" si="20"/>
        <v>5.9435180442173525</v>
      </c>
      <c r="D186" s="4">
        <f t="shared" si="18"/>
        <v>192.83909112606258</v>
      </c>
      <c r="E186" s="4">
        <f t="shared" si="21"/>
        <v>189.80501373762465</v>
      </c>
    </row>
    <row r="187" spans="1:6" x14ac:dyDescent="0.55000000000000004">
      <c r="A187" s="25">
        <v>72.5</v>
      </c>
      <c r="B187" s="4">
        <f t="shared" si="19"/>
        <v>2.9798361548290595</v>
      </c>
      <c r="C187" s="4">
        <f t="shared" si="20"/>
        <v>5.9287752221893051</v>
      </c>
      <c r="D187" s="4">
        <f t="shared" si="18"/>
        <v>192.83954121549459</v>
      </c>
      <c r="E187" s="4">
        <f t="shared" si="21"/>
        <v>189.81298981799739</v>
      </c>
    </row>
    <row r="188" spans="1:6" x14ac:dyDescent="0.55000000000000004">
      <c r="A188" s="25">
        <v>72.75</v>
      </c>
      <c r="B188" s="4">
        <f t="shared" si="19"/>
        <v>2.9779266691106985</v>
      </c>
      <c r="C188" s="4">
        <f t="shared" si="20"/>
        <v>5.9141219157164597</v>
      </c>
      <c r="D188" s="4">
        <f t="shared" si="18"/>
        <v>192.83983849889898</v>
      </c>
      <c r="E188" s="4">
        <f t="shared" si="21"/>
        <v>189.82076739598563</v>
      </c>
    </row>
    <row r="189" spans="1:6" x14ac:dyDescent="0.55000000000000004">
      <c r="A189" s="25">
        <v>73</v>
      </c>
      <c r="B189" s="4">
        <f t="shared" si="19"/>
        <v>2.9760237571920976</v>
      </c>
      <c r="C189" s="4">
        <f t="shared" si="20"/>
        <v>5.8995572755067629</v>
      </c>
      <c r="D189" s="4">
        <f t="shared" si="18"/>
        <v>192.83998481837327</v>
      </c>
      <c r="E189" s="4">
        <f t="shared" si="21"/>
        <v>189.82834874723775</v>
      </c>
    </row>
    <row r="190" spans="1:6" x14ac:dyDescent="0.55000000000000004">
      <c r="A190" s="11">
        <f>E6</f>
        <v>73.120104968355392</v>
      </c>
      <c r="B190" s="11">
        <f>SQRT(2/($B$9-1)*((A190/$B$3)^((1-$B$9)/$B$9) - 1))</f>
        <v>2.9751118847274158</v>
      </c>
      <c r="C190" s="11">
        <f>1/B190*(2/($B$9+1)*(1 + ($B$9-1)/2*B190^2))^(($B$9+1)/(2*$B$9-2))</f>
        <v>5.8925914167420999</v>
      </c>
      <c r="D190" s="11">
        <f>$B$6*$B$12/9.81*($B$9*SQRT(2/($B$9-1)*(2/($B$9+1))^(($B$9+1)/($B$9-1))*(1 - (A190/$B$3)^(($B$9-1)/$B$9))) + C190/$B$3*(A190 - $E$6))</f>
        <v>192.84000196356729</v>
      </c>
      <c r="E190" s="11">
        <f>$B$6*$B$12/9.81*($B$9*SQRT(2/($B$9-1)*(2/($B$9+1))^(($B$9+1)/($B$9-1))*(1 - (A190/$B$3)^(($B$9-1)/$B$9))) + C190/$B$3*(A190 - $E$4))</f>
        <v>189.83192185952259</v>
      </c>
      <c r="F190" s="2" t="s">
        <v>90</v>
      </c>
    </row>
    <row r="191" spans="1:6" x14ac:dyDescent="0.55000000000000004">
      <c r="A191" s="25">
        <v>73.25</v>
      </c>
      <c r="B191" s="4">
        <f t="shared" si="19"/>
        <v>2.9741273732854694</v>
      </c>
      <c r="C191" s="4">
        <f t="shared" si="20"/>
        <v>5.8850804632074034</v>
      </c>
      <c r="D191" s="4">
        <f t="shared" si="18"/>
        <v>192.83998198992248</v>
      </c>
      <c r="E191" s="4">
        <f t="shared" si="21"/>
        <v>189.83573611572544</v>
      </c>
    </row>
    <row r="192" spans="1:6" x14ac:dyDescent="0.55000000000000004">
      <c r="A192" s="25">
        <v>73.5</v>
      </c>
      <c r="B192" s="4">
        <f t="shared" si="19"/>
        <v>2.972237472077925</v>
      </c>
      <c r="C192" s="4">
        <f t="shared" si="20"/>
        <v>5.8706906512271608</v>
      </c>
      <c r="D192" s="4">
        <f t="shared" si="18"/>
        <v>192.83983180390595</v>
      </c>
      <c r="E192" s="4">
        <f t="shared" si="21"/>
        <v>189.84293171428101</v>
      </c>
    </row>
    <row r="193" spans="1:5" x14ac:dyDescent="0.55000000000000004">
      <c r="A193" s="25">
        <v>73.75</v>
      </c>
      <c r="B193" s="4">
        <f t="shared" si="19"/>
        <v>2.9703540087249456</v>
      </c>
      <c r="C193" s="4">
        <f t="shared" si="20"/>
        <v>5.8563870225621129</v>
      </c>
      <c r="D193" s="4">
        <f t="shared" si="18"/>
        <v>192.83953602547416</v>
      </c>
      <c r="E193" s="4">
        <f t="shared" si="21"/>
        <v>189.84993772512325</v>
      </c>
    </row>
    <row r="194" spans="1:5" x14ac:dyDescent="0.55000000000000004">
      <c r="A194" s="25">
        <v>74</v>
      </c>
      <c r="B194" s="4">
        <f t="shared" si="19"/>
        <v>2.9684769388439682</v>
      </c>
      <c r="C194" s="4">
        <f t="shared" si="20"/>
        <v>5.84216877062482</v>
      </c>
      <c r="D194" s="4">
        <f t="shared" si="18"/>
        <v>192.83909639499745</v>
      </c>
      <c r="E194" s="4">
        <f t="shared" si="21"/>
        <v>189.85675630037341</v>
      </c>
    </row>
    <row r="195" spans="1:5" x14ac:dyDescent="0.55000000000000004">
      <c r="A195" s="25">
        <v>74.25</v>
      </c>
      <c r="B195" s="4">
        <f t="shared" si="19"/>
        <v>2.966606218508073</v>
      </c>
      <c r="C195" s="4">
        <f t="shared" si="20"/>
        <v>5.8280350990767831</v>
      </c>
      <c r="D195" s="4">
        <f t="shared" si="18"/>
        <v>192.83851462848585</v>
      </c>
      <c r="E195" s="4">
        <f t="shared" si="21"/>
        <v>189.86338956256034</v>
      </c>
    </row>
    <row r="196" spans="1:5" x14ac:dyDescent="0.55000000000000004">
      <c r="A196" s="25">
        <v>74.5</v>
      </c>
      <c r="B196" s="4">
        <f t="shared" si="19"/>
        <v>2.9647418042397904</v>
      </c>
      <c r="C196" s="4">
        <f t="shared" si="20"/>
        <v>5.8139852216641765</v>
      </c>
      <c r="D196" s="4">
        <f t="shared" si="18"/>
        <v>192.83779241800022</v>
      </c>
      <c r="E196" s="4">
        <f t="shared" si="21"/>
        <v>189.86983960511589</v>
      </c>
    </row>
    <row r="197" spans="1:5" x14ac:dyDescent="0.55000000000000004">
      <c r="A197" s="25">
        <v>74.75</v>
      </c>
      <c r="B197" s="4">
        <f t="shared" si="19"/>
        <v>2.9628836530049987</v>
      </c>
      <c r="C197" s="4">
        <f t="shared" si="20"/>
        <v>5.8000183620567691</v>
      </c>
      <c r="D197" s="4">
        <f t="shared" si="18"/>
        <v>192.83693143205576</v>
      </c>
      <c r="E197" s="4">
        <f t="shared" si="21"/>
        <v>189.87610849286023</v>
      </c>
    </row>
    <row r="198" spans="1:5" x14ac:dyDescent="0.55000000000000004">
      <c r="A198" s="25">
        <v>75</v>
      </c>
      <c r="B198" s="4">
        <f t="shared" si="19"/>
        <v>2.9610317222069371</v>
      </c>
      <c r="C198" s="4">
        <f t="shared" si="20"/>
        <v>5.7861337536899011</v>
      </c>
      <c r="D198" s="4">
        <f t="shared" si="18"/>
        <v>192.83593331601713</v>
      </c>
      <c r="E198" s="4">
        <f t="shared" si="21"/>
        <v>189.88219826247783</v>
      </c>
    </row>
    <row r="199" spans="1:5" x14ac:dyDescent="0.55000000000000004">
      <c r="A199" s="25">
        <v>75.25</v>
      </c>
      <c r="B199" s="4">
        <f t="shared" si="19"/>
        <v>2.9591859696803113</v>
      </c>
      <c r="C199" s="4">
        <f t="shared" si="20"/>
        <v>5.7723306396095539</v>
      </c>
      <c r="D199" s="4">
        <f t="shared" si="18"/>
        <v>192.83479969248555</v>
      </c>
      <c r="E199" s="4">
        <f t="shared" si="21"/>
        <v>189.88811092298366</v>
      </c>
    </row>
    <row r="200" spans="1:5" x14ac:dyDescent="0.55000000000000004">
      <c r="A200" s="25">
        <v>75.5</v>
      </c>
      <c r="B200" s="4">
        <f t="shared" si="19"/>
        <v>2.9573463536855007</v>
      </c>
      <c r="C200" s="4">
        <f t="shared" si="20"/>
        <v>5.7586082723203313</v>
      </c>
      <c r="D200" s="4">
        <f t="shared" si="18"/>
        <v>192.83353216167873</v>
      </c>
      <c r="E200" s="4">
        <f t="shared" si="21"/>
        <v>189.89384845618079</v>
      </c>
    </row>
    <row r="201" spans="1:5" x14ac:dyDescent="0.55000000000000004">
      <c r="A201" s="25">
        <v>75.75</v>
      </c>
      <c r="B201" s="4">
        <f t="shared" si="19"/>
        <v>2.9555128329028642</v>
      </c>
      <c r="C201" s="4">
        <f t="shared" si="20"/>
        <v>5.7449659136363636</v>
      </c>
      <c r="D201" s="4">
        <f t="shared" si="18"/>
        <v>192.83213230180314</v>
      </c>
      <c r="E201" s="4">
        <f t="shared" si="21"/>
        <v>189.89941281710841</v>
      </c>
    </row>
    <row r="202" spans="1:5" x14ac:dyDescent="0.55000000000000004">
      <c r="A202" s="25">
        <v>76</v>
      </c>
      <c r="B202" s="4">
        <f t="shared" si="19"/>
        <v>2.9536853664271341</v>
      </c>
      <c r="C202" s="4">
        <f t="shared" si="20"/>
        <v>5.7314028345350589</v>
      </c>
      <c r="D202" s="4">
        <f t="shared" si="18"/>
        <v>192.83060166941837</v>
      </c>
      <c r="E202" s="4">
        <f t="shared" si="21"/>
        <v>189.9048059344814</v>
      </c>
    </row>
    <row r="203" spans="1:5" x14ac:dyDescent="0.55000000000000004">
      <c r="A203" s="25">
        <v>76.25</v>
      </c>
      <c r="B203" s="4">
        <f t="shared" si="19"/>
        <v>2.951863913761914</v>
      </c>
      <c r="C203" s="4">
        <f t="shared" si="20"/>
        <v>5.7179183150136019</v>
      </c>
      <c r="D203" s="4">
        <f t="shared" si="18"/>
        <v>192.82894179979561</v>
      </c>
      <c r="E203" s="4">
        <f t="shared" si="21"/>
        <v>189.91002971112164</v>
      </c>
    </row>
    <row r="204" spans="1:5" x14ac:dyDescent="0.55000000000000004">
      <c r="A204" s="25">
        <v>76.5</v>
      </c>
      <c r="B204" s="4">
        <f t="shared" si="19"/>
        <v>2.9500484348142555</v>
      </c>
      <c r="C204" s="4">
        <f t="shared" si="20"/>
        <v>5.704511643948166</v>
      </c>
      <c r="D204" s="4">
        <f t="shared" si="18"/>
        <v>192.82715420726765</v>
      </c>
      <c r="E204" s="4">
        <f t="shared" si="21"/>
        <v>189.91508602437997</v>
      </c>
    </row>
    <row r="205" spans="1:5" x14ac:dyDescent="0.55000000000000004">
      <c r="A205" s="25">
        <v>76.75</v>
      </c>
      <c r="B205" s="4">
        <f t="shared" si="19"/>
        <v>2.9482388898893324</v>
      </c>
      <c r="C205" s="4">
        <f t="shared" si="20"/>
        <v>5.6911821189557807</v>
      </c>
      <c r="D205" s="4">
        <f t="shared" si="18"/>
        <v>192.82524038557327</v>
      </c>
      <c r="E205" s="4">
        <f t="shared" si="21"/>
        <v>189.91997672655128</v>
      </c>
    </row>
    <row r="206" spans="1:5" x14ac:dyDescent="0.55000000000000004">
      <c r="A206" s="25">
        <v>77</v>
      </c>
      <c r="B206" s="4">
        <f t="shared" si="19"/>
        <v>2.9464352396852016</v>
      </c>
      <c r="C206" s="4">
        <f t="shared" si="20"/>
        <v>5.677929046258793</v>
      </c>
      <c r="D206" s="4">
        <f t="shared" si="18"/>
        <v>192.82320180819434</v>
      </c>
      <c r="E206" s="4">
        <f t="shared" si="21"/>
        <v>189.92470364528054</v>
      </c>
    </row>
    <row r="207" spans="1:5" x14ac:dyDescent="0.55000000000000004">
      <c r="A207" s="25">
        <v>77.25</v>
      </c>
      <c r="B207" s="4">
        <f t="shared" si="19"/>
        <v>2.9446374452876451</v>
      </c>
      <c r="C207" s="4">
        <f t="shared" si="20"/>
        <v>5.6647517405518872</v>
      </c>
      <c r="D207" s="4">
        <f t="shared" ref="D207:D270" si="22">$B$6*$B$12/9.81*($B$9*SQRT(2/($B$9-1)*(2/($B$9+1))^(($B$9+1)/($B$9-1))*(1 - (A207/$B$3)^(($B$9-1)/$B$9))) + C207/$B$3*(A207 - $E$6))</f>
        <v>192.82103992868642</v>
      </c>
      <c r="E207" s="4">
        <f t="shared" si="21"/>
        <v>189.92926858396154</v>
      </c>
    </row>
    <row r="208" spans="1:5" x14ac:dyDescent="0.55000000000000004">
      <c r="A208" s="25">
        <v>77.5</v>
      </c>
      <c r="B208" s="4">
        <f t="shared" ref="B208:B271" si="23">SQRT(2/($B$9-1)*((A208/$B$3)^((1-$B$9)/$B$9) - 1))</f>
        <v>2.9428454681650993</v>
      </c>
      <c r="C208" s="4">
        <f t="shared" ref="C208:C271" si="24">1/B208*(2/($B$9+1)*(1 + ($B$9-1)/2*B208^2))^(($B$9+1)/(2*$B$9-2))</f>
        <v>5.6516495248714831</v>
      </c>
      <c r="D208" s="4">
        <f t="shared" si="22"/>
        <v>192.81875618100329</v>
      </c>
      <c r="E208" s="4">
        <f t="shared" ref="E208:E271" si="25">$B$6*$B$12/9.81*($B$9*SQRT(2/($B$9-1)*(2/($B$9+1))^(($B$9+1)/($B$9-1))*(1 - (A208/$B$3)^(($B$9-1)/$B$9))) + C208/$B$3*(A208 - $E$4))</f>
        <v>189.93367332212779</v>
      </c>
    </row>
    <row r="209" spans="1:5" x14ac:dyDescent="0.55000000000000004">
      <c r="A209" s="25">
        <v>77.75</v>
      </c>
      <c r="B209" s="4">
        <f t="shared" si="23"/>
        <v>2.941059270163672</v>
      </c>
      <c r="C209" s="4">
        <f t="shared" si="24"/>
        <v>5.6386217304677144</v>
      </c>
      <c r="D209" s="4">
        <f t="shared" si="22"/>
        <v>192.81635197981481</v>
      </c>
      <c r="E209" s="4">
        <f t="shared" si="25"/>
        <v>189.93791961583605</v>
      </c>
    </row>
    <row r="210" spans="1:5" x14ac:dyDescent="0.55000000000000004">
      <c r="A210" s="25">
        <v>78</v>
      </c>
      <c r="B210" s="4">
        <f t="shared" si="23"/>
        <v>2.9392788135022268</v>
      </c>
      <c r="C210" s="4">
        <f t="shared" si="24"/>
        <v>5.625667696678649</v>
      </c>
      <c r="D210" s="4">
        <f t="shared" si="22"/>
        <v>192.81382872081909</v>
      </c>
      <c r="E210" s="4">
        <f t="shared" si="25"/>
        <v>189.94200919804248</v>
      </c>
    </row>
    <row r="211" spans="1:5" x14ac:dyDescent="0.55000000000000004">
      <c r="A211" s="25">
        <v>78.25</v>
      </c>
      <c r="B211" s="4">
        <f t="shared" si="23"/>
        <v>2.9375040607675622</v>
      </c>
      <c r="C211" s="4">
        <f t="shared" si="24"/>
        <v>5.612786770806899</v>
      </c>
      <c r="D211" s="4">
        <f t="shared" si="22"/>
        <v>192.81118778104852</v>
      </c>
      <c r="E211" s="4">
        <f t="shared" si="25"/>
        <v>189.94594377897175</v>
      </c>
    </row>
    <row r="212" spans="1:5" x14ac:dyDescent="0.55000000000000004">
      <c r="A212" s="25">
        <v>78.5</v>
      </c>
      <c r="B212" s="4">
        <f t="shared" si="23"/>
        <v>2.9357349749096562</v>
      </c>
      <c r="C212" s="4">
        <f t="shared" si="24"/>
        <v>5.5999783079984562</v>
      </c>
      <c r="D212" s="4">
        <f t="shared" si="22"/>
        <v>192.80843051916986</v>
      </c>
      <c r="E212" s="4">
        <f t="shared" si="25"/>
        <v>189.94972504647899</v>
      </c>
    </row>
    <row r="213" spans="1:5" x14ac:dyDescent="0.55000000000000004">
      <c r="A213" s="25">
        <v>78.75</v>
      </c>
      <c r="B213" s="4">
        <f t="shared" si="23"/>
        <v>2.9339715192369957</v>
      </c>
      <c r="C213" s="4">
        <f t="shared" si="24"/>
        <v>5.5872416711238273</v>
      </c>
      <c r="D213" s="4">
        <f t="shared" si="22"/>
        <v>192.80555827577879</v>
      </c>
      <c r="E213" s="4">
        <f t="shared" si="25"/>
        <v>189.95335466640498</v>
      </c>
    </row>
    <row r="214" spans="1:5" x14ac:dyDescent="0.55000000000000004">
      <c r="A214" s="25">
        <v>79</v>
      </c>
      <c r="B214" s="4">
        <f t="shared" si="23"/>
        <v>2.9322136574119742</v>
      </c>
      <c r="C214" s="4">
        <f t="shared" si="24"/>
        <v>5.5745762306612292</v>
      </c>
      <c r="D214" s="4">
        <f t="shared" si="22"/>
        <v>192.80257237368883</v>
      </c>
      <c r="E214" s="4">
        <f t="shared" si="25"/>
        <v>189.9568342829248</v>
      </c>
    </row>
    <row r="215" spans="1:5" x14ac:dyDescent="0.55000000000000004">
      <c r="A215" s="25">
        <v>79.25</v>
      </c>
      <c r="B215" s="4">
        <f t="shared" si="23"/>
        <v>2.9304613534463706</v>
      </c>
      <c r="C215" s="4">
        <f t="shared" si="24"/>
        <v>5.5619813645820155</v>
      </c>
      <c r="D215" s="4">
        <f t="shared" si="22"/>
        <v>192.79947411821499</v>
      </c>
      <c r="E215" s="4">
        <f t="shared" si="25"/>
        <v>189.96016551888965</v>
      </c>
    </row>
    <row r="216" spans="1:5" x14ac:dyDescent="0.55000000000000004">
      <c r="A216" s="25">
        <v>79.5</v>
      </c>
      <c r="B216" s="4">
        <f t="shared" si="23"/>
        <v>2.9287145716968888</v>
      </c>
      <c r="C216" s="4">
        <f t="shared" si="24"/>
        <v>5.5494564582381187</v>
      </c>
      <c r="D216" s="4">
        <f t="shared" si="22"/>
        <v>192.79626479745147</v>
      </c>
      <c r="E216" s="4">
        <f t="shared" si="25"/>
        <v>189.96334997616259</v>
      </c>
    </row>
    <row r="217" spans="1:5" x14ac:dyDescent="0.55000000000000004">
      <c r="A217" s="25">
        <v>79.75</v>
      </c>
      <c r="B217" s="4">
        <f t="shared" si="23"/>
        <v>2.9269732768607808</v>
      </c>
      <c r="C217" s="4">
        <f t="shared" si="24"/>
        <v>5.53700090425159</v>
      </c>
      <c r="D217" s="4">
        <f t="shared" si="22"/>
        <v>192.792945682545</v>
      </c>
      <c r="E217" s="4">
        <f t="shared" si="25"/>
        <v>189.96638923594762</v>
      </c>
    </row>
    <row r="218" spans="1:5" x14ac:dyDescent="0.55000000000000004">
      <c r="A218" s="25">
        <v>80</v>
      </c>
      <c r="B218" s="4">
        <f t="shared" si="23"/>
        <v>2.9252374339715286</v>
      </c>
      <c r="C218" s="4">
        <f t="shared" si="24"/>
        <v>5.524614102406062</v>
      </c>
      <c r="D218" s="4">
        <f t="shared" si="22"/>
        <v>192.78951802796243</v>
      </c>
      <c r="E218" s="4">
        <f t="shared" si="25"/>
        <v>189.9692848591132</v>
      </c>
    </row>
    <row r="219" spans="1:5" x14ac:dyDescent="0.55000000000000004">
      <c r="A219" s="25">
        <v>80.25</v>
      </c>
      <c r="B219" s="4">
        <f t="shared" si="23"/>
        <v>2.9235070083945995</v>
      </c>
      <c r="C219" s="4">
        <f t="shared" si="24"/>
        <v>5.5122954595402049</v>
      </c>
      <c r="D219" s="4">
        <f t="shared" si="22"/>
        <v>192.78598307175358</v>
      </c>
      <c r="E219" s="4">
        <f t="shared" si="25"/>
        <v>189.97203838650907</v>
      </c>
    </row>
    <row r="220" spans="1:5" x14ac:dyDescent="0.55000000000000004">
      <c r="A220" s="25">
        <v>80.5</v>
      </c>
      <c r="B220" s="4">
        <f t="shared" si="23"/>
        <v>2.9217819658232687</v>
      </c>
      <c r="C220" s="4">
        <f t="shared" si="24"/>
        <v>5.5000443894431443</v>
      </c>
      <c r="D220" s="4">
        <f t="shared" si="22"/>
        <v>192.78234203580922</v>
      </c>
      <c r="E220" s="4">
        <f t="shared" si="25"/>
        <v>189.97465133927798</v>
      </c>
    </row>
    <row r="221" spans="1:5" x14ac:dyDescent="0.55000000000000004">
      <c r="A221" s="4">
        <v>80.75</v>
      </c>
      <c r="B221" s="4">
        <f t="shared" si="23"/>
        <v>2.9200622722745018</v>
      </c>
      <c r="C221" s="4">
        <f t="shared" si="24"/>
        <v>5.4878603127516294</v>
      </c>
      <c r="D221" s="4">
        <f t="shared" si="22"/>
        <v>192.77859612611408</v>
      </c>
      <c r="E221" s="4">
        <f t="shared" si="25"/>
        <v>189.977125219161</v>
      </c>
    </row>
    <row r="222" spans="1:5" x14ac:dyDescent="0.55000000000000004">
      <c r="A222" s="26">
        <v>81</v>
      </c>
      <c r="B222" s="4">
        <f t="shared" si="23"/>
        <v>2.9183478940849072</v>
      </c>
      <c r="C222" s="4">
        <f t="shared" si="24"/>
        <v>5.4757426568491256</v>
      </c>
      <c r="D222" s="4">
        <f t="shared" si="22"/>
        <v>192.77474653299552</v>
      </c>
      <c r="E222" s="4">
        <f t="shared" si="25"/>
        <v>189.97946150879756</v>
      </c>
    </row>
    <row r="223" spans="1:5" x14ac:dyDescent="0.55000000000000004">
      <c r="A223" s="25">
        <v>81.25</v>
      </c>
      <c r="B223" s="4">
        <f t="shared" si="23"/>
        <v>2.9166387979067521</v>
      </c>
      <c r="C223" s="4">
        <f t="shared" si="24"/>
        <v>5.4636908557667203</v>
      </c>
      <c r="D223" s="4">
        <f t="shared" si="22"/>
        <v>192.77079443136722</v>
      </c>
      <c r="E223" s="4">
        <f t="shared" si="25"/>
        <v>189.98166167202015</v>
      </c>
    </row>
    <row r="224" spans="1:5" x14ac:dyDescent="0.55000000000000004">
      <c r="A224" s="25">
        <v>81.5</v>
      </c>
      <c r="B224" s="4">
        <f t="shared" si="23"/>
        <v>2.9149349507040325</v>
      </c>
      <c r="C224" s="4">
        <f t="shared" si="24"/>
        <v>5.4517043500856808</v>
      </c>
      <c r="D224" s="4">
        <f t="shared" si="22"/>
        <v>192.76674098096854</v>
      </c>
      <c r="E224" s="4">
        <f t="shared" si="25"/>
        <v>189.98372715414303</v>
      </c>
    </row>
    <row r="225" spans="1:6" x14ac:dyDescent="0.55000000000000004">
      <c r="A225" s="25">
        <v>81.75</v>
      </c>
      <c r="B225" s="4">
        <f t="shared" si="23"/>
        <v>2.9132363197486115</v>
      </c>
      <c r="C225" s="4">
        <f t="shared" si="24"/>
        <v>5.4397825868418153</v>
      </c>
      <c r="D225" s="4">
        <f t="shared" si="22"/>
        <v>192.76258732659977</v>
      </c>
      <c r="E225" s="4">
        <f t="shared" si="25"/>
        <v>189.9856593822465</v>
      </c>
      <c r="F225" s="25"/>
    </row>
    <row r="226" spans="1:6" x14ac:dyDescent="0.55000000000000004">
      <c r="A226" s="25">
        <v>82</v>
      </c>
      <c r="B226" s="4">
        <f t="shared" si="23"/>
        <v>2.9115428726164185</v>
      </c>
      <c r="C226" s="4">
        <f t="shared" si="24"/>
        <v>5.42792501943154</v>
      </c>
      <c r="D226" s="4">
        <f t="shared" si="22"/>
        <v>192.75833459835272</v>
      </c>
      <c r="E226" s="4">
        <f t="shared" si="25"/>
        <v>189.98745976545521</v>
      </c>
      <c r="F226" s="25"/>
    </row>
    <row r="227" spans="1:6" x14ac:dyDescent="0.55000000000000004">
      <c r="A227" s="25">
        <v>82.25</v>
      </c>
      <c r="B227" s="4">
        <f t="shared" si="23"/>
        <v>2.9098545771836961</v>
      </c>
      <c r="C227" s="4">
        <f t="shared" si="24"/>
        <v>5.4161311075194938</v>
      </c>
      <c r="D227" s="4">
        <f t="shared" si="22"/>
        <v>192.75398391183703</v>
      </c>
      <c r="E227" s="4">
        <f t="shared" si="25"/>
        <v>189.98912969521217</v>
      </c>
      <c r="F227" s="25"/>
    </row>
    <row r="228" spans="1:6" x14ac:dyDescent="0.55000000000000004">
      <c r="A228" s="25">
        <v>82.5</v>
      </c>
      <c r="B228" s="4">
        <f t="shared" si="23"/>
        <v>2.9081714016233176</v>
      </c>
      <c r="C228" s="4">
        <f t="shared" si="24"/>
        <v>5.4044003169478643</v>
      </c>
      <c r="D228" s="4">
        <f t="shared" si="22"/>
        <v>192.74953636840297</v>
      </c>
      <c r="E228" s="4">
        <f t="shared" si="25"/>
        <v>189.99067054554709</v>
      </c>
      <c r="F228" s="25"/>
    </row>
    <row r="229" spans="1:6" x14ac:dyDescent="0.55000000000000004">
      <c r="A229" s="25">
        <v>82.75</v>
      </c>
      <c r="B229" s="4">
        <f t="shared" si="23"/>
        <v>2.9064933144011516</v>
      </c>
      <c r="C229" s="4">
        <f t="shared" si="24"/>
        <v>5.3927321196472651</v>
      </c>
      <c r="D229" s="4">
        <f t="shared" si="22"/>
        <v>192.7449930553596</v>
      </c>
      <c r="E229" s="4">
        <f t="shared" si="25"/>
        <v>189.99208367334063</v>
      </c>
      <c r="F229" s="25"/>
    </row>
    <row r="230" spans="1:6" x14ac:dyDescent="0.55000000000000004">
      <c r="A230" s="25">
        <v>83</v>
      </c>
      <c r="B230" s="4">
        <f t="shared" si="23"/>
        <v>2.9048202842724864</v>
      </c>
      <c r="C230" s="4">
        <f t="shared" si="24"/>
        <v>5.3811259935491442</v>
      </c>
      <c r="D230" s="4">
        <f t="shared" si="22"/>
        <v>192.74035504618888</v>
      </c>
      <c r="E230" s="4">
        <f t="shared" si="25"/>
        <v>189.99337041858303</v>
      </c>
      <c r="F230" s="25"/>
    </row>
    <row r="231" spans="1:6" x14ac:dyDescent="0.55000000000000004">
      <c r="A231" s="25">
        <v>83.25</v>
      </c>
      <c r="B231" s="4">
        <f t="shared" si="23"/>
        <v>2.9031522802785084</v>
      </c>
      <c r="C231" s="4">
        <f t="shared" si="24"/>
        <v>5.3695814224997687</v>
      </c>
      <c r="D231" s="4">
        <f t="shared" si="22"/>
        <v>192.73562340075699</v>
      </c>
      <c r="E231" s="4">
        <f t="shared" si="25"/>
        <v>189.99453210462914</v>
      </c>
      <c r="F231" s="25"/>
    </row>
    <row r="232" spans="1:6" x14ac:dyDescent="0.55000000000000004">
      <c r="A232" s="25">
        <v>83.5</v>
      </c>
      <c r="B232" s="4">
        <f t="shared" si="23"/>
        <v>2.9014892717428289</v>
      </c>
      <c r="C232" s="4">
        <f t="shared" si="24"/>
        <v>5.3580978961755976</v>
      </c>
      <c r="D232" s="4">
        <f t="shared" si="22"/>
        <v>192.7307991655203</v>
      </c>
      <c r="E232" s="4">
        <f t="shared" si="25"/>
        <v>189.99557003844794</v>
      </c>
      <c r="F232" s="25"/>
    </row>
    <row r="233" spans="1:6" x14ac:dyDescent="0.55000000000000004">
      <c r="A233" s="25">
        <v>83.75</v>
      </c>
      <c r="B233" s="4">
        <f t="shared" si="23"/>
        <v>2.8998312282680736</v>
      </c>
      <c r="C233" s="4">
        <f t="shared" si="24"/>
        <v>5.3466749100002389</v>
      </c>
      <c r="D233" s="4">
        <f t="shared" si="22"/>
        <v>192.72588337372903</v>
      </c>
      <c r="E233" s="4">
        <f t="shared" si="25"/>
        <v>189.99648551086844</v>
      </c>
      <c r="F233" s="25"/>
    </row>
    <row r="234" spans="1:6" x14ac:dyDescent="0.55000000000000004">
      <c r="A234" s="25">
        <v>84</v>
      </c>
      <c r="B234" s="4">
        <f t="shared" si="23"/>
        <v>2.8981781197325112</v>
      </c>
      <c r="C234" s="4">
        <f t="shared" si="24"/>
        <v>5.3353119650627363</v>
      </c>
      <c r="D234" s="4">
        <f t="shared" si="22"/>
        <v>192.72087704562645</v>
      </c>
      <c r="E234" s="4">
        <f t="shared" si="25"/>
        <v>189.99727979682041</v>
      </c>
      <c r="F234" s="25"/>
    </row>
    <row r="235" spans="1:6" x14ac:dyDescent="0.55000000000000004">
      <c r="A235" s="25">
        <v>84.25</v>
      </c>
      <c r="B235" s="4">
        <f t="shared" si="23"/>
        <v>2.8965299162867413</v>
      </c>
      <c r="C235" s="4">
        <f t="shared" si="24"/>
        <v>5.324008568037284</v>
      </c>
      <c r="D235" s="4">
        <f t="shared" si="22"/>
        <v>192.71578118864471</v>
      </c>
      <c r="E235" s="4">
        <f t="shared" si="25"/>
        <v>189.99795415557159</v>
      </c>
      <c r="F235" s="25"/>
    </row>
    <row r="236" spans="1:6" x14ac:dyDescent="0.55000000000000004">
      <c r="A236" s="25">
        <v>84.5</v>
      </c>
      <c r="B236" s="4">
        <f t="shared" si="23"/>
        <v>2.8948865883504293</v>
      </c>
      <c r="C236" s="4">
        <f t="shared" si="24"/>
        <v>5.3127642311043468</v>
      </c>
      <c r="D236" s="4">
        <f t="shared" si="22"/>
        <v>192.71059679759756</v>
      </c>
      <c r="E236" s="4">
        <f t="shared" si="25"/>
        <v>189.99850983096024</v>
      </c>
      <c r="F236" s="25"/>
    </row>
    <row r="237" spans="1:6" x14ac:dyDescent="0.55000000000000004">
      <c r="A237" s="25">
        <v>84.75</v>
      </c>
      <c r="B237" s="4">
        <f t="shared" si="23"/>
        <v>2.8932481066090898</v>
      </c>
      <c r="C237" s="4">
        <f t="shared" si="24"/>
        <v>5.3015784718730972</v>
      </c>
      <c r="D237" s="4">
        <f t="shared" si="22"/>
        <v>192.70532485486896</v>
      </c>
      <c r="E237" s="4">
        <f t="shared" si="25"/>
        <v>189.99894805162367</v>
      </c>
      <c r="F237" s="25"/>
    </row>
    <row r="238" spans="1:6" x14ac:dyDescent="0.55000000000000004">
      <c r="A238" s="25">
        <v>85</v>
      </c>
      <c r="B238" s="4">
        <f t="shared" si="23"/>
        <v>2.891614442010916</v>
      </c>
      <c r="C238" s="4">
        <f t="shared" si="24"/>
        <v>5.290450813305136</v>
      </c>
      <c r="D238" s="4">
        <f t="shared" si="22"/>
        <v>192.69996633059921</v>
      </c>
      <c r="E238" s="4">
        <f t="shared" si="25"/>
        <v>189.9992700312232</v>
      </c>
      <c r="F238" s="25"/>
    </row>
    <row r="239" spans="1:6" x14ac:dyDescent="0.55000000000000004">
      <c r="A239" s="25">
        <v>85.25</v>
      </c>
      <c r="B239" s="4">
        <f t="shared" si="23"/>
        <v>2.8899855657636611</v>
      </c>
      <c r="C239" s="4">
        <f t="shared" si="24"/>
        <v>5.2793807836396018</v>
      </c>
      <c r="D239" s="4">
        <f t="shared" si="22"/>
        <v>192.69452218286705</v>
      </c>
      <c r="E239" s="4">
        <f t="shared" si="25"/>
        <v>189.99947696866442</v>
      </c>
      <c r="F239" s="25"/>
    </row>
    <row r="240" spans="1:6" x14ac:dyDescent="0.55000000000000004">
      <c r="A240" s="3">
        <v>85.5</v>
      </c>
      <c r="B240" s="5">
        <f>SQRT(2/($B$9-1)*((A240/$B$3)^((1-$B$9)/$B$9) - 1))</f>
        <v>2.8883614493315588</v>
      </c>
      <c r="C240" s="5">
        <f t="shared" si="24"/>
        <v>5.2683679163194244</v>
      </c>
      <c r="D240" s="5">
        <f t="shared" si="22"/>
        <v>192.68899335786878</v>
      </c>
      <c r="E240" s="5">
        <f t="shared" si="25"/>
        <v>189.99957004831413</v>
      </c>
      <c r="F240" s="2" t="s">
        <v>62</v>
      </c>
    </row>
    <row r="241" spans="1:5" x14ac:dyDescent="0.55000000000000004">
      <c r="A241" s="25">
        <v>85.75</v>
      </c>
      <c r="B241" s="4">
        <f t="shared" si="23"/>
        <v>2.8867420644322972</v>
      </c>
      <c r="C241" s="4">
        <f t="shared" si="24"/>
        <v>5.2574117499189192</v>
      </c>
      <c r="D241" s="4">
        <f t="shared" si="22"/>
        <v>192.68338079009476</v>
      </c>
      <c r="E241" s="4">
        <f t="shared" si="25"/>
        <v>189.99955044021357</v>
      </c>
    </row>
    <row r="242" spans="1:5" x14ac:dyDescent="0.55000000000000004">
      <c r="A242" s="25">
        <v>86</v>
      </c>
      <c r="B242" s="4">
        <f t="shared" si="23"/>
        <v>2.8851273830340292</v>
      </c>
      <c r="C242" s="4">
        <f t="shared" si="24"/>
        <v>5.2465118280725438</v>
      </c>
      <c r="D242" s="4">
        <f t="shared" si="22"/>
        <v>192.67768540250196</v>
      </c>
      <c r="E242" s="4">
        <f t="shared" si="25"/>
        <v>189.99941930028754</v>
      </c>
    </row>
    <row r="243" spans="1:5" x14ac:dyDescent="0.55000000000000004">
      <c r="A243" s="25">
        <v>86.25</v>
      </c>
      <c r="B243" s="4">
        <f t="shared" si="23"/>
        <v>2.8835173773524341</v>
      </c>
      <c r="C243" s="4">
        <f t="shared" si="24"/>
        <v>5.2356676994048774</v>
      </c>
      <c r="D243" s="4">
        <f t="shared" si="22"/>
        <v>192.6719081066843</v>
      </c>
      <c r="E243" s="4">
        <f t="shared" si="25"/>
        <v>189.99917777055032</v>
      </c>
    </row>
    <row r="244" spans="1:5" x14ac:dyDescent="0.55000000000000004">
      <c r="A244" s="25">
        <v>86.5</v>
      </c>
      <c r="B244" s="4">
        <f t="shared" si="23"/>
        <v>2.8819120198478165</v>
      </c>
      <c r="C244" s="4">
        <f>1/B244*(2/($B$9+1)*(1 + ($B$9-1)/2*B244^2))^(($B$9+1)/(2*$B$9-2))</f>
        <v>5.2248789174617327</v>
      </c>
      <c r="D244" s="4">
        <f t="shared" si="22"/>
        <v>192.66604980303933</v>
      </c>
      <c r="E244" s="4">
        <f t="shared" si="25"/>
        <v>189.99882697930778</v>
      </c>
    </row>
    <row r="245" spans="1:5" x14ac:dyDescent="0.55000000000000004">
      <c r="A245" s="25">
        <v>86.75</v>
      </c>
      <c r="B245" s="4">
        <f t="shared" si="23"/>
        <v>2.8803112832222495</v>
      </c>
      <c r="C245" s="4">
        <f t="shared" si="24"/>
        <v>5.2141450406424621</v>
      </c>
      <c r="D245" s="4">
        <f t="shared" si="22"/>
        <v>192.6601113809327</v>
      </c>
      <c r="E245" s="4">
        <f t="shared" si="25"/>
        <v>189.99836804135603</v>
      </c>
    </row>
    <row r="246" spans="1:5" x14ac:dyDescent="0.55000000000000004">
      <c r="A246" s="25">
        <v>87</v>
      </c>
      <c r="B246" s="4">
        <f t="shared" si="23"/>
        <v>2.8787151404167601</v>
      </c>
      <c r="C246" s="4">
        <f t="shared" si="24"/>
        <v>5.2034656321333346</v>
      </c>
      <c r="D246" s="4">
        <f t="shared" si="22"/>
        <v>192.65409371885917</v>
      </c>
      <c r="E246" s="4">
        <f t="shared" si="25"/>
        <v>189.9978020581768</v>
      </c>
    </row>
    <row r="247" spans="1:5" x14ac:dyDescent="0.55000000000000004">
      <c r="A247" s="25">
        <v>87.25</v>
      </c>
      <c r="B247" s="4">
        <f t="shared" si="23"/>
        <v>2.8771235646085564</v>
      </c>
      <c r="C247" s="4">
        <f t="shared" si="24"/>
        <v>5.1928402598420753</v>
      </c>
      <c r="D247" s="4">
        <f t="shared" si="22"/>
        <v>192.64799768460151</v>
      </c>
      <c r="E247" s="4">
        <f t="shared" si="25"/>
        <v>189.99713011812946</v>
      </c>
    </row>
    <row r="248" spans="1:5" x14ac:dyDescent="0.55000000000000004">
      <c r="A248" s="25">
        <v>87.5</v>
      </c>
      <c r="B248" s="4">
        <f t="shared" si="23"/>
        <v>2.8755365292082891</v>
      </c>
      <c r="C248" s="4">
        <f t="shared" si="24"/>
        <v>5.1822684963334273</v>
      </c>
      <c r="D248" s="4">
        <f t="shared" si="22"/>
        <v>192.64182413538589</v>
      </c>
      <c r="E248" s="4">
        <f t="shared" si="25"/>
        <v>189.99635329663954</v>
      </c>
    </row>
    <row r="249" spans="1:5" x14ac:dyDescent="0.55000000000000004">
      <c r="A249" s="25">
        <v>87.75</v>
      </c>
      <c r="B249" s="4">
        <f t="shared" si="23"/>
        <v>2.8739540078573613</v>
      </c>
      <c r="C249" s="4">
        <f t="shared" si="24"/>
        <v>5.1717499187658165</v>
      </c>
      <c r="D249" s="4">
        <f t="shared" si="22"/>
        <v>192.63557391803525</v>
      </c>
      <c r="E249" s="4">
        <f t="shared" si="25"/>
        <v>189.99547265638435</v>
      </c>
    </row>
    <row r="250" spans="1:5" x14ac:dyDescent="0.55000000000000004">
      <c r="A250" s="25">
        <v>88</v>
      </c>
      <c r="B250" s="4">
        <f t="shared" si="23"/>
        <v>2.8723759744252679</v>
      </c>
      <c r="C250" s="4">
        <f t="shared" si="24"/>
        <v>5.1612841088290144</v>
      </c>
      <c r="D250" s="4">
        <f t="shared" si="22"/>
        <v>192.62924786911995</v>
      </c>
      <c r="E250" s="4">
        <f t="shared" si="25"/>
        <v>189.99448924747529</v>
      </c>
    </row>
    <row r="251" spans="1:5" x14ac:dyDescent="0.55000000000000004">
      <c r="A251" s="25">
        <v>88.25</v>
      </c>
      <c r="B251" s="4">
        <f t="shared" si="23"/>
        <v>2.8708024030069836</v>
      </c>
      <c r="C251" s="4">
        <f t="shared" si="24"/>
        <v>5.1508706526828973</v>
      </c>
      <c r="D251" s="4">
        <f t="shared" si="22"/>
        <v>192.62284681510533</v>
      </c>
      <c r="E251" s="4">
        <f t="shared" si="25"/>
        <v>189.99340410763696</v>
      </c>
    </row>
    <row r="252" spans="1:5" x14ac:dyDescent="0.55000000000000004">
      <c r="A252" s="25">
        <v>88.5</v>
      </c>
      <c r="B252" s="4">
        <f t="shared" si="23"/>
        <v>2.8692332679203734</v>
      </c>
      <c r="C252" s="4">
        <f t="shared" si="24"/>
        <v>5.1405091408970893</v>
      </c>
      <c r="D252" s="4">
        <f t="shared" si="22"/>
        <v>192.61637157249748</v>
      </c>
      <c r="E252" s="4">
        <f t="shared" si="25"/>
        <v>189.99221826238363</v>
      </c>
    </row>
    <row r="253" spans="1:5" x14ac:dyDescent="0.55000000000000004">
      <c r="A253" s="25">
        <v>88.75</v>
      </c>
      <c r="B253" s="4">
        <f t="shared" si="23"/>
        <v>2.8676685437036569</v>
      </c>
      <c r="C253" s="4">
        <f t="shared" si="24"/>
        <v>5.1301991683917141</v>
      </c>
      <c r="D253" s="4">
        <f t="shared" si="22"/>
        <v>192.60982294798626</v>
      </c>
      <c r="E253" s="4">
        <f t="shared" si="25"/>
        <v>189.99093272519224</v>
      </c>
    </row>
    <row r="254" spans="1:5" x14ac:dyDescent="0.55000000000000004">
      <c r="A254" s="25">
        <v>89</v>
      </c>
      <c r="B254" s="4">
        <f t="shared" si="23"/>
        <v>2.8661082051128952</v>
      </c>
      <c r="C254" s="4">
        <f t="shared" si="24"/>
        <v>5.119940334378998</v>
      </c>
      <c r="D254" s="4">
        <f t="shared" si="22"/>
        <v>192.60320173858557</v>
      </c>
      <c r="E254" s="4">
        <f t="shared" si="25"/>
        <v>189.98954849767307</v>
      </c>
    </row>
    <row r="255" spans="1:5" x14ac:dyDescent="0.55000000000000004">
      <c r="A255" s="25">
        <v>89.25</v>
      </c>
      <c r="B255" s="4">
        <f t="shared" si="23"/>
        <v>2.8645522271195198</v>
      </c>
      <c r="C255" s="4">
        <f t="shared" si="24"/>
        <v>5.1097322423058786</v>
      </c>
      <c r="D255" s="4">
        <f t="shared" si="22"/>
        <v>192.59650873177173</v>
      </c>
      <c r="E255" s="4">
        <f t="shared" si="25"/>
        <v>189.98806656973667</v>
      </c>
    </row>
    <row r="256" spans="1:5" x14ac:dyDescent="0.55000000000000004">
      <c r="A256" s="25">
        <v>89.5</v>
      </c>
      <c r="B256" s="4">
        <f t="shared" si="23"/>
        <v>2.8630005849078972</v>
      </c>
      <c r="C256" s="4">
        <f t="shared" si="24"/>
        <v>5.0995744997975487</v>
      </c>
      <c r="D256" s="4">
        <f t="shared" si="22"/>
        <v>192.58974470561941</v>
      </c>
      <c r="E256" s="4">
        <f t="shared" si="25"/>
        <v>189.98648791975936</v>
      </c>
    </row>
    <row r="257" spans="1:5" x14ac:dyDescent="0.55000000000000004">
      <c r="A257" s="25">
        <v>89.75</v>
      </c>
      <c r="B257" s="4">
        <f t="shared" si="23"/>
        <v>2.8614532538729223</v>
      </c>
      <c r="C257" s="4">
        <f t="shared" si="24"/>
        <v>5.0894667186018632</v>
      </c>
      <c r="D257" s="4">
        <f t="shared" si="22"/>
        <v>192.58291042893504</v>
      </c>
      <c r="E257" s="4">
        <f t="shared" si="25"/>
        <v>189.98481351474442</v>
      </c>
    </row>
    <row r="258" spans="1:5" x14ac:dyDescent="0.55000000000000004">
      <c r="A258" s="25">
        <v>90</v>
      </c>
      <c r="B258" s="4">
        <f t="shared" si="23"/>
        <v>2.8599102096176536</v>
      </c>
      <c r="C258" s="4">
        <f t="shared" si="24"/>
        <v>5.0794085145346726</v>
      </c>
      <c r="D258" s="4">
        <f t="shared" si="22"/>
        <v>192.57600666138836</v>
      </c>
      <c r="E258" s="4">
        <f t="shared" si="25"/>
        <v>189.98304431048189</v>
      </c>
    </row>
    <row r="259" spans="1:5" x14ac:dyDescent="0.55000000000000004">
      <c r="A259" s="25">
        <v>90.25</v>
      </c>
      <c r="B259" s="4">
        <f t="shared" si="23"/>
        <v>2.8583714279509711</v>
      </c>
      <c r="C259" s="4">
        <f t="shared" si="24"/>
        <v>5.0693995074260103</v>
      </c>
      <c r="D259" s="4">
        <f t="shared" si="22"/>
        <v>192.56903415364152</v>
      </c>
      <c r="E259" s="4">
        <f t="shared" si="25"/>
        <v>189.98118125170507</v>
      </c>
    </row>
    <row r="260" spans="1:5" x14ac:dyDescent="0.55000000000000004">
      <c r="A260" s="25">
        <v>90.5</v>
      </c>
      <c r="B260" s="4">
        <f t="shared" si="23"/>
        <v>2.8568368848852779</v>
      </c>
      <c r="C260" s="4">
        <f t="shared" si="24"/>
        <v>5.059439321067166</v>
      </c>
      <c r="D260" s="4">
        <f t="shared" si="22"/>
        <v>192.5619936474761</v>
      </c>
      <c r="E260" s="4">
        <f t="shared" si="25"/>
        <v>189.97922527224435</v>
      </c>
    </row>
    <row r="261" spans="1:5" x14ac:dyDescent="0.55000000000000004">
      <c r="A261" s="25">
        <v>90.75</v>
      </c>
      <c r="B261" s="4">
        <f t="shared" si="23"/>
        <v>2.8553065566342259</v>
      </c>
      <c r="C261" s="4">
        <f t="shared" si="24"/>
        <v>5.0495275831585538</v>
      </c>
      <c r="D261" s="4">
        <f t="shared" si="22"/>
        <v>192.5548858759179</v>
      </c>
      <c r="E261" s="4">
        <f t="shared" si="25"/>
        <v>189.97717729517908</v>
      </c>
    </row>
    <row r="262" spans="1:5" x14ac:dyDescent="0.55000000000000004">
      <c r="A262" s="25">
        <v>91</v>
      </c>
      <c r="B262" s="4">
        <f t="shared" si="23"/>
        <v>2.853780419610477</v>
      </c>
      <c r="C262" s="4">
        <f t="shared" si="24"/>
        <v>5.0396639252584787</v>
      </c>
      <c r="D262" s="4">
        <f t="shared" si="22"/>
        <v>192.54771156335997</v>
      </c>
      <c r="E262" s="4">
        <f t="shared" si="25"/>
        <v>189.97503823298618</v>
      </c>
    </row>
    <row r="263" spans="1:5" x14ac:dyDescent="0.55000000000000004">
      <c r="A263" s="25">
        <v>91.25</v>
      </c>
      <c r="B263" s="4">
        <f t="shared" si="23"/>
        <v>2.852258450423494</v>
      </c>
      <c r="C263" s="4">
        <f t="shared" si="24"/>
        <v>5.0298479827326377</v>
      </c>
      <c r="D263" s="4">
        <f t="shared" si="22"/>
        <v>192.54047142568339</v>
      </c>
      <c r="E263" s="4">
        <f t="shared" si="25"/>
        <v>189.97280898768722</v>
      </c>
    </row>
    <row r="264" spans="1:5" x14ac:dyDescent="0.55000000000000004">
      <c r="A264" s="25">
        <v>91.5</v>
      </c>
      <c r="B264" s="4">
        <f t="shared" si="23"/>
        <v>2.8507406258773624</v>
      </c>
      <c r="C264" s="4">
        <f t="shared" si="24"/>
        <v>5.0200793947044726</v>
      </c>
      <c r="D264" s="4">
        <f t="shared" si="22"/>
        <v>192.53316617037612</v>
      </c>
      <c r="E264" s="4">
        <f t="shared" si="25"/>
        <v>189.9704904509922</v>
      </c>
    </row>
    <row r="265" spans="1:5" x14ac:dyDescent="0.55000000000000004">
      <c r="A265" s="25">
        <v>91.75</v>
      </c>
      <c r="B265" s="4">
        <f t="shared" si="23"/>
        <v>2.8492269229686409</v>
      </c>
      <c r="C265" s="4">
        <f t="shared" si="24"/>
        <v>5.0103578040062837</v>
      </c>
      <c r="D265" s="4">
        <f t="shared" si="22"/>
        <v>192.5257964966498</v>
      </c>
      <c r="E265" s="4">
        <f t="shared" si="25"/>
        <v>189.96808350444152</v>
      </c>
    </row>
    <row r="266" spans="1:5" x14ac:dyDescent="0.55000000000000004">
      <c r="A266" s="25">
        <v>92</v>
      </c>
      <c r="B266" s="4">
        <f t="shared" si="23"/>
        <v>2.8477173188842437</v>
      </c>
      <c r="C266" s="4">
        <f t="shared" si="24"/>
        <v>5.0006828571310837</v>
      </c>
      <c r="D266" s="4">
        <f t="shared" si="22"/>
        <v>192.51836309555475</v>
      </c>
      <c r="E266" s="4">
        <f t="shared" si="25"/>
        <v>189.96558901954558</v>
      </c>
    </row>
    <row r="267" spans="1:5" x14ac:dyDescent="0.55000000000000004">
      <c r="A267" s="25">
        <v>92.25</v>
      </c>
      <c r="B267" s="4">
        <f t="shared" si="23"/>
        <v>2.8462117909993512</v>
      </c>
      <c r="C267" s="4">
        <f t="shared" si="24"/>
        <v>4.9910542041852892</v>
      </c>
      <c r="D267" s="4">
        <f t="shared" si="22"/>
        <v>192.51086665009305</v>
      </c>
      <c r="E267" s="4">
        <f t="shared" si="25"/>
        <v>189.96300785792192</v>
      </c>
    </row>
    <row r="268" spans="1:5" x14ac:dyDescent="0.55000000000000004">
      <c r="A268" s="25">
        <v>92.5</v>
      </c>
      <c r="B268" s="4">
        <f t="shared" si="23"/>
        <v>2.8447103168753478</v>
      </c>
      <c r="C268" s="4">
        <f t="shared" si="24"/>
        <v>4.9814714988420503</v>
      </c>
      <c r="D268" s="4">
        <f t="shared" si="22"/>
        <v>192.50330783532982</v>
      </c>
      <c r="E268" s="4">
        <f t="shared" si="25"/>
        <v>189.96034087143042</v>
      </c>
    </row>
    <row r="269" spans="1:5" x14ac:dyDescent="0.55000000000000004">
      <c r="A269" s="25">
        <v>92.75</v>
      </c>
      <c r="B269" s="4">
        <f t="shared" si="23"/>
        <v>2.8432128742577865</v>
      </c>
      <c r="C269" s="4">
        <f t="shared" si="24"/>
        <v>4.9719343982953408</v>
      </c>
      <c r="D269" s="4">
        <f t="shared" si="22"/>
        <v>192.49568731850277</v>
      </c>
      <c r="E269" s="4">
        <f t="shared" si="25"/>
        <v>189.95758890230604</v>
      </c>
    </row>
    <row r="270" spans="1:5" x14ac:dyDescent="0.55000000000000004">
      <c r="A270" s="25">
        <v>93</v>
      </c>
      <c r="B270" s="4">
        <f t="shared" si="23"/>
        <v>2.8417194410743885</v>
      </c>
      <c r="C270" s="4">
        <f t="shared" si="24"/>
        <v>4.9624425632148359</v>
      </c>
      <c r="D270" s="4">
        <f t="shared" si="22"/>
        <v>192.48800575912961</v>
      </c>
      <c r="E270" s="4">
        <f t="shared" si="25"/>
        <v>189.95475278328965</v>
      </c>
    </row>
    <row r="271" spans="1:5" x14ac:dyDescent="0.55000000000000004">
      <c r="A271" s="25">
        <v>93.25</v>
      </c>
      <c r="B271" s="4">
        <f t="shared" si="23"/>
        <v>2.8402299954330608</v>
      </c>
      <c r="C271" s="4">
        <f t="shared" si="24"/>
        <v>4.9529956577013587</v>
      </c>
      <c r="D271" s="4">
        <f t="shared" ref="D271:D318" si="26">$B$6*$B$12/9.81*($B$9*SQRT(2/($B$9-1)*(2/($B$9+1))^(($B$9+1)/($B$9-1))*(1 - (A271/$B$3)^(($B$9-1)/$B$9))) + C271/$B$3*(A271 - $E$6))</f>
        <v>192.48026380911421</v>
      </c>
      <c r="E271" s="4">
        <f t="shared" si="25"/>
        <v>189.9518333377566</v>
      </c>
    </row>
    <row r="272" spans="1:5" x14ac:dyDescent="0.55000000000000004">
      <c r="A272" s="25">
        <v>93.5</v>
      </c>
      <c r="B272" s="4">
        <f t="shared" ref="B272:B318" si="27">SQRT(2/($B$9-1)*((A272/$B$3)^((1-$B$9)/$B$9) - 1))</f>
        <v>2.8387445156199451</v>
      </c>
      <c r="C272" s="4">
        <f t="shared" ref="C272:C318" si="28">1/B272*(2/($B$9+1)*(1 + ($B$9-1)/2*B272^2))^(($B$9+1)/(2*$B$9-2))</f>
        <v>4.9435933492431126</v>
      </c>
      <c r="D272" s="4">
        <f t="shared" si="26"/>
        <v>192.47246211285068</v>
      </c>
      <c r="E272" s="4">
        <f t="shared" ref="E272:E318" si="29">$B$6*$B$12/9.81*($B$9*SQRT(2/($B$9-1)*(2/($B$9+1))^(($B$9+1)/($B$9-1))*(1 - (A272/$B$3)^(($B$9-1)/$B$9))) + C272/$B$3*(A272 - $E$4))</f>
        <v>189.94883137984328</v>
      </c>
    </row>
    <row r="273" spans="1:5" x14ac:dyDescent="0.55000000000000004">
      <c r="A273" s="25">
        <v>93.75</v>
      </c>
      <c r="B273" s="4">
        <f t="shared" si="27"/>
        <v>2.8372629800974947</v>
      </c>
      <c r="C273" s="4">
        <f t="shared" si="28"/>
        <v>4.9342353086725508</v>
      </c>
      <c r="D273" s="4">
        <f t="shared" si="26"/>
        <v>192.46460130732595</v>
      </c>
      <c r="E273" s="4">
        <f t="shared" si="29"/>
        <v>189.94574771457187</v>
      </c>
    </row>
    <row r="274" spans="1:5" x14ac:dyDescent="0.55000000000000004">
      <c r="A274" s="25">
        <v>94</v>
      </c>
      <c r="B274" s="4">
        <f t="shared" si="27"/>
        <v>2.8357853675025715</v>
      </c>
      <c r="C274" s="4">
        <f t="shared" si="28"/>
        <v>4.9249212101239106</v>
      </c>
      <c r="D274" s="4">
        <f t="shared" si="26"/>
        <v>192.45668202222075</v>
      </c>
      <c r="E274" s="4">
        <f t="shared" si="29"/>
        <v>189.94258313797263</v>
      </c>
    </row>
    <row r="275" spans="1:5" x14ac:dyDescent="0.55000000000000004">
      <c r="A275" s="25">
        <v>94.25</v>
      </c>
      <c r="B275" s="4">
        <f t="shared" si="27"/>
        <v>2.8343116566445752</v>
      </c>
      <c r="C275" s="4">
        <f t="shared" si="28"/>
        <v>4.9156507309914099</v>
      </c>
      <c r="D275" s="4">
        <f t="shared" si="26"/>
        <v>192.44870488000879</v>
      </c>
      <c r="E275" s="4">
        <f t="shared" si="29"/>
        <v>189.93933843720467</v>
      </c>
    </row>
    <row r="276" spans="1:5" x14ac:dyDescent="0.55000000000000004">
      <c r="A276" s="25">
        <v>94.5</v>
      </c>
      <c r="B276" s="4">
        <f t="shared" si="27"/>
        <v>2.8328418265035928</v>
      </c>
      <c r="C276" s="4">
        <f t="shared" si="28"/>
        <v>4.9064235518880635</v>
      </c>
      <c r="D276" s="4">
        <f t="shared" si="26"/>
        <v>192.44067049605445</v>
      </c>
      <c r="E276" s="4">
        <f t="shared" si="29"/>
        <v>189.93601439067481</v>
      </c>
    </row>
    <row r="277" spans="1:5" x14ac:dyDescent="0.55000000000000004">
      <c r="A277" s="25">
        <v>94.75</v>
      </c>
      <c r="B277" s="4">
        <f t="shared" si="27"/>
        <v>2.8313758562285751</v>
      </c>
      <c r="C277" s="4">
        <f t="shared" si="28"/>
        <v>4.8972393566051435</v>
      </c>
      <c r="D277" s="4">
        <f t="shared" si="26"/>
        <v>192.43257947870902</v>
      </c>
      <c r="E277" s="4">
        <f t="shared" si="29"/>
        <v>189.93261176815406</v>
      </c>
    </row>
    <row r="278" spans="1:5" x14ac:dyDescent="0.55000000000000004">
      <c r="A278" s="25">
        <v>95</v>
      </c>
      <c r="B278" s="4">
        <f t="shared" si="27"/>
        <v>2.8299137251355351</v>
      </c>
      <c r="C278" s="4">
        <f t="shared" si="28"/>
        <v>4.8880978320722503</v>
      </c>
      <c r="D278" s="4">
        <f t="shared" si="26"/>
        <v>192.42443242940527</v>
      </c>
      <c r="E278" s="4">
        <f t="shared" si="29"/>
        <v>189.92913133089303</v>
      </c>
    </row>
    <row r="279" spans="1:5" x14ac:dyDescent="0.55000000000000004">
      <c r="A279" s="25">
        <v>95.25</v>
      </c>
      <c r="B279" s="4">
        <f t="shared" si="27"/>
        <v>2.8284554127057748</v>
      </c>
      <c r="C279" s="4">
        <f t="shared" si="28"/>
        <v>4.8789986683179851</v>
      </c>
      <c r="D279" s="4">
        <f t="shared" si="26"/>
        <v>192.41622994275056</v>
      </c>
      <c r="E279" s="4">
        <f t="shared" si="29"/>
        <v>189.92557383173477</v>
      </c>
    </row>
    <row r="280" spans="1:5" x14ac:dyDescent="0.55000000000000004">
      <c r="A280" s="25">
        <v>95.5</v>
      </c>
      <c r="B280" s="4">
        <f t="shared" si="27"/>
        <v>2.8270008985841288</v>
      </c>
      <c r="C280" s="4">
        <f t="shared" si="28"/>
        <v>4.8699415584312238</v>
      </c>
      <c r="D280" s="4">
        <f t="shared" si="26"/>
        <v>192.40797260661839</v>
      </c>
      <c r="E280" s="4">
        <f t="shared" si="29"/>
        <v>189.92194001522643</v>
      </c>
    </row>
    <row r="281" spans="1:5" x14ac:dyDescent="0.55000000000000004">
      <c r="A281" s="25">
        <v>95.75</v>
      </c>
      <c r="B281" s="4">
        <f t="shared" si="27"/>
        <v>2.8255501625772395</v>
      </c>
      <c r="C281" s="4">
        <f t="shared" si="28"/>
        <v>4.8609261985229697</v>
      </c>
      <c r="D281" s="4">
        <f t="shared" si="26"/>
        <v>192.39966100223882</v>
      </c>
      <c r="E281" s="4">
        <f t="shared" si="29"/>
        <v>189.91823061772885</v>
      </c>
    </row>
    <row r="282" spans="1:5" x14ac:dyDescent="0.55000000000000004">
      <c r="A282" s="25">
        <v>96</v>
      </c>
      <c r="B282" s="4">
        <f t="shared" si="27"/>
        <v>2.8241031846518454</v>
      </c>
      <c r="C282" s="4">
        <f t="shared" si="28"/>
        <v>4.8519522876887935</v>
      </c>
      <c r="D282" s="4">
        <f t="shared" si="26"/>
        <v>192.3912957042871</v>
      </c>
      <c r="E282" s="4">
        <f t="shared" si="29"/>
        <v>189.91444636752448</v>
      </c>
    </row>
    <row r="283" spans="1:5" x14ac:dyDescent="0.55000000000000004">
      <c r="A283" s="25">
        <v>96.25</v>
      </c>
      <c r="B283" s="4">
        <f t="shared" si="27"/>
        <v>2.8226599449331014</v>
      </c>
      <c r="C283" s="4">
        <f t="shared" si="28"/>
        <v>4.8430195279718076</v>
      </c>
      <c r="D283" s="4">
        <f t="shared" si="26"/>
        <v>192.38287728097106</v>
      </c>
      <c r="E283" s="4">
        <f t="shared" si="29"/>
        <v>189.91058798492372</v>
      </c>
    </row>
    <row r="284" spans="1:5" x14ac:dyDescent="0.55000000000000004">
      <c r="A284" s="25">
        <v>96.5</v>
      </c>
      <c r="B284" s="4">
        <f t="shared" si="27"/>
        <v>2.8212204237029117</v>
      </c>
      <c r="C284" s="4">
        <f t="shared" si="28"/>
        <v>4.8341276243262081</v>
      </c>
      <c r="D284" s="4">
        <f t="shared" si="26"/>
        <v>192.37440629411719</v>
      </c>
      <c r="E284" s="4">
        <f t="shared" si="29"/>
        <v>189.90665618236952</v>
      </c>
    </row>
    <row r="285" spans="1:5" x14ac:dyDescent="0.55000000000000004">
      <c r="A285" s="25">
        <v>96.75</v>
      </c>
      <c r="B285" s="4">
        <f t="shared" si="27"/>
        <v>2.8197846013982955</v>
      </c>
      <c r="C285" s="4">
        <f t="shared" si="28"/>
        <v>4.8252762845813955</v>
      </c>
      <c r="D285" s="4">
        <f t="shared" si="26"/>
        <v>192.36588329925522</v>
      </c>
      <c r="E285" s="4">
        <f t="shared" si="29"/>
        <v>189.90265166454043</v>
      </c>
    </row>
    <row r="286" spans="1:5" x14ac:dyDescent="0.55000000000000004">
      <c r="A286" s="25">
        <v>97</v>
      </c>
      <c r="B286" s="4">
        <f t="shared" si="27"/>
        <v>2.8183524586097612</v>
      </c>
      <c r="C286" s="4">
        <f t="shared" si="28"/>
        <v>4.8164652194065702</v>
      </c>
      <c r="D286" s="4">
        <f t="shared" si="26"/>
        <v>192.35730884570168</v>
      </c>
      <c r="E286" s="4">
        <f t="shared" si="29"/>
        <v>189.89857512845197</v>
      </c>
    </row>
    <row r="287" spans="1:5" x14ac:dyDescent="0.55000000000000004">
      <c r="A287" s="25">
        <v>97.25</v>
      </c>
      <c r="B287" s="4">
        <f t="shared" si="27"/>
        <v>2.8169239760797118</v>
      </c>
      <c r="C287" s="4">
        <f t="shared" si="28"/>
        <v>4.8076941422759027</v>
      </c>
      <c r="D287" s="4">
        <f t="shared" si="26"/>
        <v>192.34868347664167</v>
      </c>
      <c r="E287" s="4">
        <f t="shared" si="29"/>
        <v>189.89442726355637</v>
      </c>
    </row>
    <row r="288" spans="1:5" x14ac:dyDescent="0.55000000000000004">
      <c r="A288" s="25">
        <v>97.5</v>
      </c>
      <c r="B288" s="4">
        <f t="shared" si="27"/>
        <v>2.8154991347008695</v>
      </c>
      <c r="C288" s="4">
        <f t="shared" si="28"/>
        <v>4.798962769434171</v>
      </c>
      <c r="D288" s="4">
        <f t="shared" si="26"/>
        <v>192.3400077292101</v>
      </c>
      <c r="E288" s="4">
        <f t="shared" si="29"/>
        <v>189.89020875184144</v>
      </c>
    </row>
    <row r="289" spans="1:5" x14ac:dyDescent="0.55000000000000004">
      <c r="A289" s="25">
        <v>97.75</v>
      </c>
      <c r="B289" s="4">
        <f t="shared" si="27"/>
        <v>2.8140779155147126</v>
      </c>
      <c r="C289" s="4">
        <f t="shared" si="28"/>
        <v>4.7902708198629602</v>
      </c>
      <c r="D289" s="4">
        <f t="shared" si="26"/>
        <v>192.33128213457053</v>
      </c>
      <c r="E289" s="4">
        <f t="shared" si="29"/>
        <v>189.88592026792642</v>
      </c>
    </row>
    <row r="290" spans="1:5" x14ac:dyDescent="0.55000000000000004">
      <c r="A290" s="25">
        <v>98</v>
      </c>
      <c r="B290" s="4">
        <f t="shared" si="27"/>
        <v>2.8126602997099455</v>
      </c>
      <c r="C290" s="4">
        <f t="shared" si="28"/>
        <v>4.7816180152473482</v>
      </c>
      <c r="D290" s="4">
        <f t="shared" si="26"/>
        <v>192.32250721799431</v>
      </c>
      <c r="E290" s="4">
        <f t="shared" si="29"/>
        <v>189.88156247915822</v>
      </c>
    </row>
    <row r="291" spans="1:5" x14ac:dyDescent="0.55000000000000004">
      <c r="A291" s="25">
        <v>98.25</v>
      </c>
      <c r="B291" s="4">
        <f t="shared" si="27"/>
        <v>2.8112462686209763</v>
      </c>
      <c r="C291" s="4">
        <f t="shared" si="28"/>
        <v>4.7730040799430045</v>
      </c>
      <c r="D291" s="4">
        <f t="shared" si="26"/>
        <v>192.31368349893711</v>
      </c>
      <c r="E291" s="4">
        <f t="shared" si="29"/>
        <v>189.87713604570493</v>
      </c>
    </row>
    <row r="292" spans="1:5" x14ac:dyDescent="0.55000000000000004">
      <c r="A292" s="25">
        <v>98.5</v>
      </c>
      <c r="B292" s="4">
        <f t="shared" si="27"/>
        <v>2.8098358037264219</v>
      </c>
      <c r="C292" s="4">
        <f t="shared" si="28"/>
        <v>4.7644287409439059</v>
      </c>
      <c r="D292" s="4">
        <f t="shared" si="26"/>
        <v>192.30481149111503</v>
      </c>
      <c r="E292" s="4">
        <f t="shared" si="29"/>
        <v>189.87264162064812</v>
      </c>
    </row>
    <row r="293" spans="1:5" x14ac:dyDescent="0.55000000000000004">
      <c r="A293" s="25">
        <v>98.75</v>
      </c>
      <c r="B293" s="4">
        <f t="shared" si="27"/>
        <v>2.8084288866476284</v>
      </c>
      <c r="C293" s="4">
        <f t="shared" si="28"/>
        <v>4.7558917278504058</v>
      </c>
      <c r="D293" s="4">
        <f t="shared" si="26"/>
        <v>192.29589170257944</v>
      </c>
      <c r="E293" s="4">
        <f t="shared" si="29"/>
        <v>189.86807985007411</v>
      </c>
    </row>
    <row r="294" spans="1:5" x14ac:dyDescent="0.55000000000000004">
      <c r="A294" s="25">
        <v>99</v>
      </c>
      <c r="B294" s="4">
        <f t="shared" si="27"/>
        <v>2.8070254991472106</v>
      </c>
      <c r="C294" s="4">
        <f t="shared" si="28"/>
        <v>4.7473927728378262</v>
      </c>
      <c r="D294" s="4">
        <f t="shared" si="26"/>
        <v>192.28692463579048</v>
      </c>
      <c r="E294" s="4">
        <f t="shared" si="29"/>
        <v>189.86345137316363</v>
      </c>
    </row>
    <row r="295" spans="1:5" x14ac:dyDescent="0.55000000000000004">
      <c r="A295" s="25">
        <v>99.25</v>
      </c>
      <c r="B295" s="4">
        <f t="shared" si="27"/>
        <v>2.805625623127614</v>
      </c>
      <c r="C295" s="4">
        <f t="shared" si="28"/>
        <v>4.7389316106255155</v>
      </c>
      <c r="D295" s="4">
        <f t="shared" si="26"/>
        <v>192.27791078768973</v>
      </c>
      <c r="E295" s="4">
        <f t="shared" si="29"/>
        <v>189.85875682228001</v>
      </c>
    </row>
    <row r="296" spans="1:5" x14ac:dyDescent="0.55000000000000004">
      <c r="A296" s="25">
        <v>99.5</v>
      </c>
      <c r="B296" s="4">
        <f t="shared" si="27"/>
        <v>2.804229240629688</v>
      </c>
      <c r="C296" s="4">
        <f t="shared" si="28"/>
        <v>4.7305079784463011</v>
      </c>
      <c r="D296" s="4">
        <f t="shared" si="26"/>
        <v>192.26885064977131</v>
      </c>
      <c r="E296" s="4">
        <f t="shared" si="29"/>
        <v>189.85399682305609</v>
      </c>
    </row>
    <row r="297" spans="1:5" x14ac:dyDescent="0.55000000000000004">
      <c r="A297" s="25">
        <v>99.75</v>
      </c>
      <c r="B297" s="4">
        <f t="shared" si="27"/>
        <v>2.8028363338312841</v>
      </c>
      <c r="C297" s="4">
        <f t="shared" si="28"/>
        <v>4.7221216160164365</v>
      </c>
      <c r="D297" s="4">
        <f t="shared" si="26"/>
        <v>192.2597447081526</v>
      </c>
      <c r="E297" s="4">
        <f t="shared" si="29"/>
        <v>189.84917199448023</v>
      </c>
    </row>
    <row r="298" spans="1:5" x14ac:dyDescent="0.55000000000000004">
      <c r="A298" s="25">
        <v>100</v>
      </c>
      <c r="B298" s="4">
        <f t="shared" si="27"/>
        <v>2.8014468850458671</v>
      </c>
      <c r="C298" s="4">
        <f t="shared" si="28"/>
        <v>4.7137722655059795</v>
      </c>
      <c r="D298" s="4">
        <f t="shared" si="26"/>
        <v>192.25059344364308</v>
      </c>
      <c r="E298" s="4">
        <f t="shared" si="29"/>
        <v>189.84428294898035</v>
      </c>
    </row>
    <row r="299" spans="1:5" x14ac:dyDescent="0.55000000000000004">
      <c r="A299" s="25">
        <v>100.25</v>
      </c>
      <c r="B299" s="4">
        <f t="shared" si="27"/>
        <v>2.8000608767211461</v>
      </c>
      <c r="C299" s="4">
        <f t="shared" si="28"/>
        <v>4.7054596715095522</v>
      </c>
      <c r="D299" s="4">
        <f t="shared" si="26"/>
        <v>192.24139733181289</v>
      </c>
      <c r="E299" s="4">
        <f t="shared" si="29"/>
        <v>189.8393302925071</v>
      </c>
    </row>
    <row r="300" spans="1:5" x14ac:dyDescent="0.55000000000000004">
      <c r="A300" s="25">
        <v>100.5</v>
      </c>
      <c r="B300" s="4">
        <f t="shared" si="27"/>
        <v>2.7986782914377244</v>
      </c>
      <c r="C300" s="4">
        <f t="shared" si="28"/>
        <v>4.6971835810175726</v>
      </c>
      <c r="D300" s="4">
        <f t="shared" si="26"/>
        <v>192.23215684305984</v>
      </c>
      <c r="E300" s="4">
        <f t="shared" si="29"/>
        <v>189.83431462461596</v>
      </c>
    </row>
    <row r="301" spans="1:5" x14ac:dyDescent="0.55000000000000004">
      <c r="A301" s="25">
        <v>100.75</v>
      </c>
      <c r="B301" s="4">
        <f t="shared" si="27"/>
        <v>2.7972991119077601</v>
      </c>
      <c r="C301" s="4">
        <f t="shared" si="28"/>
        <v>4.688943743387874</v>
      </c>
      <c r="D301" s="4">
        <f t="shared" si="26"/>
        <v>192.22287244267554</v>
      </c>
      <c r="E301" s="4">
        <f t="shared" si="29"/>
        <v>189.82923653854763</v>
      </c>
    </row>
    <row r="302" spans="1:5" x14ac:dyDescent="0.55000000000000004">
      <c r="A302" s="25">
        <v>101</v>
      </c>
      <c r="B302" s="4">
        <f t="shared" si="27"/>
        <v>2.79592332097365</v>
      </c>
      <c r="C302" s="4">
        <f t="shared" si="28"/>
        <v>4.6807399103177172</v>
      </c>
      <c r="D302" s="4">
        <f t="shared" si="26"/>
        <v>192.21354459091069</v>
      </c>
      <c r="E302" s="4">
        <f t="shared" si="29"/>
        <v>189.82409662130766</v>
      </c>
    </row>
    <row r="303" spans="1:5" x14ac:dyDescent="0.55000000000000004">
      <c r="A303" s="25">
        <v>101.25</v>
      </c>
      <c r="B303" s="4">
        <f t="shared" si="27"/>
        <v>2.7945509016067263</v>
      </c>
      <c r="C303" s="4">
        <f t="shared" si="28"/>
        <v>4.6725718358162371</v>
      </c>
      <c r="D303" s="4">
        <f t="shared" si="26"/>
        <v>192.20417374303921</v>
      </c>
      <c r="E303" s="4">
        <f t="shared" si="29"/>
        <v>189.81889545374463</v>
      </c>
    </row>
    <row r="304" spans="1:5" x14ac:dyDescent="0.55000000000000004">
      <c r="A304" s="25">
        <v>101.5</v>
      </c>
      <c r="B304" s="4">
        <f t="shared" si="27"/>
        <v>2.7931818369059718</v>
      </c>
      <c r="C304" s="4">
        <f t="shared" si="28"/>
        <v>4.664439276177248</v>
      </c>
      <c r="D304" s="4">
        <f t="shared" si="26"/>
        <v>192.19476034942161</v>
      </c>
      <c r="E304" s="4">
        <f t="shared" si="29"/>
        <v>189.81363361062751</v>
      </c>
    </row>
    <row r="305" spans="1:5" x14ac:dyDescent="0.55000000000000004">
      <c r="A305" s="25">
        <v>101.75</v>
      </c>
      <c r="B305" s="4">
        <f t="shared" si="27"/>
        <v>2.7918161100967493</v>
      </c>
      <c r="C305" s="4">
        <f t="shared" si="28"/>
        <v>4.6563419899524634</v>
      </c>
      <c r="D305" s="4">
        <f t="shared" si="26"/>
        <v>192.18530485556704</v>
      </c>
      <c r="E305" s="4">
        <f t="shared" si="29"/>
        <v>189.80831166072105</v>
      </c>
    </row>
    <row r="306" spans="1:5" x14ac:dyDescent="0.55000000000000004">
      <c r="A306" s="25">
        <v>102</v>
      </c>
      <c r="B306" s="4">
        <f t="shared" si="27"/>
        <v>2.7904537045295479</v>
      </c>
      <c r="C306" s="4">
        <f t="shared" si="28"/>
        <v>4.6482797379250638</v>
      </c>
      <c r="D306" s="4">
        <f t="shared" si="26"/>
        <v>192.17580770219496</v>
      </c>
      <c r="E306" s="4">
        <f t="shared" si="29"/>
        <v>189.80293016686144</v>
      </c>
    </row>
    <row r="307" spans="1:5" x14ac:dyDescent="0.55000000000000004">
      <c r="A307" s="25">
        <v>102.25</v>
      </c>
      <c r="B307" s="4">
        <f t="shared" si="27"/>
        <v>2.7890946036787416</v>
      </c>
      <c r="C307" s="4">
        <f t="shared" si="28"/>
        <v>4.6402522830836626</v>
      </c>
      <c r="D307" s="4">
        <f t="shared" si="26"/>
        <v>192.16626932529547</v>
      </c>
      <c r="E307" s="4">
        <f t="shared" si="29"/>
        <v>189.79748968602954</v>
      </c>
    </row>
    <row r="308" spans="1:5" x14ac:dyDescent="0.55000000000000004">
      <c r="A308" s="25">
        <v>102.5</v>
      </c>
      <c r="B308" s="4">
        <f t="shared" si="27"/>
        <v>2.7877387911413685</v>
      </c>
      <c r="C308" s="4">
        <f t="shared" si="28"/>
        <v>4.6322593905966158</v>
      </c>
      <c r="D308" s="4">
        <f t="shared" si="26"/>
        <v>192.15669015618883</v>
      </c>
      <c r="E308" s="4">
        <f t="shared" si="29"/>
        <v>189.79199076942362</v>
      </c>
    </row>
    <row r="309" spans="1:5" x14ac:dyDescent="0.55000000000000004">
      <c r="A309" s="25">
        <v>102.75</v>
      </c>
      <c r="B309" s="4">
        <f t="shared" si="27"/>
        <v>2.7863862506359229</v>
      </c>
      <c r="C309" s="4">
        <f t="shared" si="28"/>
        <v>4.6243008277867466</v>
      </c>
      <c r="D309" s="4">
        <f t="shared" si="26"/>
        <v>192.14707062158425</v>
      </c>
      <c r="E309" s="4">
        <f t="shared" si="29"/>
        <v>189.78643396253122</v>
      </c>
    </row>
    <row r="310" spans="1:5" x14ac:dyDescent="0.55000000000000004">
      <c r="A310" s="25">
        <v>103</v>
      </c>
      <c r="B310" s="4">
        <f t="shared" si="27"/>
        <v>2.7850369660011589</v>
      </c>
      <c r="C310" s="4">
        <f t="shared" si="28"/>
        <v>4.6163763641063369</v>
      </c>
      <c r="D310" s="4">
        <f t="shared" si="26"/>
        <v>192.13741114363776</v>
      </c>
      <c r="E310" s="4">
        <f t="shared" si="29"/>
        <v>189.78081980519943</v>
      </c>
    </row>
    <row r="311" spans="1:5" x14ac:dyDescent="0.55000000000000004">
      <c r="A311" s="25">
        <v>103.25</v>
      </c>
      <c r="B311" s="4">
        <f t="shared" si="27"/>
        <v>2.7836909211949123</v>
      </c>
      <c r="C311" s="4">
        <f t="shared" si="28"/>
        <v>4.6084857711125409</v>
      </c>
      <c r="D311" s="4">
        <f t="shared" si="26"/>
        <v>192.12771214000907</v>
      </c>
      <c r="E311" s="4">
        <f t="shared" si="29"/>
        <v>189.77514883170471</v>
      </c>
    </row>
    <row r="312" spans="1:5" x14ac:dyDescent="0.55000000000000004">
      <c r="A312" s="25">
        <v>103.5</v>
      </c>
      <c r="B312" s="4">
        <f t="shared" si="27"/>
        <v>2.7823481002929382</v>
      </c>
      <c r="C312" s="4">
        <f t="shared" si="28"/>
        <v>4.6006288224431149</v>
      </c>
      <c r="D312" s="4">
        <f t="shared" si="26"/>
        <v>192.11797402391784</v>
      </c>
      <c r="E312" s="4">
        <f t="shared" si="29"/>
        <v>189.76942157082121</v>
      </c>
    </row>
    <row r="313" spans="1:5" x14ac:dyDescent="0.55000000000000004">
      <c r="A313" s="25">
        <v>103.75</v>
      </c>
      <c r="B313" s="4">
        <f t="shared" si="27"/>
        <v>2.7810084874877572</v>
      </c>
      <c r="C313" s="4">
        <f t="shared" si="28"/>
        <v>4.5928052937924821</v>
      </c>
      <c r="D313" s="4">
        <f t="shared" si="26"/>
        <v>192.10819720419889</v>
      </c>
      <c r="E313" s="4">
        <f t="shared" si="29"/>
        <v>189.76363854588851</v>
      </c>
    </row>
    <row r="314" spans="1:5" x14ac:dyDescent="0.55000000000000004">
      <c r="A314" s="25">
        <v>104</v>
      </c>
      <c r="B314" s="4">
        <f t="shared" si="27"/>
        <v>2.7796720670875201</v>
      </c>
      <c r="C314" s="4">
        <f t="shared" si="28"/>
        <v>4.5850149628881383</v>
      </c>
      <c r="D314" s="4">
        <f t="shared" si="26"/>
        <v>192.09838208535686</v>
      </c>
      <c r="E314" s="4">
        <f t="shared" si="29"/>
        <v>189.75780027487789</v>
      </c>
    </row>
    <row r="315" spans="1:5" x14ac:dyDescent="0.55000000000000004">
      <c r="A315" s="25">
        <v>104.25</v>
      </c>
      <c r="B315" s="4">
        <f t="shared" si="27"/>
        <v>2.7783388235148863</v>
      </c>
      <c r="C315" s="4">
        <f t="shared" si="28"/>
        <v>4.5772576094673783</v>
      </c>
      <c r="D315" s="4">
        <f t="shared" si="26"/>
        <v>192.08852906761987</v>
      </c>
      <c r="E315" s="4">
        <f t="shared" si="29"/>
        <v>189.75190727045845</v>
      </c>
    </row>
    <row r="316" spans="1:5" x14ac:dyDescent="0.55000000000000004">
      <c r="A316" s="25">
        <v>104.5</v>
      </c>
      <c r="B316" s="4">
        <f t="shared" si="27"/>
        <v>2.7770087413059139</v>
      </c>
      <c r="C316" s="4">
        <f t="shared" si="28"/>
        <v>4.5695330152543558</v>
      </c>
      <c r="D316" s="4">
        <f t="shared" si="26"/>
        <v>192.07863854699235</v>
      </c>
      <c r="E316" s="4">
        <f t="shared" si="29"/>
        <v>189.74596004006108</v>
      </c>
    </row>
    <row r="317" spans="1:5" x14ac:dyDescent="0.55000000000000004">
      <c r="A317" s="25">
        <v>104.75</v>
      </c>
      <c r="B317" s="4">
        <f t="shared" si="27"/>
        <v>2.7756818051089636</v>
      </c>
      <c r="C317" s="4">
        <f t="shared" si="28"/>
        <v>4.5618409639374367</v>
      </c>
      <c r="D317" s="4">
        <f t="shared" si="26"/>
        <v>192.06871091530749</v>
      </c>
      <c r="E317" s="4">
        <f t="shared" si="29"/>
        <v>189.7399590859429</v>
      </c>
    </row>
    <row r="318" spans="1:5" x14ac:dyDescent="0.55000000000000004">
      <c r="A318" s="25">
        <v>105</v>
      </c>
      <c r="B318" s="4">
        <f t="shared" si="27"/>
        <v>2.7743579996836156</v>
      </c>
      <c r="C318" s="4">
        <f t="shared" si="28"/>
        <v>4.5541812411468721</v>
      </c>
      <c r="D318" s="4">
        <f t="shared" si="26"/>
        <v>192.05874656027845</v>
      </c>
      <c r="E318" s="4">
        <f t="shared" si="29"/>
        <v>189.7339049052496</v>
      </c>
    </row>
  </sheetData>
  <pageMargins left="0.7" right="0.7" top="0.75" bottom="0.75" header="0.3" footer="0.3"/>
  <pageSetup orientation="portrait" horizontalDpi="300" verticalDpi="30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D24"/>
  <sheetViews>
    <sheetView workbookViewId="0">
      <selection activeCell="C29" sqref="C29"/>
    </sheetView>
  </sheetViews>
  <sheetFormatPr defaultColWidth="9.15625" defaultRowHeight="14.4" x14ac:dyDescent="0.55000000000000004"/>
  <cols>
    <col min="1" max="1" width="16.15625" style="25" bestFit="1" customWidth="1"/>
    <col min="2" max="3" width="12" style="25" bestFit="1" customWidth="1"/>
    <col min="4" max="8" width="9.15625" style="25"/>
    <col min="9" max="9" width="18.578125" style="25" customWidth="1"/>
    <col min="10" max="10" width="22" style="25" customWidth="1"/>
    <col min="11" max="16384" width="9.15625" style="25"/>
  </cols>
  <sheetData>
    <row r="1" spans="1:2" x14ac:dyDescent="0.55000000000000004">
      <c r="A1" s="25" t="s">
        <v>92</v>
      </c>
      <c r="B1" s="25">
        <v>1000</v>
      </c>
    </row>
    <row r="2" spans="1:2" x14ac:dyDescent="0.55000000000000004">
      <c r="A2" s="25" t="s">
        <v>93</v>
      </c>
      <c r="B2" s="25">
        <v>0.1</v>
      </c>
    </row>
    <row r="3" spans="1:2" x14ac:dyDescent="0.55000000000000004">
      <c r="A3" s="25" t="s">
        <v>94</v>
      </c>
      <c r="B3" s="25">
        <v>5</v>
      </c>
    </row>
    <row r="4" spans="1:2" x14ac:dyDescent="0.55000000000000004">
      <c r="A4" s="25" t="s">
        <v>95</v>
      </c>
      <c r="B4" s="4">
        <f>'OF4.5 - High Alt'!E4*1000</f>
        <v>85581.205816462185</v>
      </c>
    </row>
    <row r="5" spans="1:2" x14ac:dyDescent="0.55000000000000004">
      <c r="A5" s="25" t="s">
        <v>96</v>
      </c>
      <c r="B5" s="25">
        <v>290.3503</v>
      </c>
    </row>
    <row r="6" spans="1:2" x14ac:dyDescent="0.55000000000000004">
      <c r="A6" s="25" t="s">
        <v>97</v>
      </c>
      <c r="B6" s="4">
        <f>'OF4.5 - High Alt'!I20</f>
        <v>27.215542200000002</v>
      </c>
    </row>
    <row r="7" spans="1:2" x14ac:dyDescent="0.55000000000000004">
      <c r="A7" s="25" t="s">
        <v>98</v>
      </c>
      <c r="B7" s="25">
        <f>'OF4.5 - High Alt'!I23</f>
        <v>1.8166628569707266</v>
      </c>
    </row>
    <row r="8" spans="1:2" x14ac:dyDescent="0.55000000000000004">
      <c r="A8" s="25" t="s">
        <v>99</v>
      </c>
      <c r="B8" s="25">
        <v>900</v>
      </c>
    </row>
    <row r="9" spans="1:2" x14ac:dyDescent="0.55000000000000004">
      <c r="A9" s="25" t="s">
        <v>100</v>
      </c>
      <c r="B9" s="25">
        <f>'OF4.5 - High Alt'!I24</f>
        <v>8.1749828563682705</v>
      </c>
    </row>
    <row r="10" spans="1:2" x14ac:dyDescent="0.55000000000000004">
      <c r="A10" s="25" t="s">
        <v>101</v>
      </c>
      <c r="B10" s="25">
        <v>1.1299999999999999E-2</v>
      </c>
    </row>
    <row r="11" spans="1:2" x14ac:dyDescent="0.55000000000000004">
      <c r="A11" s="25" t="s">
        <v>102</v>
      </c>
      <c r="B11" s="25">
        <v>6.667807839</v>
      </c>
    </row>
    <row r="12" spans="1:2" x14ac:dyDescent="0.55000000000000004">
      <c r="A12" s="25" t="s">
        <v>103</v>
      </c>
      <c r="B12" s="25">
        <v>1.55E-4</v>
      </c>
    </row>
    <row r="13" spans="1:2" x14ac:dyDescent="0.55000000000000004">
      <c r="A13" s="25" t="s">
        <v>104</v>
      </c>
      <c r="B13" s="26">
        <v>0.5</v>
      </c>
    </row>
    <row r="14" spans="1:2" x14ac:dyDescent="0.55000000000000004">
      <c r="A14" s="25" t="s">
        <v>105</v>
      </c>
      <c r="B14" s="25">
        <f>'OF4.5 - High Alt'!L21</f>
        <v>1</v>
      </c>
    </row>
    <row r="15" spans="1:2" x14ac:dyDescent="0.55000000000000004">
      <c r="A15" s="25" t="s">
        <v>106</v>
      </c>
      <c r="B15" s="25">
        <f>'OF4.5 - High Alt'!L24</f>
        <v>0.56419215732411654</v>
      </c>
    </row>
    <row r="16" spans="1:2" x14ac:dyDescent="0.55000000000000004">
      <c r="A16" s="25" t="s">
        <v>107</v>
      </c>
      <c r="B16" s="25">
        <f>'OF4.5 - High Alt'!L26</f>
        <v>1.5516349664885069E-2</v>
      </c>
    </row>
    <row r="17" spans="1:4" x14ac:dyDescent="0.55000000000000004">
      <c r="A17" s="25" t="s">
        <v>108</v>
      </c>
      <c r="B17" s="25">
        <f>'OF4.5 - High Alt'!L25/2</f>
        <v>4.4455579942197107E-2</v>
      </c>
    </row>
    <row r="18" spans="1:4" x14ac:dyDescent="0.55000000000000004">
      <c r="A18" s="25" t="s">
        <v>109</v>
      </c>
      <c r="B18" s="25">
        <f>'OF4.5 - High Alt'!O8</f>
        <v>1.0653524748024891E-3</v>
      </c>
    </row>
    <row r="19" spans="1:4" x14ac:dyDescent="0.55000000000000004">
      <c r="A19" s="25" t="s">
        <v>110</v>
      </c>
      <c r="B19" s="25">
        <f>'OF4.5 - High Alt'!O9</f>
        <v>5.4347544054950984E-3</v>
      </c>
    </row>
    <row r="20" spans="1:4" x14ac:dyDescent="0.55000000000000004">
      <c r="A20" s="25" t="s">
        <v>111</v>
      </c>
      <c r="B20" s="25">
        <v>0.13969999999999999</v>
      </c>
    </row>
    <row r="21" spans="1:4" x14ac:dyDescent="0.55000000000000004">
      <c r="A21" s="25" t="s">
        <v>112</v>
      </c>
      <c r="B21" s="25">
        <f>'OF4.5 - High Alt'!I28/(44.013*B22*SQRT(2/44.013*(4825000-2410000)/0.0543))</f>
        <v>4.1987692662327109E-5</v>
      </c>
      <c r="D21" s="27"/>
    </row>
    <row r="22" spans="1:4" x14ac:dyDescent="0.55000000000000004">
      <c r="A22" s="25" t="s">
        <v>113</v>
      </c>
      <c r="B22" s="25">
        <v>0.6</v>
      </c>
    </row>
    <row r="23" spans="1:4" x14ac:dyDescent="0.55000000000000004">
      <c r="A23" s="25" t="s">
        <v>114</v>
      </c>
      <c r="B23" s="25">
        <f>'OF4.5 - High Alt'!B5</f>
        <v>0.9</v>
      </c>
    </row>
    <row r="24" spans="1:4" x14ac:dyDescent="0.55000000000000004">
      <c r="A24" s="25" t="s">
        <v>115</v>
      </c>
      <c r="B24" s="25">
        <f>'OF4.5 - High Alt'!B6</f>
        <v>0.9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I29"/>
  <sheetViews>
    <sheetView topLeftCell="A15" workbookViewId="0">
      <selection activeCell="E20" sqref="E20"/>
    </sheetView>
  </sheetViews>
  <sheetFormatPr defaultRowHeight="14.4" x14ac:dyDescent="0.55000000000000004"/>
  <cols>
    <col min="1" max="1" width="16.15625" bestFit="1" customWidth="1"/>
    <col min="2" max="2" width="12" bestFit="1" customWidth="1"/>
    <col min="3" max="4" width="8.83984375" style="25"/>
    <col min="9" max="9" width="18.578125" customWidth="1"/>
    <col min="10" max="10" width="22" customWidth="1"/>
  </cols>
  <sheetData>
    <row r="1" spans="1:9" x14ac:dyDescent="0.55000000000000004">
      <c r="A1" s="25" t="s">
        <v>92</v>
      </c>
      <c r="B1" s="26">
        <f>150/B2</f>
        <v>15000</v>
      </c>
      <c r="E1" s="25"/>
      <c r="F1" s="25"/>
      <c r="G1" s="25"/>
      <c r="H1" s="25"/>
      <c r="I1" s="25"/>
    </row>
    <row r="2" spans="1:9" x14ac:dyDescent="0.55000000000000004">
      <c r="A2" s="25" t="s">
        <v>93</v>
      </c>
      <c r="B2" s="26">
        <v>0.01</v>
      </c>
      <c r="C2" s="28" t="s">
        <v>118</v>
      </c>
      <c r="D2" s="2" t="s">
        <v>128</v>
      </c>
      <c r="E2" s="25"/>
      <c r="F2" s="25"/>
      <c r="G2" s="25"/>
      <c r="H2" s="25"/>
      <c r="I2" s="25"/>
    </row>
    <row r="3" spans="1:9" x14ac:dyDescent="0.55000000000000004">
      <c r="A3" s="25" t="s">
        <v>94</v>
      </c>
      <c r="B3" s="25">
        <v>5</v>
      </c>
      <c r="C3" s="28" t="s">
        <v>119</v>
      </c>
      <c r="D3" s="2" t="s">
        <v>129</v>
      </c>
      <c r="E3" s="25"/>
      <c r="F3" s="25"/>
      <c r="G3" s="25"/>
      <c r="H3" s="25"/>
      <c r="I3" s="25"/>
    </row>
    <row r="4" spans="1:9" x14ac:dyDescent="0.55000000000000004">
      <c r="A4" s="25" t="s">
        <v>95</v>
      </c>
      <c r="B4" s="25">
        <v>85580</v>
      </c>
      <c r="C4" s="28" t="s">
        <v>120</v>
      </c>
      <c r="E4" s="4"/>
      <c r="F4" s="25"/>
      <c r="G4" s="25"/>
      <c r="H4" s="25"/>
      <c r="I4" s="4"/>
    </row>
    <row r="5" spans="1:9" x14ac:dyDescent="0.55000000000000004">
      <c r="A5" s="25" t="s">
        <v>96</v>
      </c>
      <c r="B5" s="25">
        <v>290.3503</v>
      </c>
      <c r="C5" s="28" t="s">
        <v>121</v>
      </c>
      <c r="D5" s="2" t="s">
        <v>130</v>
      </c>
      <c r="E5" s="25"/>
      <c r="F5" s="25"/>
      <c r="G5" s="25"/>
      <c r="H5" s="25"/>
      <c r="I5" s="25"/>
    </row>
    <row r="6" spans="1:9" x14ac:dyDescent="0.55000000000000004">
      <c r="A6" s="25" t="s">
        <v>97</v>
      </c>
      <c r="B6" s="4">
        <f>'OF4.5 - Recordbreaker'!I20</f>
        <v>39.916128560000004</v>
      </c>
      <c r="C6" s="28" t="s">
        <v>122</v>
      </c>
      <c r="E6" s="4"/>
      <c r="F6" s="25"/>
      <c r="G6" s="25"/>
      <c r="H6" s="25"/>
      <c r="I6" s="25"/>
    </row>
    <row r="7" spans="1:9" x14ac:dyDescent="0.55000000000000004">
      <c r="A7" s="25" t="s">
        <v>98</v>
      </c>
      <c r="B7" s="25">
        <f>'OF4.5 - Recordbreaker'!I23</f>
        <v>4.4258679687864655</v>
      </c>
      <c r="C7" s="28" t="s">
        <v>122</v>
      </c>
      <c r="E7" s="25"/>
      <c r="F7" s="25"/>
      <c r="G7" s="25"/>
      <c r="H7" s="25"/>
      <c r="I7" s="25"/>
    </row>
    <row r="8" spans="1:9" x14ac:dyDescent="0.55000000000000004">
      <c r="A8" s="25" t="s">
        <v>99</v>
      </c>
      <c r="B8" s="25">
        <v>900</v>
      </c>
      <c r="C8" s="28" t="s">
        <v>123</v>
      </c>
      <c r="E8" s="25"/>
      <c r="F8" s="25"/>
      <c r="G8" s="25"/>
      <c r="H8" s="25"/>
      <c r="I8" s="25"/>
    </row>
    <row r="9" spans="1:9" x14ac:dyDescent="0.55000000000000004">
      <c r="A9" s="25" t="s">
        <v>100</v>
      </c>
      <c r="B9" s="25">
        <f>'OF4.5 - Recordbreaker'!I24</f>
        <v>19.916405859539093</v>
      </c>
      <c r="C9" s="28" t="s">
        <v>122</v>
      </c>
      <c r="E9" s="25"/>
      <c r="F9" s="25"/>
      <c r="G9" s="25"/>
      <c r="H9" s="25"/>
      <c r="I9" s="25"/>
    </row>
    <row r="10" spans="1:9" ht="16.5" x14ac:dyDescent="0.55000000000000004">
      <c r="A10" s="25" t="s">
        <v>101</v>
      </c>
      <c r="B10" s="25">
        <f>'OF4.5 - Recordbreaker'!I24/800*1.1</f>
        <v>2.7385058056866255E-2</v>
      </c>
      <c r="C10" s="28" t="s">
        <v>124</v>
      </c>
      <c r="D10" s="2" t="s">
        <v>131</v>
      </c>
      <c r="E10" s="25"/>
      <c r="F10" s="25"/>
      <c r="G10" s="25"/>
      <c r="H10" s="25"/>
      <c r="I10" s="25"/>
    </row>
    <row r="11" spans="1:9" x14ac:dyDescent="0.55000000000000004">
      <c r="A11" s="25" t="s">
        <v>102</v>
      </c>
      <c r="B11" s="25">
        <f>'Import Data - Deliverance'!B11/'Import Data - Deliverance'!B10*'Import Data - Recordbreaker'!B10</f>
        <v>16.159142016198491</v>
      </c>
      <c r="C11" s="28" t="s">
        <v>122</v>
      </c>
      <c r="E11" s="25"/>
      <c r="F11" s="25"/>
      <c r="G11" s="25"/>
      <c r="H11" s="25"/>
      <c r="I11" s="25"/>
    </row>
    <row r="12" spans="1:9" x14ac:dyDescent="0.55000000000000004">
      <c r="A12" s="25" t="s">
        <v>103</v>
      </c>
      <c r="B12" s="25">
        <v>1.55E-4</v>
      </c>
      <c r="C12" s="28"/>
      <c r="E12" s="25"/>
      <c r="F12" s="25"/>
      <c r="G12" s="25"/>
      <c r="H12" s="25"/>
      <c r="I12" s="25"/>
    </row>
    <row r="13" spans="1:9" x14ac:dyDescent="0.55000000000000004">
      <c r="A13" s="25" t="s">
        <v>104</v>
      </c>
      <c r="B13" s="26">
        <v>0.5</v>
      </c>
      <c r="C13" s="28"/>
      <c r="E13" s="26"/>
      <c r="F13" s="25"/>
      <c r="G13" s="25"/>
      <c r="H13" s="25"/>
      <c r="I13" s="25"/>
    </row>
    <row r="14" spans="1:9" x14ac:dyDescent="0.55000000000000004">
      <c r="A14" s="25" t="s">
        <v>105</v>
      </c>
      <c r="B14" s="25">
        <v>1</v>
      </c>
      <c r="C14" s="28"/>
      <c r="E14" s="25"/>
      <c r="F14" s="25"/>
      <c r="G14" s="25"/>
      <c r="H14" s="25"/>
      <c r="I14" s="25"/>
    </row>
    <row r="15" spans="1:9" x14ac:dyDescent="0.55000000000000004">
      <c r="A15" s="25" t="s">
        <v>106</v>
      </c>
      <c r="B15" s="25">
        <f>'OF4.5 - Recordbreaker'!L24</f>
        <v>0.78806701961257952</v>
      </c>
      <c r="C15" s="28" t="s">
        <v>125</v>
      </c>
      <c r="E15" s="25"/>
      <c r="F15" s="25"/>
      <c r="G15" s="25"/>
      <c r="H15" s="25"/>
      <c r="I15" s="25"/>
    </row>
    <row r="16" spans="1:9" x14ac:dyDescent="0.55000000000000004">
      <c r="A16" s="25" t="s">
        <v>107</v>
      </c>
      <c r="B16" s="25">
        <f>'OF4.5 - Recordbreaker'!L26</f>
        <v>2.0782446375276528E-2</v>
      </c>
      <c r="C16" s="28" t="s">
        <v>125</v>
      </c>
      <c r="E16" s="25"/>
      <c r="F16" s="25"/>
      <c r="G16" s="25"/>
      <c r="H16" s="25"/>
      <c r="I16" s="25"/>
    </row>
    <row r="17" spans="1:5" x14ac:dyDescent="0.55000000000000004">
      <c r="A17" s="25" t="s">
        <v>108</v>
      </c>
      <c r="B17" s="25">
        <f>'OF4.5 - Recordbreaker'!L25/2</f>
        <v>5.8178937080424258E-2</v>
      </c>
      <c r="C17" s="28" t="s">
        <v>125</v>
      </c>
      <c r="E17" s="25"/>
    </row>
    <row r="18" spans="1:5" ht="16.5" x14ac:dyDescent="0.55000000000000004">
      <c r="A18" s="25" t="s">
        <v>109</v>
      </c>
      <c r="B18" s="25">
        <f>'OF4.5 - Recordbreaker'!N14</f>
        <v>1.6784675274579906E-3</v>
      </c>
      <c r="C18" s="28" t="s">
        <v>126</v>
      </c>
      <c r="E18" s="25"/>
    </row>
    <row r="19" spans="1:5" ht="16.5" x14ac:dyDescent="0.55000000000000004">
      <c r="A19" s="25" t="s">
        <v>110</v>
      </c>
      <c r="B19" s="25">
        <f>'OF4.5 - Recordbreaker'!N15</f>
        <v>9.8905233455792909E-3</v>
      </c>
      <c r="C19" s="28" t="s">
        <v>126</v>
      </c>
      <c r="E19" s="25"/>
    </row>
    <row r="20" spans="1:5" x14ac:dyDescent="0.55000000000000004">
      <c r="A20" s="25" t="s">
        <v>111</v>
      </c>
      <c r="B20" s="25">
        <v>0.13969999999999999</v>
      </c>
      <c r="C20" s="28" t="s">
        <v>125</v>
      </c>
      <c r="E20" s="25"/>
    </row>
    <row r="21" spans="1:5" ht="16.5" x14ac:dyDescent="0.55000000000000004">
      <c r="A21" s="25" t="s">
        <v>112</v>
      </c>
      <c r="B21" s="25">
        <f>'OF4.5 - Recordbreaker'!I28/(44.013*B22*SQRT(2/44.013*(4825000-'OF4.5 - Recordbreaker'!B3*1000)/0.0543))</f>
        <v>9.7004286618528263E-5</v>
      </c>
      <c r="C21" s="28" t="s">
        <v>126</v>
      </c>
      <c r="D21" s="2" t="s">
        <v>132</v>
      </c>
      <c r="E21" s="25"/>
    </row>
    <row r="22" spans="1:5" x14ac:dyDescent="0.55000000000000004">
      <c r="A22" s="25" t="s">
        <v>113</v>
      </c>
      <c r="B22" s="25">
        <v>0.6</v>
      </c>
      <c r="C22" s="28"/>
      <c r="E22" s="25"/>
    </row>
    <row r="23" spans="1:5" x14ac:dyDescent="0.55000000000000004">
      <c r="A23" s="25" t="s">
        <v>114</v>
      </c>
      <c r="B23" s="25">
        <f>'OF4.5 - Recordbreaker'!B6</f>
        <v>0.9</v>
      </c>
      <c r="C23" s="28"/>
      <c r="E23" s="25"/>
    </row>
    <row r="24" spans="1:5" x14ac:dyDescent="0.55000000000000004">
      <c r="A24" s="25" t="s">
        <v>115</v>
      </c>
      <c r="B24" s="25">
        <v>0.9</v>
      </c>
      <c r="C24" s="28"/>
      <c r="E24" s="25"/>
    </row>
    <row r="25" spans="1:5" x14ac:dyDescent="0.55000000000000004">
      <c r="A25" s="25" t="s">
        <v>116</v>
      </c>
      <c r="B25" s="25">
        <f>'OF4.5 - Recordbreaker'!L2</f>
        <v>5</v>
      </c>
      <c r="C25" s="29" t="s">
        <v>127</v>
      </c>
      <c r="E25" s="25"/>
    </row>
    <row r="26" spans="1:5" x14ac:dyDescent="0.55000000000000004">
      <c r="A26" s="25" t="s">
        <v>134</v>
      </c>
      <c r="B26">
        <f>'OF4.5 - Recordbreaker'!E3</f>
        <v>1401</v>
      </c>
      <c r="C26" s="28" t="s">
        <v>127</v>
      </c>
      <c r="D26" s="2" t="s">
        <v>133</v>
      </c>
    </row>
    <row r="27" spans="1:5" x14ac:dyDescent="0.55000000000000004">
      <c r="A27" s="25" t="s">
        <v>135</v>
      </c>
      <c r="B27">
        <f>'OF4.5 - Recordbreaker'!L3</f>
        <v>5</v>
      </c>
    </row>
    <row r="28" spans="1:5" ht="16.8" x14ac:dyDescent="0.75">
      <c r="A28" s="25" t="s">
        <v>136</v>
      </c>
      <c r="B28">
        <f>'OF4.5 - Recordbreaker'!I16*1000</f>
        <v>3723170.4637356172</v>
      </c>
      <c r="C28" s="28" t="s">
        <v>120</v>
      </c>
    </row>
    <row r="29" spans="1:5" ht="16.8" x14ac:dyDescent="0.75">
      <c r="A29" s="25" t="s">
        <v>137</v>
      </c>
      <c r="B29">
        <f>'OF4.5 - Recordbreaker'!B3*1000</f>
        <v>3102640.7819257625</v>
      </c>
      <c r="C29" s="28" t="s">
        <v>120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C092D424C091748857CFABFDD9D8714" ma:contentTypeVersion="6" ma:contentTypeDescription="Create a new document." ma:contentTypeScope="" ma:versionID="c67d86f0a9880e0bd6918953996cbd69">
  <xsd:schema xmlns:xsd="http://www.w3.org/2001/XMLSchema" xmlns:xs="http://www.w3.org/2001/XMLSchema" xmlns:p="http://schemas.microsoft.com/office/2006/metadata/properties" xmlns:ns2="2197759c-b7a7-485b-93aa-8f94fa60c6ed" xmlns:ns3="6858600f-ea14-489a-a372-d9b79a7ab6cc" targetNamespace="http://schemas.microsoft.com/office/2006/metadata/properties" ma:root="true" ma:fieldsID="a4c740a5f07bab338231bee1d96962e0" ns2:_="" ns3:_="">
    <xsd:import namespace="2197759c-b7a7-485b-93aa-8f94fa60c6ed"/>
    <xsd:import namespace="6858600f-ea14-489a-a372-d9b79a7ab6c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2:LastSharedByUser" minOccurs="0"/>
                <xsd:element ref="ns2:LastSharedByTime" minOccurs="0"/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97759c-b7a7-485b-93aa-8f94fa60c6e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0" nillable="true" ma:displayName="Last Shared By User" ma:internalName="LastSharedByUser" ma:readOnly="true">
      <xsd:simpleType>
        <xsd:restriction base="dms:Note">
          <xsd:maxLength value="255"/>
        </xsd:restriction>
      </xsd:simpleType>
    </xsd:element>
    <xsd:element name="LastSharedByTime" ma:index="11" nillable="true" ma:displayName="Last Shared By Time" ma:description="" ma:internalName="LastSharedByTime" ma:readOnly="tru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858600f-ea14-489a-a372-d9b79a7ab6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2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3" nillable="true" ma:displayName="MediaServiceFastMetadata" ma:description="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0CAE0D8-9670-42EA-95A9-ECC0450E4E24}">
  <ds:schemaRefs>
    <ds:schemaRef ds:uri="2197759c-b7a7-485b-93aa-8f94fa60c6ed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6858600f-ea14-489a-a372-d9b79a7ab6cc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DFC1A700-3A67-4E43-8481-2F6627FC836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197759c-b7a7-485b-93aa-8f94fa60c6ed"/>
    <ds:schemaRef ds:uri="6858600f-ea14-489a-a372-d9b79a7ab6c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003706E-8CE1-4806-8EAD-5232829F25A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OF5.4</vt:lpstr>
      <vt:lpstr>OF6.5</vt:lpstr>
      <vt:lpstr>OF4</vt:lpstr>
      <vt:lpstr>OF4.5 - Low Alt</vt:lpstr>
      <vt:lpstr>OF4.5 - High Alt</vt:lpstr>
      <vt:lpstr>OF4 - Recordbreaker</vt:lpstr>
      <vt:lpstr>OF4.5 - Recordbreaker</vt:lpstr>
      <vt:lpstr>Import Data - Deliverance</vt:lpstr>
      <vt:lpstr>Import Data - Recordbreaker</vt:lpstr>
      <vt:lpstr>Export 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Mitchell Passarelli</dc:creator>
  <cp:keywords/>
  <dc:description/>
  <cp:lastModifiedBy>Jacob Weber</cp:lastModifiedBy>
  <cp:revision/>
  <dcterms:created xsi:type="dcterms:W3CDTF">2015-09-15T15:52:56Z</dcterms:created>
  <dcterms:modified xsi:type="dcterms:W3CDTF">2019-10-26T19:01:15Z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0x0101000C092D424C091748857CFABFDD9D8714</vt:lpwstr>
  </property>
  <property fmtid="{D5CDD505-2E9C-101B-9397-08002B2CF9AE}" pid="3" name="Order">
    <vt:r8>20200</vt:r8>
  </property>
  <property fmtid="{D5CDD505-2E9C-101B-9397-08002B2CF9AE}" pid="4" name="_CopySource">
    <vt:lpwstr>https://adminmailutoronto-my.sharepoint.com/personal/mitchell_passarelli_mail_utoronto_ca/Documents/UTAT/2015-16/Engine Preliminary Design Calculations.xlsx</vt:lpwstr>
  </property>
  <property fmtid="{D5CDD505-2E9C-101B-9397-08002B2CF9AE}" pid="5" name="WorkbookGuid">
    <vt:lpwstr>16f617ff-2b64-4641-af7c-cac14eb4cc98</vt:lpwstr>
  </property>
</Properties>
</file>