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defaultThemeVersion="166925"/>
  <mc:AlternateContent xmlns:mc="http://schemas.openxmlformats.org/markup-compatibility/2006">
    <mc:Choice Requires="x15">
      <x15ac:absPath xmlns:x15ac="http://schemas.microsoft.com/office/spreadsheetml/2010/11/ac" url="C:\Users\Andreas\Documents\UTIAS\Rocket Sim\mass estimation\"/>
    </mc:Choice>
  </mc:AlternateContent>
  <bookViews>
    <workbookView xWindow="0" yWindow="0" windowWidth="28800" windowHeight="14100"/>
  </bookViews>
  <sheets>
    <sheet name="Scaling Calculations" sheetId="2" r:id="rId1"/>
    <sheet name="Inputs" sheetId="6" r:id="rId2"/>
    <sheet name="Rocket Length" sheetId="8" r:id="rId3"/>
    <sheet name="Pipe Properties" sheetId="3" r:id="rId4"/>
    <sheet name="N2O Properties" sheetId="4" r:id="rId5"/>
    <sheet name="Mass Calculations" sheetId="1" r:id="rId6"/>
    <sheet name="Sheet1" sheetId="9" r:id="rId7"/>
  </sheets>
  <externalReferences>
    <externalReference r:id="rId8"/>
  </externalReferences>
  <definedNames>
    <definedName name="Actual">(PeriodInActual*('[1]General Schedule Oct 16'!$E1&gt;0))*PeriodInPlan</definedName>
    <definedName name="ActualBeyond">PeriodInActual*('[1]General Schedule Oct 16'!$E1&gt;0)</definedName>
    <definedName name="PercentComplete">PercentCompleteBeyond*PeriodInPlan</definedName>
    <definedName name="PercentCompleteBeyond">('[1]General Schedule Oct 16'!A$9=MEDIAN('[1]General Schedule Oct 16'!A$9,'[1]General Schedule Oct 16'!$E1,'[1]General Schedule Oct 16'!$E1+'[1]General Schedule Oct 16'!$F1)*('[1]General Schedule Oct 16'!$E1&gt;0))*(('[1]General Schedule Oct 16'!A$9&lt;(INT('[1]General Schedule Oct 16'!$E1+'[1]General Schedule Oct 16'!$F1*'[1]General Schedule Oct 16'!$G1)))+('[1]General Schedule Oct 16'!A$9='[1]General Schedule Oct 16'!$E1))*('[1]General Schedule Oct 16'!$G1&gt;0)</definedName>
    <definedName name="period_selected">'[1]General Schedule Oct 16'!$O$3</definedName>
    <definedName name="PeriodInActual">'[1]General Schedule Oct 16'!A$9=MEDIAN('[1]General Schedule Oct 16'!A$9,'[1]General Schedule Oct 16'!$E1,'[1]General Schedule Oct 16'!$E1+'[1]General Schedule Oct 16'!$F1-1)</definedName>
    <definedName name="PeriodInPlan">'[1]General Schedule Oct 16'!A$9=MEDIAN('[1]General Schedule Oct 16'!A$9,'[1]General Schedule Oct 16'!$C1,'[1]General Schedule Oct 16'!$C1+'[1]General Schedule Oct 16'!$D1-1)</definedName>
    <definedName name="Plan">PeriodInPlan*('[1]General Schedule Oct 16'!$C1&gt;0)</definedName>
    <definedName name="rownum">#REF!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3" i="2" l="1"/>
  <c r="F3" i="8" l="1"/>
  <c r="K60" i="1" l="1"/>
  <c r="N76" i="1" l="1"/>
  <c r="F5" i="8" l="1"/>
  <c r="F8" i="8"/>
  <c r="F9" i="8"/>
  <c r="C5" i="6" l="1"/>
  <c r="H12" i="2" l="1"/>
  <c r="R4" i="2" l="1"/>
  <c r="R8" i="2" s="1"/>
  <c r="C3" i="8" s="1"/>
  <c r="C17" i="6"/>
  <c r="C4" i="8"/>
  <c r="F4" i="8" s="1"/>
  <c r="E6" i="1"/>
  <c r="H6" i="1" s="1"/>
  <c r="C5" i="8"/>
  <c r="C5" i="2"/>
  <c r="C6" i="2"/>
  <c r="C7" i="2"/>
  <c r="D133" i="4"/>
  <c r="D197" i="4"/>
  <c r="D229"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C14" i="2" s="1"/>
  <c r="D226" i="4"/>
  <c r="D227" i="4"/>
  <c r="D228"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C4" i="2"/>
  <c r="C13" i="2" s="1"/>
  <c r="C31" i="2" s="1"/>
  <c r="C25" i="2"/>
  <c r="H6" i="2"/>
  <c r="H7" i="2"/>
  <c r="H4" i="2"/>
  <c r="M4" i="2"/>
  <c r="E7" i="1"/>
  <c r="H7" i="1" s="1"/>
  <c r="I7" i="1" s="1"/>
  <c r="M8" i="2" s="1"/>
  <c r="C18" i="6"/>
  <c r="C8" i="8"/>
  <c r="E8" i="1"/>
  <c r="H8" i="1" s="1"/>
  <c r="I8" i="1" s="1"/>
  <c r="K8" i="1" s="1"/>
  <c r="H9" i="1"/>
  <c r="I9" i="1" s="1"/>
  <c r="H10" i="1"/>
  <c r="I10" i="1" s="1"/>
  <c r="K10" i="1" s="1"/>
  <c r="H11" i="1"/>
  <c r="I11" i="1" s="1"/>
  <c r="K11" i="1" s="1"/>
  <c r="H12" i="1"/>
  <c r="I12" i="1" s="1"/>
  <c r="K12" i="1" s="1"/>
  <c r="H13" i="1"/>
  <c r="I13" i="1" s="1"/>
  <c r="K13" i="1" s="1"/>
  <c r="H14" i="1"/>
  <c r="I14" i="1" s="1"/>
  <c r="K14" i="1" s="1"/>
  <c r="Q14" i="1" s="1"/>
  <c r="E15" i="1"/>
  <c r="H15" i="1" s="1"/>
  <c r="I15" i="1" s="1"/>
  <c r="K15" i="1" s="1"/>
  <c r="Q15" i="1" s="1"/>
  <c r="E17" i="1"/>
  <c r="H17" i="1" s="1"/>
  <c r="I17" i="1" s="1"/>
  <c r="E18" i="1"/>
  <c r="H18" i="1" s="1"/>
  <c r="I18" i="1" s="1"/>
  <c r="K18" i="1" s="1"/>
  <c r="Q18" i="1" s="1"/>
  <c r="H19" i="1"/>
  <c r="I19" i="1" s="1"/>
  <c r="K19" i="1" s="1"/>
  <c r="Q19" i="1" s="1"/>
  <c r="H20" i="1"/>
  <c r="I20" i="1" s="1"/>
  <c r="K20" i="1" s="1"/>
  <c r="Q20" i="1" s="1"/>
  <c r="E21" i="1"/>
  <c r="H21" i="1" s="1"/>
  <c r="I21" i="1" s="1"/>
  <c r="K21" i="1" s="1"/>
  <c r="Q21" i="1" s="1"/>
  <c r="H22" i="1"/>
  <c r="I22" i="1"/>
  <c r="K22" i="1" s="1"/>
  <c r="Q22" i="1" s="1"/>
  <c r="E23" i="1"/>
  <c r="H23" i="1" s="1"/>
  <c r="I23" i="1" s="1"/>
  <c r="K23" i="1" s="1"/>
  <c r="Q23" i="1" s="1"/>
  <c r="H24" i="1"/>
  <c r="I24" i="1"/>
  <c r="K24" i="1" s="1"/>
  <c r="Q24" i="1" s="1"/>
  <c r="E26" i="1"/>
  <c r="H26" i="1" s="1"/>
  <c r="I26" i="1" s="1"/>
  <c r="E27" i="1"/>
  <c r="H27" i="1" s="1"/>
  <c r="I27" i="1" s="1"/>
  <c r="K27" i="1" s="1"/>
  <c r="Q27" i="1" s="1"/>
  <c r="H28" i="1"/>
  <c r="I28" i="1" s="1"/>
  <c r="K28" i="1" s="1"/>
  <c r="Q28" i="1" s="1"/>
  <c r="E29" i="1"/>
  <c r="H29" i="1" s="1"/>
  <c r="I29" i="1" s="1"/>
  <c r="K29" i="1" s="1"/>
  <c r="Q29" i="1" s="1"/>
  <c r="H30" i="1"/>
  <c r="I30" i="1" s="1"/>
  <c r="K30" i="1" s="1"/>
  <c r="Q30" i="1" s="1"/>
  <c r="E31" i="1"/>
  <c r="H31" i="1" s="1"/>
  <c r="I31" i="1" s="1"/>
  <c r="K31" i="1" s="1"/>
  <c r="Q31" i="1" s="1"/>
  <c r="E32" i="1"/>
  <c r="H32" i="1" s="1"/>
  <c r="I32" i="1" s="1"/>
  <c r="K32" i="1" s="1"/>
  <c r="Q32" i="1" s="1"/>
  <c r="E33" i="1"/>
  <c r="H33" i="1" s="1"/>
  <c r="I33" i="1" s="1"/>
  <c r="K33" i="1" s="1"/>
  <c r="Q33" i="1" s="1"/>
  <c r="C27" i="2"/>
  <c r="H37" i="1"/>
  <c r="I37" i="1" s="1"/>
  <c r="K37" i="1" s="1"/>
  <c r="H38" i="1"/>
  <c r="I38" i="1"/>
  <c r="K38" i="1" s="1"/>
  <c r="Q38" i="1" s="1"/>
  <c r="H39" i="1"/>
  <c r="I39" i="1" s="1"/>
  <c r="K39" i="1" s="1"/>
  <c r="Q39" i="1" s="1"/>
  <c r="H40" i="1"/>
  <c r="I40" i="1" s="1"/>
  <c r="H43" i="1"/>
  <c r="I43" i="1" s="1"/>
  <c r="W9" i="2"/>
  <c r="W4" i="2"/>
  <c r="H45" i="1"/>
  <c r="I45" i="1" s="1"/>
  <c r="H46" i="1"/>
  <c r="I46" i="1" s="1"/>
  <c r="K46" i="1" s="1"/>
  <c r="H47" i="1"/>
  <c r="I47" i="1" s="1"/>
  <c r="K47" i="1" s="1"/>
  <c r="E48" i="1"/>
  <c r="H48" i="1" s="1"/>
  <c r="I48" i="1" s="1"/>
  <c r="K48" i="1" s="1"/>
  <c r="Q48" i="1" s="1"/>
  <c r="H49" i="1"/>
  <c r="I49" i="1" s="1"/>
  <c r="K49" i="1" s="1"/>
  <c r="Q49" i="1" s="1"/>
  <c r="E50" i="1"/>
  <c r="H50" i="1" s="1"/>
  <c r="I50" i="1" s="1"/>
  <c r="K50" i="1" s="1"/>
  <c r="Q50" i="1" s="1"/>
  <c r="H51" i="1"/>
  <c r="I51" i="1" s="1"/>
  <c r="K51" i="1" s="1"/>
  <c r="Q51" i="1" s="1"/>
  <c r="H52" i="1"/>
  <c r="I52" i="1" s="1"/>
  <c r="K52" i="1" s="1"/>
  <c r="Q52" i="1" s="1"/>
  <c r="E53" i="1"/>
  <c r="H53" i="1" s="1"/>
  <c r="I53" i="1" s="1"/>
  <c r="K53" i="1" s="1"/>
  <c r="Q53" i="1" s="1"/>
  <c r="H55" i="1"/>
  <c r="I55" i="1" s="1"/>
  <c r="E56" i="1"/>
  <c r="H56" i="1" s="1"/>
  <c r="I56" i="1" s="1"/>
  <c r="K56" i="1" s="1"/>
  <c r="Q56" i="1" s="1"/>
  <c r="H35" i="1"/>
  <c r="I35" i="1" s="1"/>
  <c r="H41" i="1"/>
  <c r="I41" i="1" s="1"/>
  <c r="I36" i="1"/>
  <c r="E42" i="1"/>
  <c r="H42" i="1" s="1"/>
  <c r="I42" i="1" s="1"/>
  <c r="A6" i="4"/>
  <c r="H6" i="4"/>
  <c r="L6" i="4"/>
  <c r="A7" i="4"/>
  <c r="H7" i="4"/>
  <c r="L7" i="4"/>
  <c r="A8" i="4"/>
  <c r="L8" i="4"/>
  <c r="A9" i="4"/>
  <c r="L9" i="4"/>
  <c r="A10" i="4"/>
  <c r="L10" i="4"/>
  <c r="A11" i="4"/>
  <c r="L11" i="4"/>
  <c r="A12" i="4"/>
  <c r="L12" i="4"/>
  <c r="A13" i="4"/>
  <c r="L13" i="4"/>
  <c r="A14" i="4"/>
  <c r="L14" i="4"/>
  <c r="A15" i="4"/>
  <c r="L15" i="4"/>
  <c r="A16" i="4"/>
  <c r="L16" i="4"/>
  <c r="A17" i="4"/>
  <c r="L17" i="4"/>
  <c r="A18" i="4"/>
  <c r="L18" i="4"/>
  <c r="A19" i="4"/>
  <c r="L19" i="4"/>
  <c r="A20" i="4"/>
  <c r="L20" i="4"/>
  <c r="A21" i="4"/>
  <c r="L21" i="4"/>
  <c r="A22" i="4"/>
  <c r="L22" i="4"/>
  <c r="A23" i="4"/>
  <c r="L23" i="4"/>
  <c r="A24" i="4"/>
  <c r="L24" i="4"/>
  <c r="A25" i="4"/>
  <c r="L25" i="4"/>
  <c r="A26" i="4"/>
  <c r="L26" i="4"/>
  <c r="A27" i="4"/>
  <c r="L27" i="4"/>
  <c r="A28" i="4"/>
  <c r="L28" i="4"/>
  <c r="A29" i="4"/>
  <c r="L29" i="4"/>
  <c r="A30" i="4"/>
  <c r="L30" i="4"/>
  <c r="A31" i="4"/>
  <c r="L31" i="4"/>
  <c r="A32" i="4"/>
  <c r="L32" i="4"/>
  <c r="A33" i="4"/>
  <c r="L33" i="4"/>
  <c r="A34" i="4"/>
  <c r="L34" i="4"/>
  <c r="A35" i="4"/>
  <c r="L35" i="4"/>
  <c r="A36" i="4"/>
  <c r="L36" i="4"/>
  <c r="A37" i="4"/>
  <c r="L37" i="4"/>
  <c r="A38" i="4"/>
  <c r="L38" i="4"/>
  <c r="A39" i="4"/>
  <c r="L39" i="4"/>
  <c r="A40" i="4"/>
  <c r="L40" i="4"/>
  <c r="A41" i="4"/>
  <c r="L41" i="4"/>
  <c r="A42" i="4"/>
  <c r="L42" i="4"/>
  <c r="A43" i="4"/>
  <c r="L43" i="4"/>
  <c r="A44" i="4"/>
  <c r="L44" i="4"/>
  <c r="A45" i="4"/>
  <c r="L45" i="4"/>
  <c r="A46" i="4"/>
  <c r="L46" i="4"/>
  <c r="A47" i="4"/>
  <c r="L47" i="4"/>
  <c r="A48" i="4"/>
  <c r="L48" i="4"/>
  <c r="A49" i="4"/>
  <c r="L49" i="4"/>
  <c r="A50" i="4"/>
  <c r="L50" i="4"/>
  <c r="A51" i="4"/>
  <c r="L51" i="4"/>
  <c r="A52" i="4"/>
  <c r="L52" i="4"/>
  <c r="A53" i="4"/>
  <c r="L53" i="4"/>
  <c r="A54" i="4"/>
  <c r="L54" i="4"/>
  <c r="A55" i="4"/>
  <c r="L55" i="4"/>
  <c r="A56" i="4"/>
  <c r="L56" i="4"/>
  <c r="A57" i="4"/>
  <c r="L57" i="4"/>
  <c r="A58" i="4"/>
  <c r="L58" i="4"/>
  <c r="A59" i="4"/>
  <c r="L59" i="4"/>
  <c r="A60" i="4"/>
  <c r="L60" i="4"/>
  <c r="A61" i="4"/>
  <c r="L61" i="4"/>
  <c r="A62" i="4"/>
  <c r="L62" i="4"/>
  <c r="A63" i="4"/>
  <c r="L63" i="4"/>
  <c r="A64" i="4"/>
  <c r="L64" i="4"/>
  <c r="A65" i="4"/>
  <c r="L65" i="4"/>
  <c r="A66" i="4"/>
  <c r="L66" i="4"/>
  <c r="A67" i="4"/>
  <c r="L67" i="4"/>
  <c r="A68" i="4"/>
  <c r="L68" i="4"/>
  <c r="A69" i="4"/>
  <c r="L69" i="4"/>
  <c r="A70" i="4"/>
  <c r="L70" i="4"/>
  <c r="A71" i="4"/>
  <c r="L71" i="4"/>
  <c r="A72" i="4"/>
  <c r="L72" i="4"/>
  <c r="A73" i="4"/>
  <c r="L73" i="4"/>
  <c r="A74" i="4"/>
  <c r="L74" i="4"/>
  <c r="A75" i="4"/>
  <c r="L75" i="4"/>
  <c r="A76" i="4"/>
  <c r="L76" i="4"/>
  <c r="A77" i="4"/>
  <c r="L77" i="4"/>
  <c r="A78" i="4"/>
  <c r="L78" i="4"/>
  <c r="A79" i="4"/>
  <c r="L79" i="4"/>
  <c r="A80" i="4"/>
  <c r="L80" i="4"/>
  <c r="A81" i="4"/>
  <c r="L81" i="4"/>
  <c r="A82" i="4"/>
  <c r="L82" i="4"/>
  <c r="A83" i="4"/>
  <c r="L83" i="4"/>
  <c r="A84" i="4"/>
  <c r="L84" i="4"/>
  <c r="A85" i="4"/>
  <c r="L85" i="4"/>
  <c r="A86" i="4"/>
  <c r="L86" i="4"/>
  <c r="A87" i="4"/>
  <c r="L87" i="4"/>
  <c r="A88" i="4"/>
  <c r="L88" i="4"/>
  <c r="A89" i="4"/>
  <c r="L89" i="4"/>
  <c r="A90" i="4"/>
  <c r="L90" i="4"/>
  <c r="A91" i="4"/>
  <c r="L91" i="4"/>
  <c r="A92" i="4"/>
  <c r="L92" i="4"/>
  <c r="A93" i="4"/>
  <c r="L93" i="4"/>
  <c r="A94" i="4"/>
  <c r="L94" i="4"/>
  <c r="A95" i="4"/>
  <c r="L95" i="4"/>
  <c r="A96" i="4"/>
  <c r="L96" i="4"/>
  <c r="A97" i="4"/>
  <c r="L97" i="4"/>
  <c r="A98" i="4"/>
  <c r="L98" i="4"/>
  <c r="A99" i="4"/>
  <c r="L99" i="4"/>
  <c r="A100" i="4"/>
  <c r="L100" i="4"/>
  <c r="A101" i="4"/>
  <c r="L101" i="4"/>
  <c r="A102" i="4"/>
  <c r="L102" i="4"/>
  <c r="A103" i="4"/>
  <c r="L103" i="4"/>
  <c r="A104" i="4"/>
  <c r="L104" i="4"/>
  <c r="A105" i="4"/>
  <c r="L105" i="4"/>
  <c r="A106" i="4"/>
  <c r="L106" i="4"/>
  <c r="A107" i="4"/>
  <c r="L107" i="4"/>
  <c r="A108" i="4"/>
  <c r="L108" i="4"/>
  <c r="A109" i="4"/>
  <c r="L109" i="4"/>
  <c r="A110" i="4"/>
  <c r="L110" i="4"/>
  <c r="A111" i="4"/>
  <c r="L111" i="4"/>
  <c r="A112" i="4"/>
  <c r="L112" i="4"/>
  <c r="A113" i="4"/>
  <c r="L113" i="4"/>
  <c r="A114" i="4"/>
  <c r="L114" i="4"/>
  <c r="A115" i="4"/>
  <c r="L115" i="4"/>
  <c r="A116" i="4"/>
  <c r="L116" i="4"/>
  <c r="A117" i="4"/>
  <c r="L117" i="4"/>
  <c r="A118" i="4"/>
  <c r="L118" i="4"/>
  <c r="A119" i="4"/>
  <c r="L119" i="4"/>
  <c r="A120" i="4"/>
  <c r="L120" i="4"/>
  <c r="A121" i="4"/>
  <c r="L121" i="4"/>
  <c r="A122" i="4"/>
  <c r="L122" i="4"/>
  <c r="A123" i="4"/>
  <c r="L123" i="4"/>
  <c r="A124" i="4"/>
  <c r="L124" i="4"/>
  <c r="A125" i="4"/>
  <c r="L125" i="4"/>
  <c r="A126" i="4"/>
  <c r="L126" i="4"/>
  <c r="A127" i="4"/>
  <c r="L127" i="4"/>
  <c r="A128" i="4"/>
  <c r="L128" i="4"/>
  <c r="A129" i="4"/>
  <c r="L129" i="4"/>
  <c r="A130" i="4"/>
  <c r="L130" i="4"/>
  <c r="A131" i="4"/>
  <c r="L131" i="4"/>
  <c r="A132" i="4"/>
  <c r="L132" i="4"/>
  <c r="A133" i="4"/>
  <c r="L133" i="4"/>
  <c r="A134" i="4"/>
  <c r="L134" i="4"/>
  <c r="A135" i="4"/>
  <c r="L135" i="4"/>
  <c r="A136" i="4"/>
  <c r="L136" i="4"/>
  <c r="A137" i="4"/>
  <c r="L137" i="4"/>
  <c r="A138" i="4"/>
  <c r="L138" i="4"/>
  <c r="A139" i="4"/>
  <c r="L139" i="4"/>
  <c r="A140" i="4"/>
  <c r="L140" i="4"/>
  <c r="A141" i="4"/>
  <c r="L141" i="4"/>
  <c r="A142" i="4"/>
  <c r="L142" i="4"/>
  <c r="A143" i="4"/>
  <c r="L143" i="4"/>
  <c r="A144" i="4"/>
  <c r="L144" i="4"/>
  <c r="A145" i="4"/>
  <c r="L145" i="4"/>
  <c r="A146" i="4"/>
  <c r="L146" i="4"/>
  <c r="A147" i="4"/>
  <c r="L147" i="4"/>
  <c r="A148" i="4"/>
  <c r="L148" i="4"/>
  <c r="A149" i="4"/>
  <c r="L149" i="4"/>
  <c r="A150" i="4"/>
  <c r="L150" i="4"/>
  <c r="A151" i="4"/>
  <c r="L151" i="4"/>
  <c r="A152" i="4"/>
  <c r="L152" i="4"/>
  <c r="A153" i="4"/>
  <c r="L153" i="4"/>
  <c r="A154" i="4"/>
  <c r="L154" i="4"/>
  <c r="A155" i="4"/>
  <c r="L155" i="4"/>
  <c r="A156" i="4"/>
  <c r="L156" i="4"/>
  <c r="A157" i="4"/>
  <c r="L157" i="4"/>
  <c r="A158" i="4"/>
  <c r="L158" i="4"/>
  <c r="A159" i="4"/>
  <c r="L159" i="4"/>
  <c r="A160" i="4"/>
  <c r="L160" i="4"/>
  <c r="A161" i="4"/>
  <c r="L161" i="4"/>
  <c r="A162" i="4"/>
  <c r="L162" i="4"/>
  <c r="A163" i="4"/>
  <c r="L163" i="4"/>
  <c r="A164" i="4"/>
  <c r="L164" i="4"/>
  <c r="A165" i="4"/>
  <c r="L165" i="4"/>
  <c r="A166" i="4"/>
  <c r="L166" i="4"/>
  <c r="A167" i="4"/>
  <c r="L167" i="4"/>
  <c r="A168" i="4"/>
  <c r="L168" i="4"/>
  <c r="A169" i="4"/>
  <c r="L169" i="4"/>
  <c r="A170" i="4"/>
  <c r="L170" i="4"/>
  <c r="A171" i="4"/>
  <c r="L171" i="4"/>
  <c r="A172" i="4"/>
  <c r="L172" i="4"/>
  <c r="A173" i="4"/>
  <c r="L173" i="4"/>
  <c r="A174" i="4"/>
  <c r="L174" i="4"/>
  <c r="A175" i="4"/>
  <c r="L175" i="4"/>
  <c r="A176" i="4"/>
  <c r="L176" i="4"/>
  <c r="A177" i="4"/>
  <c r="L177" i="4"/>
  <c r="A178" i="4"/>
  <c r="L178" i="4"/>
  <c r="A179" i="4"/>
  <c r="L179" i="4"/>
  <c r="A180" i="4"/>
  <c r="L180" i="4"/>
  <c r="A181" i="4"/>
  <c r="L181" i="4"/>
  <c r="A182" i="4"/>
  <c r="L182" i="4"/>
  <c r="A183" i="4"/>
  <c r="L183" i="4"/>
  <c r="A184" i="4"/>
  <c r="L184" i="4"/>
  <c r="A185" i="4"/>
  <c r="L185" i="4"/>
  <c r="A186" i="4"/>
  <c r="L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E36" i="1"/>
  <c r="D24" i="1"/>
  <c r="N68" i="1" l="1"/>
  <c r="K40" i="1"/>
  <c r="N69" i="1" s="1"/>
  <c r="K17" i="1"/>
  <c r="K26" i="1"/>
  <c r="K55" i="1"/>
  <c r="C18" i="2"/>
  <c r="K36" i="1" s="1"/>
  <c r="N71" i="1" s="1"/>
  <c r="W10" i="2"/>
  <c r="R12" i="2"/>
  <c r="K9" i="1" s="1"/>
  <c r="H5" i="2"/>
  <c r="H20" i="2" s="1"/>
  <c r="K42" i="1" s="1"/>
  <c r="N74" i="1" s="1"/>
  <c r="C26" i="2"/>
  <c r="C28" i="2" s="1"/>
  <c r="I6" i="1"/>
  <c r="H58" i="1"/>
  <c r="H59" i="1"/>
  <c r="H61" i="1" s="1"/>
  <c r="P9" i="1"/>
  <c r="P12" i="1"/>
  <c r="Q12" i="1" s="1"/>
  <c r="P10" i="1"/>
  <c r="Q10" i="1" s="1"/>
  <c r="P45" i="1"/>
  <c r="P47" i="1" s="1"/>
  <c r="Q47" i="1" s="1"/>
  <c r="P55" i="1"/>
  <c r="P13" i="1"/>
  <c r="Q13" i="1" s="1"/>
  <c r="P11" i="1"/>
  <c r="Q11" i="1" s="1"/>
  <c r="P6" i="1"/>
  <c r="P46" i="1"/>
  <c r="Q46" i="1" s="1"/>
  <c r="H15" i="2"/>
  <c r="H27" i="2" s="1"/>
  <c r="C19" i="2" l="1"/>
  <c r="C20" i="2" s="1"/>
  <c r="C21" i="2" s="1"/>
  <c r="C6" i="8" s="1"/>
  <c r="P36" i="1" s="1"/>
  <c r="Q36" i="1" s="1"/>
  <c r="Q17" i="1"/>
  <c r="N66" i="1"/>
  <c r="Q26" i="1"/>
  <c r="N67" i="1"/>
  <c r="Q55" i="1"/>
  <c r="H21" i="2"/>
  <c r="H22" i="2" s="1"/>
  <c r="Q9" i="1"/>
  <c r="H34" i="1"/>
  <c r="H54" i="1"/>
  <c r="H44" i="1"/>
  <c r="H25" i="1"/>
  <c r="H57" i="1"/>
  <c r="H16" i="1"/>
  <c r="I59" i="1"/>
  <c r="K6" i="1"/>
  <c r="Q6" i="1" s="1"/>
  <c r="I58" i="1"/>
  <c r="H19" i="2"/>
  <c r="P37" i="1" l="1"/>
  <c r="Q37" i="1" s="1"/>
  <c r="F6" i="8"/>
  <c r="C32" i="2"/>
  <c r="C35" i="2" s="1"/>
  <c r="K35" i="1" s="1"/>
  <c r="N70" i="1" s="1"/>
  <c r="P35" i="1"/>
  <c r="P41" i="1" s="1"/>
  <c r="H23" i="2"/>
  <c r="I25" i="1"/>
  <c r="I57" i="1"/>
  <c r="I16" i="1"/>
  <c r="I44" i="1"/>
  <c r="I54" i="1"/>
  <c r="I34" i="1"/>
  <c r="I61" i="1"/>
  <c r="Q35" i="1" l="1"/>
  <c r="C7" i="8"/>
  <c r="F7" i="8" s="1"/>
  <c r="M14" i="2"/>
  <c r="K7" i="1" s="1"/>
  <c r="N65" i="1" s="1"/>
  <c r="H28" i="2"/>
  <c r="H31" i="2" s="1"/>
  <c r="K41" i="1" s="1"/>
  <c r="W8" i="2"/>
  <c r="W14" i="2" s="1"/>
  <c r="W15" i="2" s="1"/>
  <c r="K43" i="1" s="1"/>
  <c r="N73" i="1" s="1"/>
  <c r="P42" i="1"/>
  <c r="P7" i="1" l="1"/>
  <c r="Q7" i="1" s="1"/>
  <c r="C11" i="8"/>
  <c r="F11" i="8" s="1"/>
  <c r="P8" i="1"/>
  <c r="Q8" i="1" s="1"/>
  <c r="P40" i="1"/>
  <c r="Q40" i="1" s="1"/>
  <c r="Q41" i="1"/>
  <c r="N72" i="1"/>
  <c r="K45" i="1"/>
  <c r="Q42" i="1"/>
  <c r="P43" i="1"/>
  <c r="Q43" i="1" s="1"/>
  <c r="Q45" i="1" l="1"/>
  <c r="N75" i="1"/>
  <c r="K59" i="1"/>
  <c r="M59" i="1" s="1"/>
  <c r="K58" i="1"/>
  <c r="K16" i="1" s="1"/>
  <c r="Q16" i="1" s="1"/>
  <c r="N77" i="1" l="1"/>
  <c r="O75" i="1" s="1"/>
  <c r="K61" i="1"/>
  <c r="K54" i="1"/>
  <c r="Q54" i="1" s="1"/>
  <c r="K57" i="1"/>
  <c r="K25" i="1"/>
  <c r="Q25" i="1" s="1"/>
  <c r="K44" i="1"/>
  <c r="Q44" i="1" s="1"/>
  <c r="K34" i="1"/>
  <c r="Q34" i="1" s="1"/>
  <c r="N78" i="1" l="1"/>
  <c r="N80" i="1" s="1"/>
  <c r="O66" i="1"/>
  <c r="O74" i="1"/>
  <c r="O67" i="1"/>
  <c r="O76" i="1"/>
  <c r="O71" i="1"/>
  <c r="O69" i="1"/>
  <c r="O68" i="1"/>
  <c r="O70" i="1"/>
  <c r="O65" i="1"/>
  <c r="O73" i="1"/>
  <c r="O72" i="1"/>
  <c r="R6" i="1"/>
  <c r="P67" i="1" l="1"/>
  <c r="P66" i="1"/>
  <c r="P76" i="1"/>
  <c r="P69" i="1"/>
  <c r="P68" i="1"/>
  <c r="P70" i="1"/>
  <c r="P73" i="1"/>
  <c r="P65" i="1"/>
  <c r="P72" i="1"/>
  <c r="P75" i="1"/>
</calcChain>
</file>

<file path=xl/sharedStrings.xml><?xml version="1.0" encoding="utf-8"?>
<sst xmlns="http://schemas.openxmlformats.org/spreadsheetml/2006/main" count="317" uniqueCount="204">
  <si>
    <t>Inputs</t>
  </si>
  <si>
    <t>Comments</t>
  </si>
  <si>
    <t>Outer Rocket Diameter [in]</t>
  </si>
  <si>
    <t>Choose pipe outer diameter</t>
  </si>
  <si>
    <t>Mass of Fuel [kg]</t>
  </si>
  <si>
    <t>Provide this</t>
  </si>
  <si>
    <t>Mass of Propellant [kg]</t>
  </si>
  <si>
    <t>Don't Touch!</t>
  </si>
  <si>
    <t>O/F</t>
  </si>
  <si>
    <t>Oxygen to Fuel ratio</t>
  </si>
  <si>
    <t>Fuel Core Inner Dia [in]</t>
  </si>
  <si>
    <t>Choose fuel core inner diameter</t>
  </si>
  <si>
    <t>Ox Tank Pressure  [Psi]</t>
  </si>
  <si>
    <t>Affects density/volume calcs</t>
  </si>
  <si>
    <t>Fuel Core Liner Thickness [in]</t>
  </si>
  <si>
    <t>Choose insulation thickness</t>
  </si>
  <si>
    <t>Old Rocket Dimensions [in]</t>
  </si>
  <si>
    <t>Outer Diameter</t>
  </si>
  <si>
    <t>Total Length</t>
  </si>
  <si>
    <t>Fuel Core Length</t>
  </si>
  <si>
    <t>Nose Length</t>
  </si>
  <si>
    <t>Fill Section Length</t>
  </si>
  <si>
    <t>Assumed from Drawing</t>
  </si>
  <si>
    <t>Recovery Bay Length</t>
  </si>
  <si>
    <t>Nozzle Length</t>
  </si>
  <si>
    <t>Ox Tank Scaling</t>
  </si>
  <si>
    <t>Fuel Core Scaling</t>
  </si>
  <si>
    <t>Fin Can Scaling</t>
  </si>
  <si>
    <t>Nose Cone Scaling</t>
  </si>
  <si>
    <t>EPDM Liner Scaling</t>
  </si>
  <si>
    <t>Values from Inputs Worksheet</t>
  </si>
  <si>
    <t>Outer Pipe Diameter [in]</t>
  </si>
  <si>
    <t>Assumed this is constant for both new and old rocket</t>
  </si>
  <si>
    <t>Liner Thickness [in]</t>
  </si>
  <si>
    <t>Constants</t>
  </si>
  <si>
    <t>Mass per outer area [lbs/in2]</t>
  </si>
  <si>
    <t>Mass/(pi*OD*Length) (neglect dependence on thickness)</t>
  </si>
  <si>
    <t>Nose Cone Length [in]</t>
  </si>
  <si>
    <t>Based on outer diameter ratio</t>
  </si>
  <si>
    <t>Length [in]</t>
  </si>
  <si>
    <t>Same length as fuel core</t>
  </si>
  <si>
    <t>Volume of old liner [in3]</t>
  </si>
  <si>
    <t>Density [lbs/in3]</t>
  </si>
  <si>
    <t>Calculations</t>
  </si>
  <si>
    <t>Al Density [lbs/inch^3]</t>
  </si>
  <si>
    <t>Density of Aluminum</t>
  </si>
  <si>
    <t>Pipe Outer Dia [in]</t>
  </si>
  <si>
    <t>Choose pipe diameter 1 size smaller than outer rocket diameter from the "Pipe Properties" worksheet</t>
  </si>
  <si>
    <t>Nose Cone Mass [lbs]</t>
  </si>
  <si>
    <t>Based on diameter and length^(1/2) ratio</t>
  </si>
  <si>
    <t>Pipe Thickness [in]</t>
  </si>
  <si>
    <t>This is updated automatically from the "Pipe Properties" worksheet</t>
  </si>
  <si>
    <t>Outer area [in2]</t>
  </si>
  <si>
    <t>N2O Density [kg/m^3]</t>
  </si>
  <si>
    <t>Found from N2O Properties worksheet</t>
  </si>
  <si>
    <t>Fuel Density [kg/m3]</t>
  </si>
  <si>
    <t>Fin Can Mass [lbs]</t>
  </si>
  <si>
    <t>Volume of new liner [in3]</t>
  </si>
  <si>
    <t>EPDM Liner Mass [lbs]</t>
  </si>
  <si>
    <t>Tank Length Calcs</t>
  </si>
  <si>
    <t>Ox mass [Kg]</t>
  </si>
  <si>
    <t>Based on propellant mass and O/F</t>
  </si>
  <si>
    <t>Fuel Core Properties</t>
  </si>
  <si>
    <t>Tank Volume [m3]</t>
  </si>
  <si>
    <t>Outer Dia [in]</t>
  </si>
  <si>
    <t>Tank Volume [in3]</t>
  </si>
  <si>
    <t>Mass [kg]</t>
  </si>
  <si>
    <t>Pipe Length [in]</t>
  </si>
  <si>
    <t>Volume [m^3]</t>
  </si>
  <si>
    <t>Volume [in^3]</t>
  </si>
  <si>
    <t>Cap Mass (Single Cap) Calcs</t>
  </si>
  <si>
    <t>Cap Thickness</t>
  </si>
  <si>
    <t>Cap Area [in2]</t>
  </si>
  <si>
    <t>Pipe Mass Calcs</t>
  </si>
  <si>
    <t>Mass per Area [lbs/in2]</t>
  </si>
  <si>
    <t>A constant calculated based on the old rocket's mass/area. This is used because mass will only increase as a function of area, thickness is assumed to remain constant.</t>
  </si>
  <si>
    <t>Cross Sectional Area [in2]</t>
  </si>
  <si>
    <t>Pipe's cross-sectional area</t>
  </si>
  <si>
    <t>Cap Mass [lbs]</t>
  </si>
  <si>
    <t>Pipe Mass [lbs]</t>
  </si>
  <si>
    <t>Based on pipe volume and Al density</t>
  </si>
  <si>
    <t>Total Dry Mass of Fuel Tank [lbs]</t>
  </si>
  <si>
    <t>Total Dry Mass of Ox Tank [lbs]</t>
  </si>
  <si>
    <t>Lengths [in]</t>
  </si>
  <si>
    <t>Comment</t>
  </si>
  <si>
    <t>Noze</t>
  </si>
  <si>
    <t>Nose cone Radius/Length ratio remains constant</t>
  </si>
  <si>
    <t>Recovery Bay</t>
  </si>
  <si>
    <t>Constant volume assumption</t>
  </si>
  <si>
    <t>Fill Section</t>
  </si>
  <si>
    <t>Assumed same as old rocket</t>
  </si>
  <si>
    <t>Ox Tank + 2 Caps</t>
  </si>
  <si>
    <t>See 'Scaling Calcs' worksheet</t>
  </si>
  <si>
    <t>Fuel Core</t>
  </si>
  <si>
    <t>Nozzle</t>
  </si>
  <si>
    <t>Vacant Space</t>
  </si>
  <si>
    <t>Total space before and after fuel core</t>
  </si>
  <si>
    <t>Total Length [in]</t>
  </si>
  <si>
    <t>Pipe Size [in]</t>
  </si>
  <si>
    <t>OD [in]</t>
  </si>
  <si>
    <t>Thickness [in]</t>
  </si>
  <si>
    <t>ID [in]</t>
  </si>
  <si>
    <t>Aluminum mass/length [lbs/ft]</t>
  </si>
  <si>
    <t>N/A</t>
  </si>
  <si>
    <t>The data contained in this file have been gathered  by Air Liquide from selected reliable sources. 
Air Liquide provides no warranty either implied or otherwise for the data and its usage. 
Contact the Air Liquide team in your region for expertise services.</t>
  </si>
  <si>
    <t>L-V Saturation</t>
  </si>
  <si>
    <t>S-L Saturation</t>
  </si>
  <si>
    <t>S-V Saturation</t>
  </si>
  <si>
    <t>Temperature</t>
  </si>
  <si>
    <t>Pressure</t>
  </si>
  <si>
    <t>Liquid density</t>
  </si>
  <si>
    <t>Gas density</t>
  </si>
  <si>
    <t>(°K)</t>
  </si>
  <si>
    <t>(°C)</t>
  </si>
  <si>
    <t>(bar)</t>
  </si>
  <si>
    <t>(Psi)</t>
  </si>
  <si>
    <t>(kg/m³)</t>
  </si>
  <si>
    <t>Rocketry Mass Budget</t>
  </si>
  <si>
    <t>Old Rocket</t>
  </si>
  <si>
    <t>New Rocket</t>
  </si>
  <si>
    <t>Subsystem</t>
  </si>
  <si>
    <t>Component</t>
  </si>
  <si>
    <t>Unit Mass (kg)</t>
  </si>
  <si>
    <t>Unit Mass (lbs)</t>
  </si>
  <si>
    <t>Contingency (%)</t>
  </si>
  <si>
    <t>Quantity</t>
  </si>
  <si>
    <t>Total Mass (lbs)</t>
  </si>
  <si>
    <t>Total Mass w/ Cont. (lbs)</t>
  </si>
  <si>
    <t>COM (Components)</t>
  </si>
  <si>
    <t>Mass*Distance</t>
  </si>
  <si>
    <t>COM (Overall)</t>
  </si>
  <si>
    <t>Structure</t>
  </si>
  <si>
    <t>Deployment bay</t>
  </si>
  <si>
    <t>Constant volume (i.e. constant mass)</t>
  </si>
  <si>
    <t>Fin Can</t>
  </si>
  <si>
    <t>Fins</t>
  </si>
  <si>
    <t>Scaled on total rocket length and outer diameter *('Rocket Length'!C11/Inputs!C13)*(Inputs!C3/Inputs!C12)</t>
  </si>
  <si>
    <t>Nose Cone</t>
  </si>
  <si>
    <t>Scaled based on cone volume (see Scaling Calcs worksheet)</t>
  </si>
  <si>
    <t>Nose Cone Bulkhead</t>
  </si>
  <si>
    <t>Scaled based on cross-sectional area (i.e. dependent on outer radius squared)</t>
  </si>
  <si>
    <t>Payload Bulkheads</t>
  </si>
  <si>
    <t>Recovery Bulkhead</t>
  </si>
  <si>
    <t>Nose Ring</t>
  </si>
  <si>
    <t>Not scaled</t>
  </si>
  <si>
    <t>10-32 Bolts (w/Shear pin)</t>
  </si>
  <si>
    <t>Launch Lugs</t>
  </si>
  <si>
    <t>Percent mass fraction of total system</t>
  </si>
  <si>
    <t>Avionics</t>
  </si>
  <si>
    <t>Ravens</t>
  </si>
  <si>
    <t>Batteries</t>
  </si>
  <si>
    <t>Static Tube</t>
  </si>
  <si>
    <t>RBF Pin</t>
  </si>
  <si>
    <t>Radio Tracker</t>
  </si>
  <si>
    <t>Screw Terminal</t>
  </si>
  <si>
    <t>Bulk head connector</t>
  </si>
  <si>
    <t>Avionics platform</t>
  </si>
  <si>
    <t xml:space="preserve">Fill/Safety </t>
  </si>
  <si>
    <t>Pressure Relief</t>
  </si>
  <si>
    <t>Pressure Transducer</t>
  </si>
  <si>
    <t>Explosive Cutter</t>
  </si>
  <si>
    <t>E-Match terminal</t>
  </si>
  <si>
    <t>Vent</t>
  </si>
  <si>
    <t>Check Valve</t>
  </si>
  <si>
    <t>Fill Port Fitting</t>
  </si>
  <si>
    <t>Fill Line</t>
  </si>
  <si>
    <t>Propulsion</t>
  </si>
  <si>
    <t>Ox Tank</t>
  </si>
  <si>
    <t>N2O Oxidizer</t>
  </si>
  <si>
    <t>See 'Scaling Calcs' worksheet. Note: multiplied by conversion (1 kg = 2.2 lbs)</t>
  </si>
  <si>
    <t>Burst Disk Assembly</t>
  </si>
  <si>
    <t>Scaled based on cross-sectional area of total rocket (i.e. dependent on outer radius of rocket squared)</t>
  </si>
  <si>
    <t>Retaining Ring</t>
  </si>
  <si>
    <t>Injector Plate</t>
  </si>
  <si>
    <t>Nozzle Assembly</t>
  </si>
  <si>
    <t>Engine Casing</t>
  </si>
  <si>
    <t>Scaled based on input propulsion mass and O/F (see Scaling Calcs worksheet)</t>
  </si>
  <si>
    <t>EPDM Liner</t>
  </si>
  <si>
    <t>Scaled based on liner volume</t>
  </si>
  <si>
    <t xml:space="preserve">Deployment </t>
  </si>
  <si>
    <t>Parachute</t>
  </si>
  <si>
    <t>Scaled based on total weight of rocket (double check this)</t>
  </si>
  <si>
    <t>CO2 Actuator</t>
  </si>
  <si>
    <t>Deployment Bag</t>
  </si>
  <si>
    <t>Carabiner</t>
  </si>
  <si>
    <t>Shock Cord</t>
  </si>
  <si>
    <t>Tender Descender</t>
  </si>
  <si>
    <t>Eye Nut</t>
  </si>
  <si>
    <t>3/8-16 bolt</t>
  </si>
  <si>
    <t>Payload</t>
  </si>
  <si>
    <t xml:space="preserve">Cubesat </t>
  </si>
  <si>
    <t>Cubesat Cage</t>
  </si>
  <si>
    <t>Total Wet Mass</t>
  </si>
  <si>
    <t>Dry Mass</t>
  </si>
  <si>
    <t>Dry Mass Target</t>
  </si>
  <si>
    <t>Margin</t>
  </si>
  <si>
    <t>8" for pre/post combustor</t>
  </si>
  <si>
    <t>Combustion Chamber</t>
  </si>
  <si>
    <t>added length to account for sleeve</t>
  </si>
  <si>
    <t>Scaled based on outer area (see Scaling Calcs Worksheet) + added length for sleeve</t>
  </si>
  <si>
    <t>Deployemnt</t>
  </si>
  <si>
    <t>Total Mass (kg)</t>
  </si>
  <si>
    <t>% Wet Mass</t>
  </si>
  <si>
    <t>% Dry 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</si>
</sst>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
    <numFmt numFmtId="165" formatCode="0.0%"/>
    <numFmt numFmtId="166" formatCode="0.000E+00"/>
    <numFmt numFmtId="167" formatCode="0.0000"/>
    <numFmt numFmtId="168" formatCode="0.00000"/>
    <numFmt numFmtId="169" formatCode="0.0"/>
  </numFmts>
  <fonts count="18" x14ac:knownFonts="1">
    <font>
      <sz val="11"/>
      <color theme="1"/>
      <name val="Calibri"/>
      <family val="2"/>
      <scheme val="minor"/>
    </font>
    <font>
      <sz val="11"/>
      <color theme="1"/>
      <name val="Calibri"/>
      <family val="2"/>
      <scheme val="minor"/>
    </font>
    <font>
      <b/>
      <sz val="20"/>
      <color theme="1"/>
      <name val="Calibri"/>
      <family val="2"/>
      <scheme val="minor"/>
    </font>
    <font>
      <b/>
      <sz val="12"/>
      <color theme="1"/>
      <name val="Arial"/>
      <family val="2"/>
    </font>
    <font>
      <sz val="12"/>
      <color theme="1"/>
      <name val="Arial"/>
      <family val="2"/>
    </font>
    <font>
      <b/>
      <sz val="11"/>
      <color theme="1"/>
      <name val="Calibri"/>
      <family val="2"/>
      <scheme val="minor"/>
    </font>
    <font>
      <sz val="10"/>
      <color rgb="FF000000"/>
      <name val="Arial"/>
      <family val="2"/>
    </font>
    <font>
      <sz val="10"/>
      <name val="Arial"/>
      <family val="2"/>
    </font>
    <font>
      <b/>
      <sz val="10"/>
      <color rgb="FFFF0000"/>
      <name val="Arial"/>
      <family val="2"/>
    </font>
    <font>
      <b/>
      <sz val="10"/>
      <color rgb="FF00B050"/>
      <name val="Arial"/>
      <family val="2"/>
    </font>
    <font>
      <sz val="11"/>
      <color rgb="FF000000"/>
      <name val="Calibri"/>
      <family val="2"/>
    </font>
    <font>
      <b/>
      <sz val="10"/>
      <name val="Arial"/>
      <family val="2"/>
    </font>
    <font>
      <i/>
      <sz val="10"/>
      <name val="Arial"/>
      <family val="2"/>
    </font>
    <font>
      <u/>
      <sz val="11"/>
      <color theme="10"/>
      <name val="Calibri"/>
      <family val="2"/>
      <scheme val="minor"/>
    </font>
    <font>
      <b/>
      <sz val="12"/>
      <color theme="1"/>
      <name val="Arial"/>
      <family val="2"/>
    </font>
    <font>
      <sz val="12"/>
      <color theme="1"/>
      <name val="Arial"/>
      <family val="2"/>
    </font>
    <font>
      <b/>
      <sz val="18"/>
      <color theme="1"/>
      <name val="Calibri"/>
      <family val="2"/>
      <scheme val="minor"/>
    </font>
    <font>
      <sz val="11"/>
      <color theme="1"/>
      <name val="Arial"/>
      <family val="2"/>
    </font>
  </fonts>
  <fills count="16">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7E3BC"/>
        <bgColor indexed="64"/>
      </patternFill>
    </fill>
    <fill>
      <patternFill patternType="solid">
        <fgColor rgb="FFC6D9F0"/>
        <bgColor indexed="64"/>
      </patternFill>
    </fill>
    <fill>
      <patternFill patternType="solid">
        <fgColor rgb="FFB8CCE4"/>
        <bgColor indexed="64"/>
      </patternFill>
    </fill>
    <fill>
      <patternFill patternType="solid">
        <fgColor rgb="FFFAC08F"/>
        <bgColor indexed="64"/>
      </patternFill>
    </fill>
    <fill>
      <patternFill patternType="solid">
        <fgColor rgb="FFB7DDE8"/>
        <bgColor indexed="64"/>
      </patternFill>
    </fill>
    <fill>
      <patternFill patternType="solid">
        <fgColor rgb="FFF2F2F2"/>
        <bgColor indexed="64"/>
      </patternFill>
    </fill>
    <fill>
      <patternFill patternType="solid">
        <fgColor rgb="FFC3D69B"/>
        <bgColor indexed="64"/>
      </patternFill>
    </fill>
    <fill>
      <patternFill patternType="solid">
        <fgColor rgb="FFCCC1D9"/>
        <bgColor indexed="64"/>
      </patternFill>
    </fill>
    <fill>
      <patternFill patternType="solid">
        <fgColor theme="6" tint="0.39997558519241921"/>
        <bgColor indexed="65"/>
      </patternFill>
    </fill>
  </fills>
  <borders count="15">
    <border>
      <left/>
      <right/>
      <top/>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7">
    <xf numFmtId="0" fontId="0" fillId="0" borderId="0"/>
    <xf numFmtId="0" fontId="1" fillId="0" borderId="0"/>
    <xf numFmtId="9" fontId="1" fillId="0" borderId="0" applyFont="0" applyFill="0" applyBorder="0" applyAlignment="0" applyProtection="0"/>
    <xf numFmtId="0" fontId="6" fillId="0" borderId="0"/>
    <xf numFmtId="0" fontId="13" fillId="0" borderId="0" applyNumberFormat="0" applyFill="0" applyBorder="0" applyAlignment="0" applyProtection="0"/>
    <xf numFmtId="9" fontId="1" fillId="0" borderId="0" applyFont="0" applyFill="0" applyBorder="0" applyAlignment="0" applyProtection="0"/>
    <xf numFmtId="0" fontId="1" fillId="15" borderId="0" applyNumberFormat="0" applyBorder="0" applyAlignment="0" applyProtection="0"/>
  </cellStyleXfs>
  <cellXfs count="129">
    <xf numFmtId="0" fontId="0" fillId="0" borderId="0" xfId="0"/>
    <xf numFmtId="0" fontId="1" fillId="2" borderId="0" xfId="1" applyFill="1"/>
    <xf numFmtId="0" fontId="1" fillId="0" borderId="0" xfId="1"/>
    <xf numFmtId="0" fontId="4" fillId="5" borderId="1" xfId="1" applyFont="1" applyFill="1" applyBorder="1"/>
    <xf numFmtId="0" fontId="4" fillId="0" borderId="1" xfId="1" applyFont="1" applyFill="1" applyBorder="1" applyAlignment="1">
      <alignment horizontal="center" vertical="center"/>
    </xf>
    <xf numFmtId="2" fontId="4" fillId="0" borderId="1" xfId="1" applyNumberFormat="1" applyFont="1" applyFill="1" applyBorder="1" applyAlignment="1">
      <alignment horizontal="center" vertical="center"/>
    </xf>
    <xf numFmtId="9" fontId="4" fillId="0" borderId="1" xfId="2" applyFont="1" applyBorder="1" applyAlignment="1">
      <alignment horizontal="center" vertical="center"/>
    </xf>
    <xf numFmtId="0" fontId="4" fillId="0" borderId="1" xfId="1" applyFont="1" applyBorder="1" applyAlignment="1">
      <alignment horizontal="center" vertical="center"/>
    </xf>
    <xf numFmtId="9" fontId="3" fillId="6" borderId="1" xfId="2" applyFont="1" applyFill="1" applyBorder="1" applyAlignment="1">
      <alignment horizontal="center" vertical="center"/>
    </xf>
    <xf numFmtId="0" fontId="4" fillId="2" borderId="1" xfId="1" applyFont="1" applyFill="1" applyBorder="1" applyAlignment="1">
      <alignment horizontal="center"/>
    </xf>
    <xf numFmtId="164" fontId="4" fillId="2" borderId="1" xfId="1" applyNumberFormat="1" applyFont="1" applyFill="1" applyBorder="1" applyAlignment="1">
      <alignment horizontal="center"/>
    </xf>
    <xf numFmtId="2" fontId="4" fillId="2" borderId="1" xfId="1" applyNumberFormat="1" applyFont="1" applyFill="1" applyBorder="1" applyAlignment="1">
      <alignment horizontal="center"/>
    </xf>
    <xf numFmtId="0" fontId="4" fillId="2" borderId="1" xfId="1" applyFont="1" applyFill="1" applyBorder="1"/>
    <xf numFmtId="9" fontId="4" fillId="0" borderId="1" xfId="2" applyFont="1" applyFill="1" applyBorder="1" applyAlignment="1">
      <alignment horizontal="center" vertical="center"/>
    </xf>
    <xf numFmtId="2" fontId="4" fillId="3" borderId="1" xfId="1" applyNumberFormat="1" applyFont="1" applyFill="1" applyBorder="1" applyAlignment="1">
      <alignment horizontal="center" vertical="center"/>
    </xf>
    <xf numFmtId="2" fontId="4" fillId="6" borderId="1" xfId="1" applyNumberFormat="1" applyFont="1" applyFill="1" applyBorder="1" applyAlignment="1">
      <alignment horizontal="center"/>
    </xf>
    <xf numFmtId="2" fontId="4" fillId="6" borderId="5" xfId="1" applyNumberFormat="1" applyFont="1" applyFill="1" applyBorder="1" applyAlignment="1">
      <alignment horizontal="center"/>
    </xf>
    <xf numFmtId="0" fontId="5" fillId="0" borderId="0" xfId="0" applyFont="1"/>
    <xf numFmtId="0" fontId="6" fillId="0" borderId="0" xfId="3" applyFont="1" applyAlignment="1"/>
    <xf numFmtId="0" fontId="6" fillId="0" borderId="0" xfId="3" applyFont="1"/>
    <xf numFmtId="166" fontId="7" fillId="0" borderId="0" xfId="3" applyNumberFormat="1" applyFont="1" applyAlignment="1">
      <alignment horizontal="center"/>
    </xf>
    <xf numFmtId="2" fontId="7" fillId="0" borderId="0" xfId="3" applyNumberFormat="1" applyFont="1" applyAlignment="1">
      <alignment horizontal="center"/>
    </xf>
    <xf numFmtId="0" fontId="6" fillId="0" borderId="0" xfId="3" applyFont="1" applyAlignment="1">
      <alignment horizontal="center"/>
    </xf>
    <xf numFmtId="164" fontId="7" fillId="0" borderId="0" xfId="3" applyNumberFormat="1" applyFont="1" applyAlignment="1">
      <alignment horizontal="center"/>
    </xf>
    <xf numFmtId="167" fontId="7" fillId="0" borderId="0" xfId="3" applyNumberFormat="1" applyFont="1" applyAlignment="1">
      <alignment horizontal="center"/>
    </xf>
    <xf numFmtId="0" fontId="7" fillId="0" borderId="0" xfId="3" applyFont="1" applyAlignment="1">
      <alignment horizontal="center"/>
    </xf>
    <xf numFmtId="166" fontId="8" fillId="0" borderId="0" xfId="3" applyNumberFormat="1" applyFont="1" applyAlignment="1">
      <alignment horizontal="center"/>
    </xf>
    <xf numFmtId="2" fontId="8" fillId="0" borderId="0" xfId="3" applyNumberFormat="1" applyFont="1" applyAlignment="1">
      <alignment horizontal="center"/>
    </xf>
    <xf numFmtId="11" fontId="7" fillId="0" borderId="0" xfId="3" applyNumberFormat="1" applyFont="1" applyAlignment="1">
      <alignment horizontal="center"/>
    </xf>
    <xf numFmtId="2" fontId="6" fillId="0" borderId="0" xfId="3" applyNumberFormat="1" applyFont="1" applyAlignment="1">
      <alignment horizontal="center"/>
    </xf>
    <xf numFmtId="2" fontId="9" fillId="0" borderId="0" xfId="3" applyNumberFormat="1" applyFont="1" applyAlignment="1">
      <alignment horizontal="center"/>
    </xf>
    <xf numFmtId="166" fontId="9" fillId="0" borderId="0" xfId="3" applyNumberFormat="1" applyFont="1" applyAlignment="1">
      <alignment horizontal="center"/>
    </xf>
    <xf numFmtId="0" fontId="10" fillId="0" borderId="0" xfId="3" applyFont="1" applyAlignment="1">
      <alignment horizontal="center"/>
    </xf>
    <xf numFmtId="0" fontId="0" fillId="0" borderId="0" xfId="0" applyFont="1"/>
    <xf numFmtId="164" fontId="0" fillId="0" borderId="0" xfId="0" applyNumberFormat="1"/>
    <xf numFmtId="0" fontId="0" fillId="7" borderId="0" xfId="0" applyFill="1"/>
    <xf numFmtId="0" fontId="5" fillId="0" borderId="6" xfId="0" applyFont="1" applyBorder="1"/>
    <xf numFmtId="0" fontId="0" fillId="0" borderId="0" xfId="0" applyFont="1" applyAlignment="1">
      <alignment horizontal="left"/>
    </xf>
    <xf numFmtId="0" fontId="0" fillId="0" borderId="0" xfId="0" applyFont="1" applyAlignment="1">
      <alignment horizontal="right"/>
    </xf>
    <xf numFmtId="0" fontId="2" fillId="2" borderId="0" xfId="1" applyFont="1" applyFill="1" applyBorder="1" applyAlignment="1">
      <alignment vertical="center"/>
    </xf>
    <xf numFmtId="0" fontId="3" fillId="3" borderId="1" xfId="1" applyFont="1" applyFill="1" applyBorder="1" applyAlignment="1">
      <alignment horizontal="center" vertical="center" wrapText="1"/>
    </xf>
    <xf numFmtId="0" fontId="1" fillId="2" borderId="0" xfId="1" applyFill="1" applyBorder="1"/>
    <xf numFmtId="0" fontId="0" fillId="8" borderId="0" xfId="0" applyFill="1"/>
    <xf numFmtId="0" fontId="6" fillId="0" borderId="0" xfId="3" applyAlignment="1">
      <alignment horizontal="center"/>
    </xf>
    <xf numFmtId="0" fontId="4" fillId="0" borderId="1" xfId="1" applyFont="1" applyFill="1" applyBorder="1"/>
    <xf numFmtId="0" fontId="14" fillId="3" borderId="1" xfId="1" applyFont="1" applyFill="1" applyBorder="1" applyAlignment="1">
      <alignment horizontal="center" vertical="center" wrapText="1"/>
    </xf>
    <xf numFmtId="2" fontId="15" fillId="2" borderId="1" xfId="1" applyNumberFormat="1" applyFont="1" applyFill="1" applyBorder="1" applyAlignment="1">
      <alignment horizontal="center"/>
    </xf>
    <xf numFmtId="0" fontId="1" fillId="11" borderId="0" xfId="1" applyFill="1"/>
    <xf numFmtId="0" fontId="1" fillId="11" borderId="0" xfId="1" applyFill="1" applyBorder="1"/>
    <xf numFmtId="0" fontId="1" fillId="12" borderId="0" xfId="1" applyFill="1" applyBorder="1"/>
    <xf numFmtId="0" fontId="3" fillId="3" borderId="1" xfId="1" applyFont="1" applyFill="1" applyBorder="1" applyAlignment="1">
      <alignment horizontal="center" vertical="center"/>
    </xf>
    <xf numFmtId="165" fontId="4" fillId="10" borderId="1" xfId="2" applyNumberFormat="1" applyFont="1" applyFill="1" applyBorder="1" applyAlignment="1">
      <alignment horizontal="center"/>
    </xf>
    <xf numFmtId="2" fontId="0" fillId="0" borderId="0" xfId="0" applyNumberFormat="1"/>
    <xf numFmtId="2" fontId="5" fillId="13" borderId="7" xfId="0" applyNumberFormat="1" applyFont="1" applyFill="1" applyBorder="1"/>
    <xf numFmtId="0" fontId="13" fillId="0" borderId="0" xfId="4"/>
    <xf numFmtId="0" fontId="0" fillId="0" borderId="0" xfId="0" applyAlignment="1">
      <alignment wrapText="1"/>
    </xf>
    <xf numFmtId="0" fontId="5" fillId="0" borderId="6" xfId="0" applyFont="1" applyBorder="1" applyAlignment="1">
      <alignment wrapText="1"/>
    </xf>
    <xf numFmtId="168" fontId="0" fillId="0" borderId="0" xfId="0" applyNumberFormat="1"/>
    <xf numFmtId="2" fontId="0" fillId="7" borderId="7" xfId="0" applyNumberFormat="1" applyFill="1" applyBorder="1"/>
    <xf numFmtId="0" fontId="0" fillId="14" borderId="0" xfId="0" applyFill="1"/>
    <xf numFmtId="1" fontId="0" fillId="0" borderId="0" xfId="0" applyNumberFormat="1"/>
    <xf numFmtId="0" fontId="0" fillId="0" borderId="0" xfId="0" applyFont="1" applyFill="1" applyAlignment="1">
      <alignment horizontal="left"/>
    </xf>
    <xf numFmtId="2" fontId="0" fillId="0" borderId="0" xfId="0" applyNumberFormat="1" applyFont="1" applyFill="1" applyAlignment="1">
      <alignment horizontal="right"/>
    </xf>
    <xf numFmtId="0" fontId="0" fillId="0" borderId="0" xfId="0" applyFill="1"/>
    <xf numFmtId="0" fontId="0" fillId="0" borderId="0" xfId="0" applyFont="1" applyFill="1"/>
    <xf numFmtId="2" fontId="15" fillId="0" borderId="1" xfId="1" applyNumberFormat="1" applyFont="1" applyFill="1" applyBorder="1" applyAlignment="1">
      <alignment horizontal="center"/>
    </xf>
    <xf numFmtId="0" fontId="1" fillId="0" borderId="0" xfId="1" applyFill="1"/>
    <xf numFmtId="2" fontId="15" fillId="9" borderId="1" xfId="1" applyNumberFormat="1" applyFont="1" applyFill="1" applyBorder="1" applyAlignment="1">
      <alignment horizontal="center"/>
    </xf>
    <xf numFmtId="0" fontId="5" fillId="0" borderId="0" xfId="0" applyFont="1" applyBorder="1"/>
    <xf numFmtId="0" fontId="0" fillId="0" borderId="0" xfId="0" applyBorder="1"/>
    <xf numFmtId="167" fontId="0" fillId="0" borderId="0" xfId="0" applyNumberFormat="1" applyFill="1" applyBorder="1"/>
    <xf numFmtId="0" fontId="0" fillId="13" borderId="7" xfId="0" applyFill="1" applyBorder="1"/>
    <xf numFmtId="0" fontId="0" fillId="10" borderId="9" xfId="0" applyFill="1" applyBorder="1"/>
    <xf numFmtId="0" fontId="0" fillId="10" borderId="1" xfId="0" applyFill="1" applyBorder="1"/>
    <xf numFmtId="0" fontId="0" fillId="2" borderId="0" xfId="1" applyFont="1" applyFill="1"/>
    <xf numFmtId="0" fontId="5" fillId="0" borderId="0" xfId="0" applyFont="1" applyAlignment="1">
      <alignment horizontal="center"/>
    </xf>
    <xf numFmtId="0" fontId="11" fillId="0" borderId="0" xfId="3" applyFont="1" applyAlignment="1">
      <alignment horizontal="center"/>
    </xf>
    <xf numFmtId="0" fontId="6" fillId="0" borderId="0" xfId="3" applyFont="1" applyAlignment="1"/>
    <xf numFmtId="164" fontId="11" fillId="0" borderId="0" xfId="3" applyNumberFormat="1" applyFont="1" applyAlignment="1">
      <alignment horizontal="center"/>
    </xf>
    <xf numFmtId="0" fontId="2" fillId="2" borderId="0" xfId="1" applyFont="1" applyFill="1" applyBorder="1" applyAlignment="1">
      <alignment horizontal="center" vertical="center"/>
    </xf>
    <xf numFmtId="2" fontId="1" fillId="2" borderId="0" xfId="1" applyNumberFormat="1" applyFill="1"/>
    <xf numFmtId="168" fontId="1" fillId="2" borderId="0" xfId="1" applyNumberFormat="1" applyFill="1"/>
    <xf numFmtId="0" fontId="0" fillId="3" borderId="0" xfId="1" applyFont="1" applyFill="1" applyBorder="1"/>
    <xf numFmtId="0" fontId="17" fillId="3" borderId="0" xfId="1" applyFont="1" applyFill="1" applyBorder="1"/>
    <xf numFmtId="0" fontId="6" fillId="0" borderId="0" xfId="3"/>
    <xf numFmtId="0" fontId="6" fillId="0" borderId="0" xfId="3" applyFill="1" applyAlignment="1">
      <alignment horizontal="center"/>
    </xf>
    <xf numFmtId="0" fontId="3" fillId="6" borderId="1" xfId="1" applyFont="1" applyFill="1" applyBorder="1" applyAlignment="1">
      <alignment horizontal="center"/>
    </xf>
    <xf numFmtId="169" fontId="1" fillId="2" borderId="0" xfId="1" applyNumberFormat="1" applyFill="1"/>
    <xf numFmtId="0" fontId="3" fillId="4" borderId="5" xfId="1" applyFont="1" applyFill="1" applyBorder="1" applyAlignment="1">
      <alignment vertical="center" wrapText="1"/>
    </xf>
    <xf numFmtId="0" fontId="3" fillId="4" borderId="5" xfId="1" applyFont="1" applyFill="1" applyBorder="1" applyAlignment="1">
      <alignment vertical="center"/>
    </xf>
    <xf numFmtId="0" fontId="3" fillId="4" borderId="1" xfId="1" applyFont="1" applyFill="1" applyBorder="1" applyAlignment="1">
      <alignment vertical="center"/>
    </xf>
    <xf numFmtId="0" fontId="3" fillId="3" borderId="1" xfId="1" applyFont="1" applyFill="1" applyBorder="1" applyAlignment="1"/>
    <xf numFmtId="0" fontId="3" fillId="6" borderId="1" xfId="1" applyFont="1" applyFill="1" applyBorder="1" applyAlignment="1"/>
    <xf numFmtId="0" fontId="3" fillId="10" borderId="1" xfId="1" applyFont="1" applyFill="1" applyBorder="1" applyAlignment="1"/>
    <xf numFmtId="2" fontId="1" fillId="2" borderId="1" xfId="1" applyNumberFormat="1" applyFill="1" applyBorder="1" applyAlignment="1">
      <alignment horizontal="center"/>
    </xf>
    <xf numFmtId="2" fontId="3" fillId="3" borderId="1" xfId="1" applyNumberFormat="1" applyFont="1" applyFill="1" applyBorder="1" applyAlignment="1">
      <alignment horizontal="center"/>
    </xf>
    <xf numFmtId="2" fontId="3" fillId="6" borderId="1" xfId="1" applyNumberFormat="1" applyFont="1" applyFill="1" applyBorder="1" applyAlignment="1">
      <alignment horizontal="center"/>
    </xf>
    <xf numFmtId="165" fontId="3" fillId="10" borderId="1" xfId="5" applyNumberFormat="1" applyFont="1" applyFill="1" applyBorder="1" applyAlignment="1">
      <alignment horizontal="center"/>
    </xf>
    <xf numFmtId="165" fontId="1" fillId="2" borderId="1" xfId="5" applyNumberFormat="1" applyFill="1" applyBorder="1" applyAlignment="1">
      <alignment horizontal="center"/>
    </xf>
    <xf numFmtId="165" fontId="1" fillId="15" borderId="1" xfId="6" applyNumberFormat="1" applyBorder="1" applyAlignment="1">
      <alignment horizontal="center"/>
    </xf>
    <xf numFmtId="0" fontId="5" fillId="0" borderId="0" xfId="0" applyFont="1" applyAlignment="1">
      <alignment horizontal="center"/>
    </xf>
    <xf numFmtId="0" fontId="16" fillId="0" borderId="0" xfId="0" applyFont="1" applyAlignment="1">
      <alignment horizontal="center"/>
    </xf>
    <xf numFmtId="0" fontId="11" fillId="0" borderId="0" xfId="3" applyFont="1" applyAlignment="1">
      <alignment horizontal="center"/>
    </xf>
    <xf numFmtId="0" fontId="6" fillId="0" borderId="0" xfId="3" applyFont="1" applyAlignment="1"/>
    <xf numFmtId="164" fontId="11" fillId="0" borderId="0" xfId="3" applyNumberFormat="1" applyFont="1" applyAlignment="1">
      <alignment horizontal="center"/>
    </xf>
    <xf numFmtId="164" fontId="12" fillId="0" borderId="0" xfId="3" applyNumberFormat="1" applyFont="1" applyAlignment="1">
      <alignment horizontal="left"/>
    </xf>
    <xf numFmtId="0" fontId="4" fillId="0" borderId="11" xfId="1" applyFont="1" applyBorder="1" applyAlignment="1">
      <alignment horizontal="center"/>
    </xf>
    <xf numFmtId="0" fontId="4" fillId="0" borderId="2" xfId="1" applyFont="1" applyBorder="1" applyAlignment="1">
      <alignment horizontal="center"/>
    </xf>
    <xf numFmtId="0" fontId="4" fillId="0" borderId="3" xfId="1" applyFont="1" applyBorder="1" applyAlignment="1">
      <alignment horizontal="center"/>
    </xf>
    <xf numFmtId="0" fontId="4" fillId="0" borderId="12" xfId="1" applyFont="1" applyBorder="1" applyAlignment="1">
      <alignment horizontal="center"/>
    </xf>
    <xf numFmtId="0" fontId="4" fillId="0" borderId="0" xfId="1" applyFont="1" applyBorder="1" applyAlignment="1">
      <alignment horizontal="center"/>
    </xf>
    <xf numFmtId="0" fontId="4" fillId="0" borderId="4" xfId="1" applyFont="1" applyBorder="1" applyAlignment="1">
      <alignment horizontal="center"/>
    </xf>
    <xf numFmtId="0" fontId="4" fillId="0" borderId="13" xfId="1" applyFont="1" applyBorder="1" applyAlignment="1">
      <alignment horizontal="center"/>
    </xf>
    <xf numFmtId="0" fontId="4" fillId="0" borderId="14" xfId="1" applyFont="1" applyBorder="1" applyAlignment="1">
      <alignment horizontal="center"/>
    </xf>
    <xf numFmtId="0" fontId="4" fillId="0" borderId="10" xfId="1" applyFont="1" applyBorder="1" applyAlignment="1">
      <alignment horizontal="center"/>
    </xf>
    <xf numFmtId="0" fontId="3" fillId="3" borderId="1" xfId="1" applyFont="1" applyFill="1" applyBorder="1" applyAlignment="1">
      <alignment horizontal="center"/>
    </xf>
    <xf numFmtId="0" fontId="3" fillId="6" borderId="1" xfId="1" applyFont="1" applyFill="1" applyBorder="1" applyAlignment="1">
      <alignment horizontal="center"/>
    </xf>
    <xf numFmtId="0" fontId="3" fillId="10" borderId="1" xfId="1" applyFont="1" applyFill="1" applyBorder="1" applyAlignment="1">
      <alignment horizontal="center"/>
    </xf>
    <xf numFmtId="0" fontId="3" fillId="4" borderId="5" xfId="1" applyFont="1" applyFill="1" applyBorder="1" applyAlignment="1">
      <alignment horizontal="center" vertical="center"/>
    </xf>
    <xf numFmtId="0" fontId="3" fillId="4" borderId="8" xfId="1" applyFont="1" applyFill="1" applyBorder="1" applyAlignment="1">
      <alignment horizontal="center" vertical="center"/>
    </xf>
    <xf numFmtId="0" fontId="3" fillId="4" borderId="9" xfId="1" applyFont="1" applyFill="1" applyBorder="1" applyAlignment="1">
      <alignment horizontal="center" vertical="center"/>
    </xf>
    <xf numFmtId="0" fontId="3" fillId="6" borderId="1" xfId="1" applyFont="1" applyFill="1" applyBorder="1" applyAlignment="1">
      <alignment horizontal="right"/>
    </xf>
    <xf numFmtId="0" fontId="3" fillId="4" borderId="1" xfId="1" applyFont="1" applyFill="1" applyBorder="1" applyAlignment="1">
      <alignment horizontal="center" vertical="center"/>
    </xf>
    <xf numFmtId="0" fontId="2" fillId="2" borderId="0" xfId="1" applyFont="1" applyFill="1" applyAlignment="1">
      <alignment horizontal="left" vertical="center"/>
    </xf>
    <xf numFmtId="0" fontId="2" fillId="2" borderId="0" xfId="1" applyFont="1" applyFill="1" applyBorder="1" applyAlignment="1">
      <alignment horizontal="left" vertical="center"/>
    </xf>
    <xf numFmtId="0" fontId="3" fillId="4" borderId="5" xfId="1" applyFont="1" applyFill="1" applyBorder="1" applyAlignment="1">
      <alignment horizontal="center" vertical="center" wrapText="1"/>
    </xf>
    <xf numFmtId="0" fontId="3" fillId="4" borderId="8" xfId="1" applyFont="1" applyFill="1" applyBorder="1" applyAlignment="1">
      <alignment horizontal="center" vertical="center" wrapText="1"/>
    </xf>
    <xf numFmtId="0" fontId="3" fillId="4" borderId="9" xfId="1" applyFont="1" applyFill="1" applyBorder="1" applyAlignment="1">
      <alignment horizontal="center" vertical="center" wrapText="1"/>
    </xf>
    <xf numFmtId="0" fontId="2" fillId="2" borderId="0" xfId="1" applyFont="1" applyFill="1" applyBorder="1" applyAlignment="1">
      <alignment horizontal="center" vertical="center"/>
    </xf>
  </cellXfs>
  <cellStyles count="7">
    <cellStyle name="60% - Accent3" xfId="6" builtinId="40"/>
    <cellStyle name="Hyperlink" xfId="4" builtinId="8"/>
    <cellStyle name="Normal" xfId="0" builtinId="0"/>
    <cellStyle name="Normal 2" xfId="3"/>
    <cellStyle name="Normal 4" xfId="1"/>
    <cellStyle name="Percent" xfId="5" builtinId="5"/>
    <cellStyle name="Percent 3"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990600</xdr:colOff>
      <xdr:row>0</xdr:row>
      <xdr:rowOff>504825</xdr:rowOff>
    </xdr:to>
    <xdr:pic>
      <xdr:nvPicPr>
        <xdr:cNvPr id="2" name="image00.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2179320" cy="169545"/>
        </a:xfrm>
        <a:prstGeom prst="rect">
          <a:avLst/>
        </a:prstGeom>
        <a:noFill/>
      </xdr:spPr>
    </xdr:pic>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dminmailutoronto-my.sharepoint.com/Users/user/Desktop/Zeping%20Rocketry%202016%20-%202017%20Plann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Assignment Oct 16"/>
      <sheetName val="General Schedule Oct 16"/>
      <sheetName val="Budget  Oct 01"/>
      <sheetName val="Mass Budget"/>
      <sheetName val="Static Stability "/>
      <sheetName val="Fd to Cd"/>
    </sheetNames>
    <sheetDataSet>
      <sheetData sheetId="0"/>
      <sheetData sheetId="1">
        <row r="3">
          <cell r="O3">
            <v>15</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35"/>
  <sheetViews>
    <sheetView tabSelected="1" topLeftCell="G1" workbookViewId="0">
      <selection activeCell="M14" sqref="M14"/>
    </sheetView>
  </sheetViews>
  <sheetFormatPr defaultRowHeight="15" x14ac:dyDescent="0.25"/>
  <cols>
    <col min="1" max="1" width="1.7109375" customWidth="1"/>
    <col min="2" max="2" width="22.42578125" customWidth="1"/>
    <col min="3" max="3" width="11.85546875" customWidth="1"/>
    <col min="4" max="4" width="67.28515625" customWidth="1"/>
    <col min="5" max="5" width="1.85546875" customWidth="1"/>
    <col min="6" max="6" width="2" customWidth="1"/>
    <col min="7" max="7" width="21.85546875" customWidth="1"/>
    <col min="8" max="8" width="13.7109375" customWidth="1"/>
    <col min="9" max="9" width="63.85546875" customWidth="1"/>
    <col min="10" max="10" width="2.28515625" customWidth="1"/>
    <col min="11" max="11" width="2.140625" customWidth="1"/>
    <col min="12" max="12" width="25.5703125" customWidth="1"/>
    <col min="13" max="13" width="17.7109375" customWidth="1"/>
    <col min="14" max="14" width="51.140625" customWidth="1"/>
    <col min="15" max="16" width="1.42578125" customWidth="1"/>
    <col min="17" max="17" width="34" customWidth="1"/>
    <col min="18" max="18" width="14.85546875" customWidth="1"/>
    <col min="19" max="19" width="63.140625" customWidth="1"/>
    <col min="20" max="20" width="2" customWidth="1"/>
    <col min="21" max="21" width="1.85546875" customWidth="1"/>
    <col min="22" max="22" width="25.28515625" customWidth="1"/>
    <col min="23" max="23" width="18.42578125" customWidth="1"/>
    <col min="24" max="24" width="53.85546875" customWidth="1"/>
  </cols>
  <sheetData>
    <row r="1" spans="2:24" s="59" customFormat="1" ht="6.75" customHeight="1" x14ac:dyDescent="0.25"/>
    <row r="2" spans="2:24" ht="23.25" x14ac:dyDescent="0.35">
      <c r="B2" s="101" t="s">
        <v>25</v>
      </c>
      <c r="C2" s="101"/>
      <c r="D2" s="101"/>
      <c r="G2" s="101" t="s">
        <v>26</v>
      </c>
      <c r="H2" s="101"/>
      <c r="I2" s="101"/>
      <c r="L2" s="101" t="s">
        <v>27</v>
      </c>
      <c r="M2" s="101"/>
      <c r="N2" s="101"/>
      <c r="Q2" s="101" t="s">
        <v>28</v>
      </c>
      <c r="R2" s="101"/>
      <c r="S2" s="101"/>
      <c r="V2" s="101" t="s">
        <v>29</v>
      </c>
      <c r="W2" s="101"/>
      <c r="X2" s="101"/>
    </row>
    <row r="3" spans="2:24" x14ac:dyDescent="0.25">
      <c r="B3" s="100" t="s">
        <v>30</v>
      </c>
      <c r="C3" s="100"/>
      <c r="D3" s="75" t="s">
        <v>1</v>
      </c>
      <c r="G3" s="100" t="s">
        <v>30</v>
      </c>
      <c r="H3" s="100"/>
      <c r="I3" s="17" t="s">
        <v>1</v>
      </c>
      <c r="L3" s="100" t="s">
        <v>30</v>
      </c>
      <c r="M3" s="100"/>
      <c r="N3" s="75" t="s">
        <v>1</v>
      </c>
      <c r="Q3" s="100" t="s">
        <v>30</v>
      </c>
      <c r="R3" s="100"/>
      <c r="S3" s="75" t="s">
        <v>1</v>
      </c>
      <c r="V3" s="100" t="s">
        <v>30</v>
      </c>
      <c r="W3" s="100"/>
      <c r="X3" s="75" t="s">
        <v>1</v>
      </c>
    </row>
    <row r="4" spans="2:24" x14ac:dyDescent="0.25">
      <c r="B4" t="s">
        <v>31</v>
      </c>
      <c r="C4">
        <f>Inputs!C3</f>
        <v>5.5629999999999997</v>
      </c>
      <c r="G4" t="s">
        <v>10</v>
      </c>
      <c r="H4" s="52">
        <f>Inputs!C7</f>
        <v>2.9211</v>
      </c>
      <c r="L4" t="s">
        <v>31</v>
      </c>
      <c r="M4">
        <f>Inputs!C3</f>
        <v>5.5629999999999997</v>
      </c>
      <c r="Q4" t="s">
        <v>31</v>
      </c>
      <c r="R4">
        <f>Inputs!C3</f>
        <v>5.5629999999999997</v>
      </c>
      <c r="V4" t="s">
        <v>31</v>
      </c>
      <c r="W4">
        <f>Inputs!C3</f>
        <v>5.5629999999999997</v>
      </c>
    </row>
    <row r="5" spans="2:24" x14ac:dyDescent="0.25">
      <c r="B5" t="s">
        <v>6</v>
      </c>
      <c r="C5">
        <f>Inputs!C5</f>
        <v>30.25</v>
      </c>
      <c r="G5" t="s">
        <v>6</v>
      </c>
      <c r="H5">
        <f>Inputs!C5</f>
        <v>30.25</v>
      </c>
      <c r="V5" t="s">
        <v>14</v>
      </c>
      <c r="W5">
        <v>0.2</v>
      </c>
      <c r="X5" t="s">
        <v>32</v>
      </c>
    </row>
    <row r="6" spans="2:24" x14ac:dyDescent="0.25">
      <c r="B6" t="s">
        <v>8</v>
      </c>
      <c r="C6">
        <f>Inputs!C6</f>
        <v>4.5</v>
      </c>
      <c r="G6" t="s">
        <v>8</v>
      </c>
      <c r="H6">
        <f>Inputs!C6</f>
        <v>4.5</v>
      </c>
    </row>
    <row r="7" spans="2:24" x14ac:dyDescent="0.25">
      <c r="B7" t="s">
        <v>12</v>
      </c>
      <c r="C7">
        <f>Inputs!C8</f>
        <v>700</v>
      </c>
      <c r="G7" t="s">
        <v>33</v>
      </c>
      <c r="H7" s="34">
        <f>Inputs!C9</f>
        <v>0.3</v>
      </c>
      <c r="L7" s="100" t="s">
        <v>34</v>
      </c>
      <c r="M7" s="100"/>
      <c r="Q7" s="100" t="s">
        <v>34</v>
      </c>
      <c r="R7" s="100"/>
      <c r="V7" s="100" t="s">
        <v>34</v>
      </c>
      <c r="W7" s="100"/>
    </row>
    <row r="8" spans="2:24" x14ac:dyDescent="0.25">
      <c r="L8" t="s">
        <v>35</v>
      </c>
      <c r="M8" s="57">
        <f>'Mass Calculations'!I7/(PI()*Inputs!C12*Inputs!C14)</f>
        <v>2.9625736325473127E-3</v>
      </c>
      <c r="N8" t="s">
        <v>36</v>
      </c>
      <c r="Q8" t="s">
        <v>37</v>
      </c>
      <c r="R8" s="52">
        <f>R4*(Inputs!C15/Inputs!C12)</f>
        <v>14</v>
      </c>
      <c r="S8" t="s">
        <v>38</v>
      </c>
      <c r="V8" t="s">
        <v>39</v>
      </c>
      <c r="W8" s="52">
        <f>H23</f>
        <v>41.295532706731677</v>
      </c>
      <c r="X8" t="s">
        <v>40</v>
      </c>
    </row>
    <row r="9" spans="2:24" x14ac:dyDescent="0.25">
      <c r="R9" s="60"/>
      <c r="S9" s="55"/>
      <c r="V9" t="s">
        <v>41</v>
      </c>
      <c r="W9" s="52">
        <f>PI()*Inputs!C14*(Inputs!C12^2/4-((Inputs!C12/2-W5)^2))</f>
        <v>71.740322846318392</v>
      </c>
    </row>
    <row r="10" spans="2:24" x14ac:dyDescent="0.25">
      <c r="B10" s="100" t="s">
        <v>34</v>
      </c>
      <c r="C10" s="100"/>
      <c r="G10" s="100" t="s">
        <v>34</v>
      </c>
      <c r="H10" s="100"/>
      <c r="R10" s="52"/>
      <c r="V10" t="s">
        <v>42</v>
      </c>
      <c r="W10" s="52">
        <f>'Mass Calculations'!I43/W9</f>
        <v>9.67687619289615E-2</v>
      </c>
    </row>
    <row r="11" spans="2:24" x14ac:dyDescent="0.25">
      <c r="B11" s="75"/>
      <c r="C11" s="75"/>
      <c r="G11" s="75"/>
      <c r="H11" s="75"/>
      <c r="Q11" s="100" t="s">
        <v>43</v>
      </c>
      <c r="R11" s="100"/>
    </row>
    <row r="12" spans="2:24" ht="30" x14ac:dyDescent="0.25">
      <c r="B12" t="s">
        <v>44</v>
      </c>
      <c r="C12">
        <v>9.8000000000000004E-2</v>
      </c>
      <c r="D12" t="s">
        <v>45</v>
      </c>
      <c r="G12" s="33" t="s">
        <v>46</v>
      </c>
      <c r="H12">
        <f>INDEX('Pipe Properties'!C3:C6,MATCH(Inputs!C3,'Pipe Properties'!C3:C6,TRUE),1)</f>
        <v>5.5629999999999997</v>
      </c>
      <c r="I12" s="55" t="s">
        <v>47</v>
      </c>
      <c r="L12" s="100" t="s">
        <v>43</v>
      </c>
      <c r="M12" s="100"/>
      <c r="Q12" s="36" t="s">
        <v>48</v>
      </c>
      <c r="R12" s="71">
        <f>'Mass Calculations'!I9*(R4/Inputs!C12)*((R8/Inputs!C15)^(1/2))</f>
        <v>0.32750000000000001</v>
      </c>
      <c r="S12" t="s">
        <v>49</v>
      </c>
    </row>
    <row r="13" spans="2:24" x14ac:dyDescent="0.25">
      <c r="B13" t="s">
        <v>50</v>
      </c>
      <c r="C13">
        <f>VLOOKUP(C4,'Pipe Properties'!C3:D6,2,TRUE)</f>
        <v>0.13400000000000001</v>
      </c>
      <c r="D13" t="s">
        <v>51</v>
      </c>
      <c r="G13" s="37" t="s">
        <v>44</v>
      </c>
      <c r="H13" s="38">
        <v>9.8000000000000004E-2</v>
      </c>
      <c r="I13" t="s">
        <v>45</v>
      </c>
      <c r="L13" t="s">
        <v>52</v>
      </c>
      <c r="M13" s="52">
        <f>PI()*M4*(H23)</f>
        <v>721.70880773368424</v>
      </c>
      <c r="V13" s="100" t="s">
        <v>43</v>
      </c>
      <c r="W13" s="100"/>
    </row>
    <row r="14" spans="2:24" x14ac:dyDescent="0.25">
      <c r="B14" t="s">
        <v>53</v>
      </c>
      <c r="C14">
        <f>VLOOKUP(C7,'N2O Properties'!D6:E261,2,TRUE)</f>
        <v>803.53499999999997</v>
      </c>
      <c r="D14" t="s">
        <v>54</v>
      </c>
      <c r="G14" t="s">
        <v>55</v>
      </c>
      <c r="H14">
        <v>950</v>
      </c>
      <c r="L14" s="36" t="s">
        <v>56</v>
      </c>
      <c r="M14" s="58">
        <f>M13*M8</f>
        <v>2.1381154841689711</v>
      </c>
      <c r="N14" t="s">
        <v>198</v>
      </c>
      <c r="R14" s="60"/>
      <c r="S14" s="55"/>
      <c r="V14" t="s">
        <v>57</v>
      </c>
      <c r="W14" s="52">
        <f>PI()*W8*(W4^2/4-((W4/2-W5)^2))</f>
        <v>139.15241185963509</v>
      </c>
    </row>
    <row r="15" spans="2:24" x14ac:dyDescent="0.25">
      <c r="G15" t="s">
        <v>50</v>
      </c>
      <c r="H15">
        <f>VLOOKUP(H12,'Pipe Properties'!C3:D6,2,TRUE)</f>
        <v>0.13400000000000001</v>
      </c>
      <c r="I15" t="s">
        <v>51</v>
      </c>
      <c r="Q15" s="68"/>
      <c r="R15" s="70"/>
      <c r="S15" s="69"/>
      <c r="V15" s="36" t="s">
        <v>58</v>
      </c>
      <c r="W15" s="58">
        <f>W10*W14</f>
        <v>13.465606615085827</v>
      </c>
    </row>
    <row r="16" spans="2:24" x14ac:dyDescent="0.25">
      <c r="Q16" s="69"/>
      <c r="R16" s="69"/>
      <c r="S16" s="69"/>
    </row>
    <row r="17" spans="2:9" x14ac:dyDescent="0.25">
      <c r="B17" s="100" t="s">
        <v>59</v>
      </c>
      <c r="C17" s="100"/>
    </row>
    <row r="18" spans="2:9" x14ac:dyDescent="0.25">
      <c r="B18" t="s">
        <v>60</v>
      </c>
      <c r="C18" s="52">
        <f>C5/(1+(1/C6))</f>
        <v>24.749999999999996</v>
      </c>
      <c r="D18" t="s">
        <v>61</v>
      </c>
      <c r="G18" s="100" t="s">
        <v>62</v>
      </c>
      <c r="H18" s="100"/>
    </row>
    <row r="19" spans="2:9" x14ac:dyDescent="0.25">
      <c r="B19" t="s">
        <v>63</v>
      </c>
      <c r="C19" s="52">
        <f>C18/C14*1.1</f>
        <v>3.3881535962963651E-2</v>
      </c>
      <c r="G19" t="s">
        <v>64</v>
      </c>
      <c r="H19">
        <f>((H12/2)-H15-H7)*2</f>
        <v>4.6950000000000003</v>
      </c>
    </row>
    <row r="20" spans="2:9" x14ac:dyDescent="0.25">
      <c r="B20" t="s">
        <v>65</v>
      </c>
      <c r="C20" s="52">
        <f>C19*61023.7</f>
        <v>2067.5766861431048</v>
      </c>
      <c r="G20" t="s">
        <v>66</v>
      </c>
      <c r="H20" s="52">
        <f>H5/(1+H6)</f>
        <v>5.5</v>
      </c>
      <c r="I20" t="s">
        <v>61</v>
      </c>
    </row>
    <row r="21" spans="2:9" x14ac:dyDescent="0.25">
      <c r="B21" t="s">
        <v>67</v>
      </c>
      <c r="C21" s="52">
        <f>C20/(PI()*((C4/2)-C13)^2)</f>
        <v>93.894427050298063</v>
      </c>
      <c r="G21" t="s">
        <v>68</v>
      </c>
      <c r="H21" s="52">
        <f>(H20/H14)</f>
        <v>5.7894736842105266E-3</v>
      </c>
    </row>
    <row r="22" spans="2:9" x14ac:dyDescent="0.25">
      <c r="G22" t="s">
        <v>69</v>
      </c>
      <c r="H22" s="52">
        <f>H21*61023.7</f>
        <v>353.29510526315789</v>
      </c>
    </row>
    <row r="23" spans="2:9" x14ac:dyDescent="0.25">
      <c r="G23" t="s">
        <v>39</v>
      </c>
      <c r="H23" s="52">
        <f>H22/(PI()*((H19/2)^2 - (H4/2)^2))+8</f>
        <v>41.295532706731677</v>
      </c>
      <c r="I23" t="s">
        <v>196</v>
      </c>
    </row>
    <row r="24" spans="2:9" x14ac:dyDescent="0.25">
      <c r="B24" s="100" t="s">
        <v>70</v>
      </c>
      <c r="C24" s="100"/>
      <c r="H24" s="52"/>
    </row>
    <row r="25" spans="2:9" x14ac:dyDescent="0.25">
      <c r="B25" t="s">
        <v>71</v>
      </c>
      <c r="C25">
        <f>4.0469/2</f>
        <v>2.02345</v>
      </c>
    </row>
    <row r="26" spans="2:9" x14ac:dyDescent="0.25">
      <c r="B26" t="s">
        <v>72</v>
      </c>
      <c r="C26" s="52">
        <f>(C4^2)*PI()/4</f>
        <v>24.305692615317763</v>
      </c>
      <c r="G26" s="100" t="s">
        <v>73</v>
      </c>
      <c r="H26" s="100"/>
    </row>
    <row r="27" spans="2:9" ht="45" x14ac:dyDescent="0.25">
      <c r="B27" t="s">
        <v>74</v>
      </c>
      <c r="C27" s="52">
        <f>0.319307913698741/2</f>
        <v>0.1596539568493705</v>
      </c>
      <c r="D27" s="55" t="s">
        <v>75</v>
      </c>
      <c r="G27" t="s">
        <v>76</v>
      </c>
      <c r="H27" s="52">
        <f>(((H12/2)^2)*PI() - (((H12/2)-H15)^2)*PI())</f>
        <v>2.2854646731894199</v>
      </c>
      <c r="I27" t="s">
        <v>77</v>
      </c>
    </row>
    <row r="28" spans="2:9" x14ac:dyDescent="0.25">
      <c r="B28" t="s">
        <v>78</v>
      </c>
      <c r="C28" s="52">
        <f>C26*C27</f>
        <v>3.8805000000000054</v>
      </c>
      <c r="G28" t="s">
        <v>79</v>
      </c>
      <c r="H28" s="52">
        <f>H27*H23*H13</f>
        <v>9.2491891538538038</v>
      </c>
      <c r="I28" t="s">
        <v>80</v>
      </c>
    </row>
    <row r="30" spans="2:9" x14ac:dyDescent="0.25">
      <c r="B30" s="100" t="s">
        <v>73</v>
      </c>
      <c r="C30" s="100"/>
    </row>
    <row r="31" spans="2:9" ht="30" x14ac:dyDescent="0.25">
      <c r="B31" t="s">
        <v>76</v>
      </c>
      <c r="C31">
        <f>(((C4/2)^2)*PI() - (((C4/2)-C13)^2)*PI())</f>
        <v>2.2854646731894199</v>
      </c>
      <c r="D31" t="s">
        <v>77</v>
      </c>
      <c r="G31" s="56" t="s">
        <v>81</v>
      </c>
      <c r="H31" s="58">
        <f>H28</f>
        <v>9.2491891538538038</v>
      </c>
    </row>
    <row r="32" spans="2:9" x14ac:dyDescent="0.25">
      <c r="B32" t="s">
        <v>79</v>
      </c>
      <c r="C32">
        <f>C31*C21*C12</f>
        <v>21.030054811216097</v>
      </c>
      <c r="D32" t="s">
        <v>80</v>
      </c>
    </row>
    <row r="35" spans="2:3" ht="30" x14ac:dyDescent="0.25">
      <c r="B35" s="56" t="s">
        <v>82</v>
      </c>
      <c r="C35" s="58">
        <f>C32+2*C28</f>
        <v>28.791054811216107</v>
      </c>
    </row>
  </sheetData>
  <mergeCells count="23">
    <mergeCell ref="B30:C30"/>
    <mergeCell ref="G26:H26"/>
    <mergeCell ref="G3:H3"/>
    <mergeCell ref="G18:H18"/>
    <mergeCell ref="B2:D2"/>
    <mergeCell ref="G2:I2"/>
    <mergeCell ref="B3:C3"/>
    <mergeCell ref="B17:C17"/>
    <mergeCell ref="B10:C10"/>
    <mergeCell ref="B24:C24"/>
    <mergeCell ref="L2:N2"/>
    <mergeCell ref="L3:M3"/>
    <mergeCell ref="L7:M7"/>
    <mergeCell ref="L12:M12"/>
    <mergeCell ref="G10:H10"/>
    <mergeCell ref="V13:W13"/>
    <mergeCell ref="Q2:S2"/>
    <mergeCell ref="Q3:R3"/>
    <mergeCell ref="Q7:R7"/>
    <mergeCell ref="Q11:R11"/>
    <mergeCell ref="V2:X2"/>
    <mergeCell ref="V3:W3"/>
    <mergeCell ref="V7:W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1"/>
  <sheetViews>
    <sheetView workbookViewId="0">
      <selection activeCell="C3" sqref="C3"/>
    </sheetView>
  </sheetViews>
  <sheetFormatPr defaultRowHeight="15" x14ac:dyDescent="0.25"/>
  <cols>
    <col min="1" max="1" width="1.42578125" customWidth="1"/>
    <col min="2" max="2" width="26.28515625" customWidth="1"/>
    <col min="3" max="3" width="23.42578125" customWidth="1"/>
    <col min="4" max="4" width="1.5703125" customWidth="1"/>
    <col min="5" max="5" width="39.42578125" customWidth="1"/>
  </cols>
  <sheetData>
    <row r="1" spans="2:5" s="42" customFormat="1" ht="7.5" customHeight="1" x14ac:dyDescent="0.25"/>
    <row r="2" spans="2:5" x14ac:dyDescent="0.25">
      <c r="B2" s="100" t="s">
        <v>0</v>
      </c>
      <c r="C2" s="100"/>
      <c r="D2" s="75"/>
      <c r="E2" s="75" t="s">
        <v>1</v>
      </c>
    </row>
    <row r="3" spans="2:5" x14ac:dyDescent="0.25">
      <c r="B3" t="s">
        <v>2</v>
      </c>
      <c r="C3" s="73">
        <v>5.5629999999999997</v>
      </c>
      <c r="E3" t="s">
        <v>3</v>
      </c>
    </row>
    <row r="4" spans="2:5" x14ac:dyDescent="0.25">
      <c r="B4" t="s">
        <v>4</v>
      </c>
      <c r="C4" s="72">
        <v>5.5</v>
      </c>
      <c r="E4" t="s">
        <v>5</v>
      </c>
    </row>
    <row r="5" spans="2:5" x14ac:dyDescent="0.25">
      <c r="B5" t="s">
        <v>6</v>
      </c>
      <c r="C5">
        <f>C4*(1+C6)</f>
        <v>30.25</v>
      </c>
      <c r="E5" t="s">
        <v>7</v>
      </c>
    </row>
    <row r="6" spans="2:5" x14ac:dyDescent="0.25">
      <c r="B6" t="s">
        <v>8</v>
      </c>
      <c r="C6" s="84">
        <v>4.5</v>
      </c>
      <c r="E6" t="s">
        <v>9</v>
      </c>
    </row>
    <row r="7" spans="2:5" x14ac:dyDescent="0.25">
      <c r="B7" t="s">
        <v>10</v>
      </c>
      <c r="C7" s="72">
        <v>2.9211</v>
      </c>
      <c r="E7" t="s">
        <v>11</v>
      </c>
    </row>
    <row r="8" spans="2:5" x14ac:dyDescent="0.25">
      <c r="B8" t="s">
        <v>12</v>
      </c>
      <c r="C8">
        <v>700</v>
      </c>
      <c r="E8" t="s">
        <v>13</v>
      </c>
    </row>
    <row r="9" spans="2:5" x14ac:dyDescent="0.25">
      <c r="B9" t="s">
        <v>14</v>
      </c>
      <c r="C9" s="34">
        <v>0.3</v>
      </c>
      <c r="D9" s="34"/>
      <c r="E9" t="s">
        <v>15</v>
      </c>
    </row>
    <row r="11" spans="2:5" x14ac:dyDescent="0.25">
      <c r="B11" s="100" t="s">
        <v>16</v>
      </c>
      <c r="C11" s="100"/>
    </row>
    <row r="12" spans="2:5" x14ac:dyDescent="0.25">
      <c r="B12" t="s">
        <v>17</v>
      </c>
      <c r="C12">
        <v>5.5629999999999997</v>
      </c>
    </row>
    <row r="13" spans="2:5" x14ac:dyDescent="0.25">
      <c r="B13" t="s">
        <v>18</v>
      </c>
      <c r="C13" s="52">
        <v>114.6</v>
      </c>
    </row>
    <row r="14" spans="2:5" x14ac:dyDescent="0.25">
      <c r="B14" t="s">
        <v>19</v>
      </c>
      <c r="C14">
        <v>21.29</v>
      </c>
    </row>
    <row r="15" spans="2:5" x14ac:dyDescent="0.25">
      <c r="B15" t="s">
        <v>20</v>
      </c>
      <c r="C15" s="52">
        <v>14</v>
      </c>
    </row>
    <row r="16" spans="2:5" x14ac:dyDescent="0.25">
      <c r="B16" t="s">
        <v>21</v>
      </c>
      <c r="C16">
        <v>10.96</v>
      </c>
      <c r="E16" t="s">
        <v>22</v>
      </c>
    </row>
    <row r="17" spans="2:5" x14ac:dyDescent="0.25">
      <c r="B17" t="s">
        <v>23</v>
      </c>
      <c r="C17" s="52">
        <f>Inputs!C13*0.18</f>
        <v>20.627999999999997</v>
      </c>
      <c r="E17" t="s">
        <v>22</v>
      </c>
    </row>
    <row r="18" spans="2:5" x14ac:dyDescent="0.25">
      <c r="B18" t="s">
        <v>24</v>
      </c>
      <c r="C18" s="52">
        <f>Inputs!C13*0.05</f>
        <v>5.73</v>
      </c>
      <c r="E18" t="s">
        <v>22</v>
      </c>
    </row>
    <row r="21" spans="2:5" x14ac:dyDescent="0.25">
      <c r="B21" s="54"/>
    </row>
  </sheetData>
  <mergeCells count="2">
    <mergeCell ref="B2:C2"/>
    <mergeCell ref="B11:C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1"/>
  <sheetViews>
    <sheetView topLeftCell="C1" workbookViewId="0">
      <selection activeCell="E22" sqref="E22"/>
    </sheetView>
  </sheetViews>
  <sheetFormatPr defaultRowHeight="15" x14ac:dyDescent="0.25"/>
  <cols>
    <col min="1" max="1" width="1.42578125" customWidth="1"/>
    <col min="2" max="2" width="23" customWidth="1"/>
    <col min="3" max="3" width="10.7109375" customWidth="1"/>
    <col min="4" max="4" width="1.42578125" customWidth="1"/>
    <col min="5" max="5" width="92.42578125" customWidth="1"/>
  </cols>
  <sheetData>
    <row r="1" spans="2:6" s="35" customFormat="1" ht="7.5" customHeight="1" x14ac:dyDescent="0.25"/>
    <row r="2" spans="2:6" x14ac:dyDescent="0.25">
      <c r="B2" s="100" t="s">
        <v>83</v>
      </c>
      <c r="C2" s="100"/>
      <c r="E2" s="17" t="s">
        <v>84</v>
      </c>
    </row>
    <row r="3" spans="2:6" x14ac:dyDescent="0.25">
      <c r="B3" s="61" t="s">
        <v>85</v>
      </c>
      <c r="C3" s="62">
        <f>'Scaling Calculations'!R8</f>
        <v>14</v>
      </c>
      <c r="D3" s="63"/>
      <c r="E3" s="64" t="s">
        <v>86</v>
      </c>
      <c r="F3">
        <f t="shared" ref="F3:F9" si="0">CONVERT(C3,"in","m")</f>
        <v>0.35560000000000003</v>
      </c>
    </row>
    <row r="4" spans="2:6" x14ac:dyDescent="0.25">
      <c r="B4" t="s">
        <v>87</v>
      </c>
      <c r="C4" s="52">
        <f>Inputs!C17*((Inputs!C12)^2/(Inputs!C3)^2)</f>
        <v>20.627999999999997</v>
      </c>
      <c r="E4" t="s">
        <v>88</v>
      </c>
      <c r="F4">
        <f t="shared" si="0"/>
        <v>0.52395119999999995</v>
      </c>
    </row>
    <row r="5" spans="2:6" x14ac:dyDescent="0.25">
      <c r="B5" t="s">
        <v>89</v>
      </c>
      <c r="C5" s="52">
        <f>Inputs!C16</f>
        <v>10.96</v>
      </c>
      <c r="E5" t="s">
        <v>90</v>
      </c>
      <c r="F5">
        <f t="shared" si="0"/>
        <v>0.27838400000000002</v>
      </c>
    </row>
    <row r="6" spans="2:6" x14ac:dyDescent="0.25">
      <c r="B6" t="s">
        <v>91</v>
      </c>
      <c r="C6" s="52">
        <f>'Scaling Calculations'!C21+'Scaling Calculations'!C25*2</f>
        <v>97.941327050298057</v>
      </c>
      <c r="D6" s="52"/>
      <c r="E6" t="s">
        <v>92</v>
      </c>
      <c r="F6">
        <f t="shared" si="0"/>
        <v>2.4877097070775709</v>
      </c>
    </row>
    <row r="7" spans="2:6" x14ac:dyDescent="0.25">
      <c r="B7" t="s">
        <v>197</v>
      </c>
      <c r="C7" s="52">
        <f>'Scaling Calculations'!H23</f>
        <v>41.295532706731677</v>
      </c>
      <c r="D7" s="52"/>
      <c r="E7" t="s">
        <v>92</v>
      </c>
      <c r="F7">
        <f t="shared" si="0"/>
        <v>1.0489065307509846</v>
      </c>
    </row>
    <row r="8" spans="2:6" x14ac:dyDescent="0.25">
      <c r="B8" t="s">
        <v>94</v>
      </c>
      <c r="C8" s="52">
        <f>Inputs!C18</f>
        <v>5.73</v>
      </c>
      <c r="E8" t="s">
        <v>90</v>
      </c>
      <c r="F8">
        <f t="shared" si="0"/>
        <v>0.145542</v>
      </c>
    </row>
    <row r="9" spans="2:6" x14ac:dyDescent="0.25">
      <c r="B9" t="s">
        <v>95</v>
      </c>
      <c r="C9">
        <v>5</v>
      </c>
      <c r="E9" t="s">
        <v>96</v>
      </c>
      <c r="F9">
        <f t="shared" si="0"/>
        <v>0.127</v>
      </c>
    </row>
    <row r="11" spans="2:6" x14ac:dyDescent="0.25">
      <c r="B11" s="36" t="s">
        <v>97</v>
      </c>
      <c r="C11" s="53">
        <f>SUM(C3:C9)</f>
        <v>195.55485975702973</v>
      </c>
      <c r="F11">
        <f>CONVERT(C11,"in","m")</f>
        <v>4.9670934378285549</v>
      </c>
    </row>
  </sheetData>
  <mergeCells count="1">
    <mergeCell ref="B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workbookViewId="0">
      <selection activeCell="F12" sqref="F12"/>
    </sheetView>
  </sheetViews>
  <sheetFormatPr defaultRowHeight="15" x14ac:dyDescent="0.25"/>
  <cols>
    <col min="1" max="1" width="1.85546875" customWidth="1"/>
    <col min="2" max="2" width="12.5703125" customWidth="1"/>
    <col min="3" max="3" width="14.85546875" customWidth="1"/>
    <col min="4" max="4" width="16.5703125" customWidth="1"/>
    <col min="5" max="5" width="20.7109375" customWidth="1"/>
    <col min="6" max="6" width="34" customWidth="1"/>
  </cols>
  <sheetData>
    <row r="1" spans="2:6" s="35" customFormat="1" ht="7.5" customHeight="1" x14ac:dyDescent="0.25"/>
    <row r="2" spans="2:6" x14ac:dyDescent="0.25">
      <c r="B2" s="75" t="s">
        <v>98</v>
      </c>
      <c r="C2" s="75" t="s">
        <v>99</v>
      </c>
      <c r="D2" s="75" t="s">
        <v>100</v>
      </c>
      <c r="E2" s="75" t="s">
        <v>101</v>
      </c>
      <c r="F2" s="75" t="s">
        <v>102</v>
      </c>
    </row>
    <row r="3" spans="2:6" x14ac:dyDescent="0.25">
      <c r="B3" s="43">
        <v>4</v>
      </c>
      <c r="C3" s="43">
        <v>4.5</v>
      </c>
      <c r="D3" s="43">
        <v>0.12</v>
      </c>
      <c r="E3" s="43">
        <v>4.26</v>
      </c>
      <c r="F3" s="43">
        <v>1.9219999999999999</v>
      </c>
    </row>
    <row r="4" spans="2:6" x14ac:dyDescent="0.25">
      <c r="B4" s="43">
        <v>5</v>
      </c>
      <c r="C4" s="43">
        <v>5.5629999999999997</v>
      </c>
      <c r="D4" s="43">
        <v>0.13400000000000001</v>
      </c>
      <c r="E4" s="43">
        <v>5.2949999999999999</v>
      </c>
      <c r="F4" s="43">
        <v>2.66</v>
      </c>
    </row>
    <row r="5" spans="2:6" x14ac:dyDescent="0.25">
      <c r="B5" s="43">
        <v>6</v>
      </c>
      <c r="C5" s="43">
        <v>6.625</v>
      </c>
      <c r="D5" s="43">
        <v>0.13400000000000001</v>
      </c>
      <c r="E5" s="43">
        <v>6.3570000000000002</v>
      </c>
      <c r="F5" s="43">
        <v>3.181</v>
      </c>
    </row>
    <row r="6" spans="2:6" x14ac:dyDescent="0.25">
      <c r="B6" s="43">
        <v>8</v>
      </c>
      <c r="C6" s="43">
        <v>8.625</v>
      </c>
      <c r="D6" s="43">
        <v>0.14799999999999999</v>
      </c>
      <c r="E6" s="43">
        <v>8.3290000000000006</v>
      </c>
      <c r="F6" s="43" t="s">
        <v>103</v>
      </c>
    </row>
    <row r="7" spans="2:6" x14ac:dyDescent="0.25">
      <c r="B7" s="85">
        <v>10</v>
      </c>
      <c r="C7" s="85">
        <v>10.75</v>
      </c>
      <c r="D7" s="85">
        <v>0.16500000000000001</v>
      </c>
      <c r="E7" s="85">
        <v>10.42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1"/>
  <sheetViews>
    <sheetView topLeftCell="A79" workbookViewId="0">
      <selection activeCell="H29" sqref="H29"/>
    </sheetView>
  </sheetViews>
  <sheetFormatPr defaultColWidth="17.28515625" defaultRowHeight="15" customHeight="1" x14ac:dyDescent="0.2"/>
  <cols>
    <col min="1" max="1" width="16.7109375" style="18" customWidth="1"/>
    <col min="2" max="2" width="17.42578125" style="18" hidden="1" customWidth="1"/>
    <col min="3" max="6" width="15.7109375" style="18" customWidth="1"/>
    <col min="7" max="7" width="7.42578125" style="18" customWidth="1"/>
    <col min="8" max="8" width="15.7109375" style="18" customWidth="1"/>
    <col min="9" max="9" width="15.7109375" style="18" hidden="1" customWidth="1"/>
    <col min="10" max="10" width="15.7109375" style="18" customWidth="1"/>
    <col min="11" max="11" width="7.140625" style="18" customWidth="1"/>
    <col min="12" max="12" width="15.7109375" style="18" customWidth="1"/>
    <col min="13" max="13" width="15.7109375" style="18" hidden="1" customWidth="1"/>
    <col min="14" max="14" width="15.7109375" style="18" customWidth="1"/>
    <col min="15" max="24" width="10" style="18" customWidth="1"/>
    <col min="25" max="16384" width="17.28515625" style="18"/>
  </cols>
  <sheetData>
    <row r="1" spans="1:27" ht="42" customHeight="1" x14ac:dyDescent="0.2">
      <c r="A1" s="78"/>
      <c r="B1" s="78"/>
      <c r="C1" s="78"/>
      <c r="D1" s="78"/>
      <c r="E1" s="105" t="s">
        <v>104</v>
      </c>
      <c r="F1" s="103"/>
      <c r="G1" s="103"/>
      <c r="H1" s="103"/>
      <c r="I1" s="103"/>
      <c r="J1" s="103"/>
      <c r="K1" s="103"/>
      <c r="L1" s="103"/>
      <c r="M1" s="103"/>
      <c r="N1" s="103"/>
      <c r="O1" s="19"/>
      <c r="P1" s="19"/>
      <c r="Q1" s="19"/>
      <c r="R1" s="19"/>
      <c r="S1" s="19"/>
      <c r="T1" s="19"/>
      <c r="U1" s="19"/>
      <c r="V1" s="19"/>
      <c r="W1" s="19"/>
      <c r="X1" s="19"/>
      <c r="Y1" s="19"/>
      <c r="Z1" s="19"/>
      <c r="AA1" s="19"/>
    </row>
    <row r="2" spans="1:27" ht="33.75" customHeight="1" x14ac:dyDescent="0.2">
      <c r="A2" s="104" t="s">
        <v>105</v>
      </c>
      <c r="B2" s="103"/>
      <c r="C2" s="103"/>
      <c r="D2" s="103"/>
      <c r="E2" s="103"/>
      <c r="F2" s="103"/>
      <c r="G2" s="76"/>
      <c r="H2" s="102" t="s">
        <v>106</v>
      </c>
      <c r="I2" s="103"/>
      <c r="J2" s="103"/>
      <c r="K2" s="19"/>
      <c r="L2" s="102" t="s">
        <v>107</v>
      </c>
      <c r="M2" s="103"/>
      <c r="N2" s="103"/>
      <c r="O2" s="19"/>
      <c r="P2" s="19"/>
      <c r="Q2" s="19"/>
      <c r="R2" s="19"/>
      <c r="S2" s="19"/>
      <c r="T2" s="19"/>
      <c r="U2" s="19"/>
      <c r="V2" s="19"/>
      <c r="W2" s="19"/>
      <c r="X2" s="19"/>
      <c r="Y2" s="19"/>
      <c r="Z2" s="19"/>
      <c r="AA2" s="19"/>
    </row>
    <row r="3" spans="1:27" ht="23.25" customHeight="1" x14ac:dyDescent="0.2">
      <c r="A3" s="25"/>
      <c r="B3" s="21"/>
      <c r="C3" s="20"/>
      <c r="D3" s="20"/>
      <c r="E3" s="23"/>
      <c r="F3" s="24"/>
      <c r="G3" s="23"/>
      <c r="H3" s="23"/>
      <c r="I3" s="23"/>
      <c r="J3" s="23"/>
      <c r="K3" s="22"/>
      <c r="L3" s="22"/>
      <c r="M3" s="21"/>
      <c r="N3" s="20"/>
      <c r="O3" s="19"/>
      <c r="P3" s="19"/>
      <c r="Q3" s="19"/>
      <c r="R3" s="19"/>
      <c r="S3" s="19"/>
      <c r="T3" s="19"/>
      <c r="U3" s="19"/>
      <c r="V3" s="19"/>
      <c r="W3" s="19"/>
      <c r="X3" s="19"/>
      <c r="Y3" s="19"/>
      <c r="Z3" s="19"/>
      <c r="AA3" s="19"/>
    </row>
    <row r="4" spans="1:27" ht="12.75" customHeight="1" x14ac:dyDescent="0.2">
      <c r="A4" s="21" t="s">
        <v>108</v>
      </c>
      <c r="B4" s="21" t="s">
        <v>108</v>
      </c>
      <c r="C4" s="20" t="s">
        <v>109</v>
      </c>
      <c r="D4" s="20" t="s">
        <v>109</v>
      </c>
      <c r="E4" s="23" t="s">
        <v>110</v>
      </c>
      <c r="F4" s="24" t="s">
        <v>111</v>
      </c>
      <c r="G4" s="21"/>
      <c r="H4" s="21" t="s">
        <v>108</v>
      </c>
      <c r="I4" s="21" t="s">
        <v>108</v>
      </c>
      <c r="J4" s="20" t="s">
        <v>109</v>
      </c>
      <c r="K4" s="21"/>
      <c r="L4" s="21" t="s">
        <v>108</v>
      </c>
      <c r="M4" s="21" t="s">
        <v>108</v>
      </c>
      <c r="N4" s="20" t="s">
        <v>109</v>
      </c>
      <c r="O4" s="19"/>
      <c r="P4" s="19"/>
      <c r="Q4" s="19"/>
      <c r="R4" s="19"/>
      <c r="S4" s="19"/>
      <c r="T4" s="19"/>
      <c r="U4" s="19"/>
      <c r="V4" s="19"/>
      <c r="W4" s="19"/>
      <c r="X4" s="19"/>
      <c r="Y4" s="19"/>
      <c r="Z4" s="19"/>
      <c r="AA4" s="19"/>
    </row>
    <row r="5" spans="1:27" ht="12.75" customHeight="1" x14ac:dyDescent="0.25">
      <c r="A5" s="32" t="s">
        <v>112</v>
      </c>
      <c r="B5" s="21" t="s">
        <v>113</v>
      </c>
      <c r="C5" s="20" t="s">
        <v>114</v>
      </c>
      <c r="D5" s="20" t="s">
        <v>115</v>
      </c>
      <c r="E5" s="23" t="s">
        <v>116</v>
      </c>
      <c r="F5" s="24" t="s">
        <v>116</v>
      </c>
      <c r="G5" s="32"/>
      <c r="H5" s="32" t="s">
        <v>112</v>
      </c>
      <c r="I5" s="21" t="s">
        <v>113</v>
      </c>
      <c r="J5" s="20" t="s">
        <v>114</v>
      </c>
      <c r="K5" s="32"/>
      <c r="L5" s="32" t="s">
        <v>112</v>
      </c>
      <c r="M5" s="21" t="s">
        <v>113</v>
      </c>
      <c r="N5" s="20" t="s">
        <v>114</v>
      </c>
      <c r="O5" s="19"/>
      <c r="P5" s="19"/>
      <c r="Q5" s="19"/>
      <c r="R5" s="19"/>
      <c r="S5" s="19"/>
      <c r="T5" s="19"/>
      <c r="U5" s="19"/>
      <c r="V5" s="19"/>
      <c r="W5" s="19"/>
      <c r="X5" s="19"/>
      <c r="Y5" s="19"/>
      <c r="Z5" s="19"/>
      <c r="AA5" s="19"/>
    </row>
    <row r="6" spans="1:27" ht="12.75" customHeight="1" x14ac:dyDescent="0.2">
      <c r="A6" s="30">
        <f t="shared" ref="A6:A69" si="0">B6+273.15</f>
        <v>182.32999999999998</v>
      </c>
      <c r="B6" s="21">
        <v>-90.82</v>
      </c>
      <c r="C6" s="31">
        <v>0.87849999999999995</v>
      </c>
      <c r="D6" s="31">
        <f>C6*14.5038</f>
        <v>12.7415883</v>
      </c>
      <c r="E6" s="23">
        <v>1237.3499999999999</v>
      </c>
      <c r="F6" s="24">
        <v>2.6115400000000002</v>
      </c>
      <c r="G6" s="30"/>
      <c r="H6" s="30">
        <f>I6+273.15</f>
        <v>182.32999999999998</v>
      </c>
      <c r="I6" s="21">
        <v>-90.82</v>
      </c>
      <c r="J6" s="31">
        <v>0.87849999999999995</v>
      </c>
      <c r="K6" s="29"/>
      <c r="L6" s="29">
        <f t="shared" ref="L6:L37" si="1">M6+273.15</f>
        <v>92.649999999999977</v>
      </c>
      <c r="M6" s="21">
        <v>-180.5</v>
      </c>
      <c r="N6" s="20">
        <v>1.1667513747922973E-7</v>
      </c>
      <c r="O6" s="19"/>
      <c r="P6" s="19"/>
      <c r="Q6" s="19"/>
      <c r="R6" s="19"/>
      <c r="S6" s="19"/>
      <c r="T6" s="19"/>
      <c r="U6" s="19"/>
      <c r="V6" s="19"/>
      <c r="W6" s="19"/>
      <c r="X6" s="19"/>
      <c r="Y6" s="19"/>
      <c r="Z6" s="19"/>
      <c r="AA6" s="19"/>
    </row>
    <row r="7" spans="1:27" ht="12.75" customHeight="1" x14ac:dyDescent="0.2">
      <c r="A7" s="29">
        <f t="shared" si="0"/>
        <v>182.64999999999998</v>
      </c>
      <c r="B7" s="21">
        <v>-90.5</v>
      </c>
      <c r="C7" s="20">
        <v>0.89582300000000004</v>
      </c>
      <c r="D7" s="20">
        <f t="shared" ref="D7:D70" si="2">C7*14.5038</f>
        <v>12.9928376274</v>
      </c>
      <c r="E7" s="23">
        <v>1236.4100000000001</v>
      </c>
      <c r="F7" s="24">
        <v>2.6596799999999998</v>
      </c>
      <c r="G7" s="30"/>
      <c r="H7" s="30">
        <f>I7+273.15</f>
        <v>182.32999999999998</v>
      </c>
      <c r="I7" s="21">
        <v>-90.82</v>
      </c>
      <c r="J7" s="20">
        <v>100</v>
      </c>
      <c r="K7" s="29"/>
      <c r="L7" s="29">
        <f t="shared" si="1"/>
        <v>93.149999999999977</v>
      </c>
      <c r="M7" s="21">
        <v>-180</v>
      </c>
      <c r="N7" s="20">
        <v>1.3910407327200584E-7</v>
      </c>
      <c r="O7" s="19"/>
      <c r="P7" s="19"/>
      <c r="Q7" s="19"/>
      <c r="R7" s="19"/>
      <c r="S7" s="19"/>
      <c r="T7" s="19"/>
      <c r="U7" s="19"/>
      <c r="V7" s="19"/>
      <c r="W7" s="19"/>
      <c r="X7" s="19"/>
      <c r="Y7" s="19"/>
      <c r="Z7" s="19"/>
      <c r="AA7" s="19"/>
    </row>
    <row r="8" spans="1:27" ht="12.75" customHeight="1" x14ac:dyDescent="0.2">
      <c r="A8" s="29">
        <f t="shared" si="0"/>
        <v>183.14999999999998</v>
      </c>
      <c r="B8" s="21">
        <v>-90</v>
      </c>
      <c r="C8" s="20">
        <v>0.92363499999999998</v>
      </c>
      <c r="D8" s="20">
        <f t="shared" si="2"/>
        <v>13.396217312999999</v>
      </c>
      <c r="E8" s="23">
        <v>1234.95</v>
      </c>
      <c r="F8" s="24">
        <v>2.7362799999999998</v>
      </c>
      <c r="G8" s="23"/>
      <c r="H8" s="23"/>
      <c r="I8" s="23"/>
      <c r="J8" s="23"/>
      <c r="K8" s="29"/>
      <c r="L8" s="29">
        <f t="shared" si="1"/>
        <v>93.649999999999977</v>
      </c>
      <c r="M8" s="21">
        <v>-179.5</v>
      </c>
      <c r="N8" s="20">
        <v>1.6553438816685025E-7</v>
      </c>
      <c r="O8" s="19"/>
      <c r="P8" s="19"/>
      <c r="Q8" s="19"/>
      <c r="R8" s="19"/>
      <c r="S8" s="19"/>
      <c r="T8" s="19"/>
      <c r="U8" s="19"/>
      <c r="V8" s="19"/>
      <c r="W8" s="19"/>
      <c r="X8" s="19"/>
      <c r="Y8" s="19"/>
      <c r="Z8" s="19"/>
      <c r="AA8" s="19"/>
    </row>
    <row r="9" spans="1:27" ht="12.75" customHeight="1" x14ac:dyDescent="0.2">
      <c r="A9" s="29">
        <f t="shared" si="0"/>
        <v>183.64999999999998</v>
      </c>
      <c r="B9" s="21">
        <v>-89.5</v>
      </c>
      <c r="C9" s="20">
        <v>0.95212699999999995</v>
      </c>
      <c r="D9" s="20">
        <f t="shared" si="2"/>
        <v>13.809459582599999</v>
      </c>
      <c r="E9" s="23">
        <v>1233.48</v>
      </c>
      <c r="F9" s="24">
        <v>2.8145799999999999</v>
      </c>
      <c r="G9" s="23"/>
      <c r="H9" s="23"/>
      <c r="I9" s="23"/>
      <c r="J9" s="23"/>
      <c r="K9" s="29"/>
      <c r="L9" s="29">
        <f t="shared" si="1"/>
        <v>94.149999999999977</v>
      </c>
      <c r="M9" s="21">
        <v>-179</v>
      </c>
      <c r="N9" s="20">
        <v>1.9662375371632672E-7</v>
      </c>
      <c r="O9" s="19"/>
      <c r="P9" s="19"/>
      <c r="Q9" s="19"/>
      <c r="R9" s="19"/>
      <c r="S9" s="19"/>
      <c r="T9" s="19"/>
      <c r="U9" s="19"/>
      <c r="V9" s="19"/>
      <c r="W9" s="19"/>
      <c r="X9" s="19"/>
      <c r="Y9" s="19"/>
      <c r="Z9" s="19"/>
      <c r="AA9" s="19"/>
    </row>
    <row r="10" spans="1:27" ht="12.75" customHeight="1" x14ac:dyDescent="0.2">
      <c r="A10" s="29">
        <f t="shared" si="0"/>
        <v>184.14999999999998</v>
      </c>
      <c r="B10" s="21">
        <v>-89</v>
      </c>
      <c r="C10" s="20">
        <v>0.98131000000000002</v>
      </c>
      <c r="D10" s="20">
        <f t="shared" si="2"/>
        <v>14.232723978000001</v>
      </c>
      <c r="E10" s="23">
        <v>1232.02</v>
      </c>
      <c r="F10" s="24">
        <v>2.8946200000000002</v>
      </c>
      <c r="G10" s="23"/>
      <c r="H10" s="23"/>
      <c r="I10" s="23"/>
      <c r="J10" s="23"/>
      <c r="K10" s="29"/>
      <c r="L10" s="29">
        <f t="shared" si="1"/>
        <v>94.649999999999977</v>
      </c>
      <c r="M10" s="21">
        <v>-178.5</v>
      </c>
      <c r="N10" s="20">
        <v>2.3312850126541982E-7</v>
      </c>
      <c r="O10" s="19"/>
      <c r="P10" s="19"/>
      <c r="Q10" s="19"/>
      <c r="R10" s="19"/>
      <c r="S10" s="19"/>
      <c r="T10" s="19"/>
      <c r="U10" s="19"/>
      <c r="V10" s="19"/>
      <c r="W10" s="19"/>
      <c r="X10" s="19"/>
      <c r="Y10" s="19"/>
      <c r="Z10" s="19"/>
      <c r="AA10" s="19"/>
    </row>
    <row r="11" spans="1:27" ht="12.75" customHeight="1" x14ac:dyDescent="0.2">
      <c r="A11" s="29">
        <f t="shared" si="0"/>
        <v>184.64999999999998</v>
      </c>
      <c r="B11" s="21">
        <v>-88.5</v>
      </c>
      <c r="C11" s="20">
        <v>1.0112000000000001</v>
      </c>
      <c r="D11" s="20">
        <f t="shared" si="2"/>
        <v>14.666242560000001</v>
      </c>
      <c r="E11" s="23">
        <v>1230.55</v>
      </c>
      <c r="F11" s="24">
        <v>2.9764200000000001</v>
      </c>
      <c r="G11" s="23"/>
      <c r="H11" s="23"/>
      <c r="I11" s="23"/>
      <c r="J11" s="23"/>
      <c r="K11" s="29"/>
      <c r="L11" s="29">
        <f t="shared" si="1"/>
        <v>95.149999999999977</v>
      </c>
      <c r="M11" s="21">
        <v>-178</v>
      </c>
      <c r="N11" s="20">
        <v>2.7591696277473709E-7</v>
      </c>
      <c r="O11" s="19"/>
      <c r="P11" s="19"/>
      <c r="Q11" s="19"/>
      <c r="R11" s="19"/>
      <c r="S11" s="19"/>
      <c r="T11" s="19"/>
      <c r="U11" s="19"/>
      <c r="V11" s="19"/>
      <c r="W11" s="19"/>
      <c r="X11" s="19"/>
      <c r="Y11" s="19"/>
      <c r="Z11" s="19"/>
      <c r="AA11" s="19"/>
    </row>
    <row r="12" spans="1:27" ht="12.75" customHeight="1" x14ac:dyDescent="0.2">
      <c r="A12" s="29">
        <f t="shared" si="0"/>
        <v>185.14999999999998</v>
      </c>
      <c r="B12" s="21">
        <v>-88</v>
      </c>
      <c r="C12" s="20">
        <v>1.0418000000000001</v>
      </c>
      <c r="D12" s="20">
        <f t="shared" si="2"/>
        <v>15.110058840000001</v>
      </c>
      <c r="E12" s="23">
        <v>1229.07</v>
      </c>
      <c r="F12" s="24">
        <v>3.0600100000000001</v>
      </c>
      <c r="G12" s="23"/>
      <c r="H12" s="23"/>
      <c r="I12" s="23"/>
      <c r="J12" s="23"/>
      <c r="K12" s="29"/>
      <c r="L12" s="29">
        <f t="shared" si="1"/>
        <v>95.649999999999977</v>
      </c>
      <c r="M12" s="21">
        <v>-177.5</v>
      </c>
      <c r="N12" s="20">
        <v>3.2598440941314701E-7</v>
      </c>
      <c r="O12" s="19"/>
      <c r="P12" s="19"/>
      <c r="Q12" s="19"/>
      <c r="R12" s="19"/>
      <c r="S12" s="19"/>
      <c r="T12" s="19"/>
      <c r="U12" s="19"/>
      <c r="V12" s="19"/>
      <c r="W12" s="19"/>
      <c r="X12" s="19"/>
      <c r="Y12" s="19"/>
      <c r="Z12" s="19"/>
      <c r="AA12" s="19"/>
    </row>
    <row r="13" spans="1:27" ht="12.75" customHeight="1" x14ac:dyDescent="0.2">
      <c r="A13" s="29">
        <f t="shared" si="0"/>
        <v>185.64999999999998</v>
      </c>
      <c r="B13" s="21">
        <v>-87.5</v>
      </c>
      <c r="C13" s="20">
        <v>1.0731299999999999</v>
      </c>
      <c r="D13" s="20">
        <f t="shared" si="2"/>
        <v>15.564462893999998</v>
      </c>
      <c r="E13" s="23">
        <v>1227.5999999999999</v>
      </c>
      <c r="F13" s="24">
        <v>3.14541</v>
      </c>
      <c r="G13" s="23"/>
      <c r="H13" s="23"/>
      <c r="I13" s="23"/>
      <c r="J13" s="23"/>
      <c r="K13" s="29"/>
      <c r="L13" s="29">
        <f t="shared" si="1"/>
        <v>96.149999999999977</v>
      </c>
      <c r="M13" s="21">
        <v>-177</v>
      </c>
      <c r="N13" s="20">
        <v>3.8446975294714753E-7</v>
      </c>
      <c r="O13" s="19"/>
      <c r="P13" s="19"/>
      <c r="Q13" s="19"/>
      <c r="R13" s="19"/>
      <c r="S13" s="19"/>
      <c r="T13" s="19"/>
      <c r="U13" s="19"/>
      <c r="V13" s="19"/>
      <c r="W13" s="19"/>
      <c r="X13" s="19"/>
      <c r="Y13" s="19"/>
      <c r="Z13" s="19"/>
      <c r="AA13" s="19"/>
    </row>
    <row r="14" spans="1:27" ht="12.75" customHeight="1" x14ac:dyDescent="0.2">
      <c r="A14" s="29">
        <f t="shared" si="0"/>
        <v>186.14999999999998</v>
      </c>
      <c r="B14" s="21">
        <v>-87</v>
      </c>
      <c r="C14" s="20">
        <v>1.1051899999999999</v>
      </c>
      <c r="D14" s="20">
        <f t="shared" si="2"/>
        <v>16.029454721999997</v>
      </c>
      <c r="E14" s="23">
        <v>1226.1300000000001</v>
      </c>
      <c r="F14" s="24">
        <v>3.23265</v>
      </c>
      <c r="G14" s="23"/>
      <c r="H14" s="23"/>
      <c r="I14" s="23"/>
      <c r="J14" s="23"/>
      <c r="K14" s="29"/>
      <c r="L14" s="29">
        <f t="shared" si="1"/>
        <v>96.649999999999977</v>
      </c>
      <c r="M14" s="21">
        <v>-176.5</v>
      </c>
      <c r="N14" s="20">
        <v>4.5267418899736281E-7</v>
      </c>
      <c r="O14" s="19"/>
      <c r="P14" s="19"/>
      <c r="Q14" s="19"/>
      <c r="R14" s="19"/>
      <c r="S14" s="19"/>
      <c r="T14" s="19"/>
      <c r="U14" s="19"/>
      <c r="V14" s="19"/>
      <c r="W14" s="19"/>
      <c r="X14" s="19"/>
      <c r="Y14" s="19"/>
      <c r="Z14" s="19"/>
      <c r="AA14" s="19"/>
    </row>
    <row r="15" spans="1:27" ht="12.75" customHeight="1" x14ac:dyDescent="0.2">
      <c r="A15" s="29">
        <f t="shared" si="0"/>
        <v>186.64999999999998</v>
      </c>
      <c r="B15" s="21">
        <v>-86.5</v>
      </c>
      <c r="C15" s="20">
        <v>1.13801</v>
      </c>
      <c r="D15" s="20">
        <f t="shared" si="2"/>
        <v>16.505469437999999</v>
      </c>
      <c r="E15" s="23">
        <v>1224.6500000000001</v>
      </c>
      <c r="F15" s="24">
        <v>3.3217599999999998</v>
      </c>
      <c r="G15" s="23"/>
      <c r="H15" s="23"/>
      <c r="I15" s="23"/>
      <c r="J15" s="23"/>
      <c r="K15" s="29"/>
      <c r="L15" s="29">
        <f t="shared" si="1"/>
        <v>97.149999999999977</v>
      </c>
      <c r="M15" s="21">
        <v>-176</v>
      </c>
      <c r="N15" s="20">
        <v>5.3208197616960427E-7</v>
      </c>
      <c r="O15" s="19"/>
      <c r="P15" s="19"/>
      <c r="Q15" s="19"/>
      <c r="R15" s="19"/>
      <c r="S15" s="19"/>
      <c r="T15" s="19"/>
      <c r="U15" s="19"/>
      <c r="V15" s="19"/>
      <c r="W15" s="19"/>
      <c r="X15" s="19"/>
      <c r="Y15" s="19"/>
      <c r="Z15" s="19"/>
      <c r="AA15" s="19"/>
    </row>
    <row r="16" spans="1:27" ht="12.75" customHeight="1" x14ac:dyDescent="0.2">
      <c r="A16" s="29">
        <f t="shared" si="0"/>
        <v>187.14999999999998</v>
      </c>
      <c r="B16" s="21">
        <v>-86</v>
      </c>
      <c r="C16" s="20">
        <v>1.1715899999999999</v>
      </c>
      <c r="D16" s="20">
        <f t="shared" si="2"/>
        <v>16.992507042</v>
      </c>
      <c r="E16" s="23">
        <v>1223.17</v>
      </c>
      <c r="F16" s="24">
        <v>3.4127700000000001</v>
      </c>
      <c r="G16" s="23"/>
      <c r="H16" s="23"/>
      <c r="I16" s="23"/>
      <c r="J16" s="23"/>
      <c r="K16" s="29"/>
      <c r="L16" s="29">
        <f t="shared" si="1"/>
        <v>97.649999999999977</v>
      </c>
      <c r="M16" s="21">
        <v>-175.5</v>
      </c>
      <c r="N16" s="20">
        <v>6.243835609289786E-7</v>
      </c>
      <c r="O16" s="19"/>
      <c r="P16" s="19"/>
      <c r="Q16" s="19"/>
      <c r="R16" s="19"/>
      <c r="S16" s="19"/>
      <c r="T16" s="19"/>
      <c r="U16" s="19"/>
      <c r="V16" s="19"/>
      <c r="W16" s="19"/>
      <c r="X16" s="19"/>
      <c r="Y16" s="19"/>
      <c r="Z16" s="19"/>
      <c r="AA16" s="19"/>
    </row>
    <row r="17" spans="1:27" ht="12.75" customHeight="1" x14ac:dyDescent="0.2">
      <c r="A17" s="29">
        <f t="shared" si="0"/>
        <v>187.64999999999998</v>
      </c>
      <c r="B17" s="21">
        <v>-85.5</v>
      </c>
      <c r="C17" s="20">
        <v>1.2059500000000001</v>
      </c>
      <c r="D17" s="20">
        <f t="shared" si="2"/>
        <v>17.490857610000003</v>
      </c>
      <c r="E17" s="23">
        <v>1221.69</v>
      </c>
      <c r="F17" s="24">
        <v>3.5057</v>
      </c>
      <c r="G17" s="23"/>
      <c r="H17" s="23"/>
      <c r="I17" s="23"/>
      <c r="J17" s="23"/>
      <c r="K17" s="29"/>
      <c r="L17" s="29">
        <f t="shared" si="1"/>
        <v>98.149999999999977</v>
      </c>
      <c r="M17" s="21">
        <v>-175</v>
      </c>
      <c r="N17" s="20">
        <v>7.3150127490026968E-7</v>
      </c>
      <c r="O17" s="19"/>
      <c r="P17" s="19"/>
      <c r="Q17" s="19"/>
      <c r="R17" s="19"/>
      <c r="S17" s="19"/>
      <c r="T17" s="19"/>
      <c r="U17" s="19"/>
      <c r="V17" s="19"/>
      <c r="W17" s="19"/>
      <c r="X17" s="19"/>
      <c r="Y17" s="19"/>
      <c r="Z17" s="19"/>
      <c r="AA17" s="19"/>
    </row>
    <row r="18" spans="1:27" ht="12.75" customHeight="1" x14ac:dyDescent="0.2">
      <c r="A18" s="29">
        <f t="shared" si="0"/>
        <v>188.14999999999998</v>
      </c>
      <c r="B18" s="21">
        <v>-85</v>
      </c>
      <c r="C18" s="20">
        <v>1.24109</v>
      </c>
      <c r="D18" s="20">
        <f t="shared" si="2"/>
        <v>18.000521142</v>
      </c>
      <c r="E18" s="23">
        <v>1220.2</v>
      </c>
      <c r="F18" s="24">
        <v>3.6005799999999999</v>
      </c>
      <c r="G18" s="23"/>
      <c r="H18" s="23"/>
      <c r="I18" s="23"/>
      <c r="J18" s="23"/>
      <c r="K18" s="29"/>
      <c r="L18" s="29">
        <f t="shared" si="1"/>
        <v>98.649999999999977</v>
      </c>
      <c r="M18" s="21">
        <v>-174.5</v>
      </c>
      <c r="N18" s="20">
        <v>8.556178490741649E-7</v>
      </c>
      <c r="O18" s="19"/>
      <c r="P18" s="19"/>
      <c r="Q18" s="19"/>
      <c r="R18" s="19"/>
      <c r="S18" s="19"/>
      <c r="T18" s="19"/>
      <c r="U18" s="19"/>
      <c r="V18" s="19"/>
      <c r="W18" s="19"/>
      <c r="X18" s="19"/>
      <c r="Y18" s="19"/>
      <c r="Z18" s="19"/>
      <c r="AA18" s="19"/>
    </row>
    <row r="19" spans="1:27" ht="12.75" customHeight="1" x14ac:dyDescent="0.2">
      <c r="A19" s="29">
        <f t="shared" si="0"/>
        <v>188.64999999999998</v>
      </c>
      <c r="B19" s="21">
        <v>-84.5</v>
      </c>
      <c r="C19" s="20">
        <v>1.2770300000000001</v>
      </c>
      <c r="D19" s="20">
        <f t="shared" si="2"/>
        <v>18.521787714000002</v>
      </c>
      <c r="E19" s="23">
        <v>1218.72</v>
      </c>
      <c r="F19" s="24">
        <v>3.6974300000000002</v>
      </c>
      <c r="G19" s="23"/>
      <c r="H19" s="23"/>
      <c r="I19" s="23"/>
      <c r="J19" s="23"/>
      <c r="K19" s="29"/>
      <c r="L19" s="29">
        <f t="shared" si="1"/>
        <v>99.149999999999977</v>
      </c>
      <c r="M19" s="21">
        <v>-174</v>
      </c>
      <c r="N19" s="20">
        <v>9.9920800820367896E-7</v>
      </c>
      <c r="O19" s="19"/>
      <c r="P19" s="19"/>
      <c r="Q19" s="19"/>
      <c r="R19" s="19"/>
      <c r="S19" s="19"/>
      <c r="T19" s="19"/>
      <c r="U19" s="19"/>
      <c r="V19" s="19"/>
      <c r="W19" s="19"/>
      <c r="X19" s="19"/>
      <c r="Y19" s="19"/>
      <c r="Z19" s="19"/>
      <c r="AA19" s="19"/>
    </row>
    <row r="20" spans="1:27" ht="12.75" customHeight="1" x14ac:dyDescent="0.2">
      <c r="A20" s="29">
        <f t="shared" si="0"/>
        <v>189.14999999999998</v>
      </c>
      <c r="B20" s="21">
        <v>-84</v>
      </c>
      <c r="C20" s="20">
        <v>1.31379</v>
      </c>
      <c r="D20" s="20">
        <f t="shared" si="2"/>
        <v>19.054947402</v>
      </c>
      <c r="E20" s="23">
        <v>1217.23</v>
      </c>
      <c r="F20" s="24">
        <v>3.7963</v>
      </c>
      <c r="G20" s="23"/>
      <c r="H20" s="23"/>
      <c r="I20" s="23"/>
      <c r="J20" s="23"/>
      <c r="K20" s="29"/>
      <c r="L20" s="29">
        <f t="shared" si="1"/>
        <v>99.649999999999977</v>
      </c>
      <c r="M20" s="21">
        <v>-173.5</v>
      </c>
      <c r="N20" s="20">
        <v>1.1650734285129827E-6</v>
      </c>
      <c r="O20" s="19"/>
      <c r="P20" s="19"/>
      <c r="Q20" s="19"/>
      <c r="R20" s="19"/>
      <c r="S20" s="19"/>
      <c r="T20" s="19"/>
      <c r="U20" s="19"/>
      <c r="V20" s="19"/>
      <c r="W20" s="19"/>
      <c r="X20" s="19"/>
      <c r="Y20" s="19"/>
      <c r="Z20" s="19"/>
      <c r="AA20" s="19"/>
    </row>
    <row r="21" spans="1:27" ht="12.75" customHeight="1" x14ac:dyDescent="0.2">
      <c r="A21" s="29">
        <f t="shared" si="0"/>
        <v>189.64999999999998</v>
      </c>
      <c r="B21" s="21">
        <v>-83.5</v>
      </c>
      <c r="C21" s="20">
        <v>1.35137</v>
      </c>
      <c r="D21" s="20">
        <f t="shared" si="2"/>
        <v>19.600000206000001</v>
      </c>
      <c r="E21" s="23">
        <v>1215.74</v>
      </c>
      <c r="F21" s="24">
        <v>3.8972000000000002</v>
      </c>
      <c r="G21" s="23"/>
      <c r="H21" s="23"/>
      <c r="I21" s="23"/>
      <c r="J21" s="23"/>
      <c r="K21" s="29"/>
      <c r="L21" s="29">
        <f t="shared" si="1"/>
        <v>100.14999999999998</v>
      </c>
      <c r="M21" s="21">
        <v>-173</v>
      </c>
      <c r="N21" s="20">
        <v>1.3563813627353288E-6</v>
      </c>
      <c r="O21" s="19"/>
      <c r="P21" s="19"/>
      <c r="Q21" s="19"/>
      <c r="R21" s="19"/>
      <c r="S21" s="19"/>
      <c r="T21" s="19"/>
      <c r="U21" s="19"/>
      <c r="V21" s="19"/>
      <c r="W21" s="19"/>
      <c r="X21" s="19"/>
      <c r="Y21" s="19"/>
      <c r="Z21" s="19"/>
      <c r="AA21" s="19"/>
    </row>
    <row r="22" spans="1:27" ht="12.75" customHeight="1" x14ac:dyDescent="0.2">
      <c r="A22" s="29">
        <f t="shared" si="0"/>
        <v>190.14999999999998</v>
      </c>
      <c r="B22" s="21">
        <v>-83</v>
      </c>
      <c r="C22" s="20">
        <v>1.3897900000000001</v>
      </c>
      <c r="D22" s="20">
        <f t="shared" si="2"/>
        <v>20.157236202</v>
      </c>
      <c r="E22" s="23">
        <v>1214.25</v>
      </c>
      <c r="F22" s="24">
        <v>4.0001699999999998</v>
      </c>
      <c r="G22" s="23"/>
      <c r="H22" s="23"/>
      <c r="I22" s="23"/>
      <c r="J22" s="23"/>
      <c r="K22" s="29"/>
      <c r="L22" s="29">
        <f t="shared" si="1"/>
        <v>100.64999999999998</v>
      </c>
      <c r="M22" s="21">
        <v>-172.5</v>
      </c>
      <c r="N22" s="20">
        <v>1.5767072584683026E-6</v>
      </c>
      <c r="O22" s="19"/>
      <c r="P22" s="19"/>
      <c r="Q22" s="19"/>
      <c r="R22" s="19"/>
      <c r="S22" s="19"/>
      <c r="T22" s="19"/>
      <c r="U22" s="19"/>
      <c r="V22" s="19"/>
      <c r="W22" s="19"/>
      <c r="X22" s="19"/>
      <c r="Y22" s="19"/>
      <c r="Z22" s="19"/>
      <c r="AA22" s="19"/>
    </row>
    <row r="23" spans="1:27" ht="12.75" customHeight="1" x14ac:dyDescent="0.2">
      <c r="A23" s="29">
        <f t="shared" si="0"/>
        <v>190.64999999999998</v>
      </c>
      <c r="B23" s="21">
        <v>-82.5</v>
      </c>
      <c r="C23" s="20">
        <v>1.4290499999999999</v>
      </c>
      <c r="D23" s="20">
        <f t="shared" si="2"/>
        <v>20.726655389999998</v>
      </c>
      <c r="E23" s="23">
        <v>1212.75</v>
      </c>
      <c r="F23" s="24">
        <v>4.1052200000000001</v>
      </c>
      <c r="G23" s="23"/>
      <c r="H23" s="23"/>
      <c r="I23" s="23"/>
      <c r="J23" s="23"/>
      <c r="K23" s="29"/>
      <c r="L23" s="29">
        <f t="shared" si="1"/>
        <v>101.14999999999998</v>
      </c>
      <c r="M23" s="21">
        <v>-172</v>
      </c>
      <c r="N23" s="20">
        <v>1.8300817189023792E-6</v>
      </c>
      <c r="O23" s="19"/>
      <c r="P23" s="19"/>
      <c r="Q23" s="19"/>
      <c r="R23" s="19"/>
      <c r="S23" s="19"/>
      <c r="T23" s="19"/>
      <c r="U23" s="19"/>
      <c r="V23" s="19"/>
      <c r="W23" s="19"/>
      <c r="X23" s="19"/>
      <c r="Y23" s="19"/>
      <c r="Z23" s="19"/>
      <c r="AA23" s="19"/>
    </row>
    <row r="24" spans="1:27" ht="12.75" customHeight="1" x14ac:dyDescent="0.2">
      <c r="A24" s="29">
        <f t="shared" si="0"/>
        <v>191.14999999999998</v>
      </c>
      <c r="B24" s="21">
        <v>-82</v>
      </c>
      <c r="C24" s="20">
        <v>1.46919</v>
      </c>
      <c r="D24" s="20">
        <f t="shared" si="2"/>
        <v>21.308837921999999</v>
      </c>
      <c r="E24" s="23">
        <v>1211.26</v>
      </c>
      <c r="F24" s="24">
        <v>4.2123999999999997</v>
      </c>
      <c r="G24" s="23"/>
      <c r="H24" s="23"/>
      <c r="I24" s="23"/>
      <c r="J24" s="23"/>
      <c r="K24" s="29"/>
      <c r="L24" s="29">
        <f t="shared" si="1"/>
        <v>101.64999999999998</v>
      </c>
      <c r="M24" s="21">
        <v>-171.5</v>
      </c>
      <c r="N24" s="20">
        <v>2.1210421791581926E-6</v>
      </c>
      <c r="O24" s="19"/>
      <c r="P24" s="19"/>
      <c r="Q24" s="19"/>
      <c r="R24" s="19"/>
      <c r="S24" s="19"/>
      <c r="T24" s="19"/>
      <c r="U24" s="19"/>
      <c r="V24" s="19"/>
      <c r="W24" s="19"/>
      <c r="X24" s="19"/>
      <c r="Y24" s="19"/>
      <c r="Z24" s="19"/>
      <c r="AA24" s="19"/>
    </row>
    <row r="25" spans="1:27" ht="12.75" customHeight="1" x14ac:dyDescent="0.2">
      <c r="A25" s="29">
        <f t="shared" si="0"/>
        <v>191.64999999999998</v>
      </c>
      <c r="B25" s="21">
        <v>-81.5</v>
      </c>
      <c r="C25" s="20">
        <v>1.5101899999999999</v>
      </c>
      <c r="D25" s="20">
        <f t="shared" si="2"/>
        <v>21.903493722</v>
      </c>
      <c r="E25" s="23">
        <v>1209.76</v>
      </c>
      <c r="F25" s="24">
        <v>4.3217299999999996</v>
      </c>
      <c r="G25" s="23"/>
      <c r="H25" s="23"/>
      <c r="I25" s="23"/>
      <c r="J25" s="23"/>
      <c r="K25" s="29"/>
      <c r="L25" s="29">
        <f t="shared" si="1"/>
        <v>102.14999999999998</v>
      </c>
      <c r="M25" s="21">
        <v>-171</v>
      </c>
      <c r="N25" s="20">
        <v>2.4546896967736679E-6</v>
      </c>
      <c r="O25" s="19"/>
      <c r="P25" s="19"/>
      <c r="Q25" s="19"/>
      <c r="R25" s="19"/>
      <c r="S25" s="19"/>
      <c r="T25" s="19"/>
      <c r="U25" s="19"/>
      <c r="V25" s="19"/>
      <c r="W25" s="19"/>
      <c r="X25" s="19"/>
      <c r="Y25" s="19"/>
      <c r="Z25" s="19"/>
      <c r="AA25" s="19"/>
    </row>
    <row r="26" spans="1:27" ht="12.75" customHeight="1" x14ac:dyDescent="0.2">
      <c r="A26" s="29">
        <f t="shared" si="0"/>
        <v>192.14999999999998</v>
      </c>
      <c r="B26" s="21">
        <v>-81</v>
      </c>
      <c r="C26" s="20">
        <v>1.55209</v>
      </c>
      <c r="D26" s="20">
        <f t="shared" si="2"/>
        <v>22.511202942000001</v>
      </c>
      <c r="E26" s="23">
        <v>1208.26</v>
      </c>
      <c r="F26" s="24">
        <v>4.4332399999999996</v>
      </c>
      <c r="G26" s="23"/>
      <c r="H26" s="23"/>
      <c r="I26" s="23"/>
      <c r="J26" s="23"/>
      <c r="K26" s="29"/>
      <c r="L26" s="29">
        <f t="shared" si="1"/>
        <v>102.64999999999998</v>
      </c>
      <c r="M26" s="21">
        <v>-170.5</v>
      </c>
      <c r="N26" s="20">
        <v>2.8367512813226559E-6</v>
      </c>
      <c r="O26" s="19"/>
      <c r="P26" s="19"/>
      <c r="Q26" s="19"/>
      <c r="R26" s="19"/>
      <c r="S26" s="19"/>
      <c r="T26" s="19"/>
      <c r="U26" s="19"/>
      <c r="V26" s="19"/>
      <c r="W26" s="19"/>
      <c r="X26" s="19"/>
      <c r="Y26" s="19"/>
      <c r="Z26" s="19"/>
      <c r="AA26" s="19"/>
    </row>
    <row r="27" spans="1:27" ht="12.75" customHeight="1" x14ac:dyDescent="0.2">
      <c r="A27" s="29">
        <f t="shared" si="0"/>
        <v>192.64999999999998</v>
      </c>
      <c r="B27" s="21">
        <v>-80.5</v>
      </c>
      <c r="C27" s="20">
        <v>1.5948899999999999</v>
      </c>
      <c r="D27" s="20">
        <f t="shared" si="2"/>
        <v>23.131965581999999</v>
      </c>
      <c r="E27" s="23">
        <v>1206.75</v>
      </c>
      <c r="F27" s="24">
        <v>4.5469600000000003</v>
      </c>
      <c r="G27" s="23"/>
      <c r="H27" s="23"/>
      <c r="I27" s="23"/>
      <c r="J27" s="23"/>
      <c r="K27" s="29"/>
      <c r="L27" s="29">
        <f t="shared" si="1"/>
        <v>103.14999999999998</v>
      </c>
      <c r="M27" s="21">
        <v>-170</v>
      </c>
      <c r="N27" s="20">
        <v>3.2736482157312655E-6</v>
      </c>
      <c r="O27" s="19"/>
      <c r="P27" s="19"/>
      <c r="Q27" s="19"/>
      <c r="R27" s="19"/>
      <c r="S27" s="19"/>
      <c r="T27" s="19"/>
      <c r="U27" s="19"/>
      <c r="V27" s="19"/>
      <c r="W27" s="19"/>
      <c r="X27" s="19"/>
      <c r="Y27" s="19"/>
      <c r="Z27" s="19"/>
      <c r="AA27" s="19"/>
    </row>
    <row r="28" spans="1:27" ht="12.75" customHeight="1" x14ac:dyDescent="0.2">
      <c r="A28" s="29">
        <f t="shared" si="0"/>
        <v>193.14999999999998</v>
      </c>
      <c r="B28" s="21">
        <v>-80</v>
      </c>
      <c r="C28" s="20">
        <v>1.6386000000000001</v>
      </c>
      <c r="D28" s="20">
        <f t="shared" si="2"/>
        <v>23.76592668</v>
      </c>
      <c r="E28" s="23">
        <v>1205.25</v>
      </c>
      <c r="F28" s="24">
        <v>4.6629300000000002</v>
      </c>
      <c r="G28" s="23"/>
      <c r="H28" s="23"/>
      <c r="I28" s="23"/>
      <c r="J28" s="23"/>
      <c r="K28" s="29"/>
      <c r="L28" s="29">
        <f t="shared" si="1"/>
        <v>103.64999999999998</v>
      </c>
      <c r="M28" s="21">
        <v>-169.5</v>
      </c>
      <c r="N28" s="20">
        <v>3.7725708505897793E-6</v>
      </c>
      <c r="O28" s="19"/>
      <c r="P28" s="19"/>
      <c r="Q28" s="19"/>
      <c r="R28" s="19"/>
      <c r="S28" s="19"/>
      <c r="T28" s="19"/>
      <c r="U28" s="19"/>
      <c r="V28" s="19"/>
      <c r="W28" s="19"/>
      <c r="X28" s="19"/>
      <c r="Y28" s="19"/>
      <c r="Z28" s="19"/>
      <c r="AA28" s="19"/>
    </row>
    <row r="29" spans="1:27" ht="12.75" customHeight="1" x14ac:dyDescent="0.2">
      <c r="A29" s="29">
        <f t="shared" si="0"/>
        <v>193.64999999999998</v>
      </c>
      <c r="B29" s="21">
        <v>-79.5</v>
      </c>
      <c r="C29" s="20">
        <v>1.6832400000000001</v>
      </c>
      <c r="D29" s="20">
        <f t="shared" si="2"/>
        <v>24.413376312</v>
      </c>
      <c r="E29" s="23">
        <v>1203.74</v>
      </c>
      <c r="F29" s="24">
        <v>4.7811599999999999</v>
      </c>
      <c r="G29" s="23"/>
      <c r="H29" s="23"/>
      <c r="I29" s="23"/>
      <c r="J29" s="23"/>
      <c r="K29" s="29"/>
      <c r="L29" s="29">
        <f t="shared" si="1"/>
        <v>104.14999999999998</v>
      </c>
      <c r="M29" s="21">
        <v>-169</v>
      </c>
      <c r="N29" s="20">
        <v>4.3415603826359173E-6</v>
      </c>
      <c r="O29" s="19"/>
      <c r="P29" s="19"/>
      <c r="Q29" s="19"/>
      <c r="R29" s="19"/>
      <c r="S29" s="19"/>
      <c r="T29" s="19"/>
      <c r="U29" s="19"/>
      <c r="V29" s="19"/>
      <c r="W29" s="19"/>
      <c r="X29" s="19"/>
      <c r="Y29" s="19"/>
      <c r="Z29" s="19"/>
      <c r="AA29" s="19"/>
    </row>
    <row r="30" spans="1:27" ht="12.75" customHeight="1" x14ac:dyDescent="0.2">
      <c r="A30" s="29">
        <f t="shared" si="0"/>
        <v>194.14999999999998</v>
      </c>
      <c r="B30" s="21">
        <v>-79</v>
      </c>
      <c r="C30" s="20">
        <v>1.7288300000000001</v>
      </c>
      <c r="D30" s="20">
        <f t="shared" si="2"/>
        <v>25.074604554</v>
      </c>
      <c r="E30" s="23">
        <v>1202.23</v>
      </c>
      <c r="F30" s="24">
        <v>4.9016900000000003</v>
      </c>
      <c r="G30" s="23"/>
      <c r="H30" s="23"/>
      <c r="I30" s="23"/>
      <c r="J30" s="23"/>
      <c r="K30" s="29"/>
      <c r="L30" s="29">
        <f t="shared" si="1"/>
        <v>104.64999999999998</v>
      </c>
      <c r="M30" s="21">
        <v>-168.5</v>
      </c>
      <c r="N30" s="20">
        <v>4.9895981596089831E-6</v>
      </c>
      <c r="O30" s="19"/>
      <c r="P30" s="19"/>
      <c r="Q30" s="19"/>
      <c r="R30" s="19"/>
      <c r="S30" s="19"/>
      <c r="T30" s="19"/>
      <c r="U30" s="19"/>
      <c r="V30" s="19"/>
      <c r="W30" s="19"/>
      <c r="X30" s="19"/>
      <c r="Y30" s="19"/>
      <c r="Z30" s="19"/>
      <c r="AA30" s="19"/>
    </row>
    <row r="31" spans="1:27" ht="12.75" customHeight="1" x14ac:dyDescent="0.2">
      <c r="A31" s="29">
        <f t="shared" si="0"/>
        <v>194.64999999999998</v>
      </c>
      <c r="B31" s="21">
        <v>-78.5</v>
      </c>
      <c r="C31" s="20">
        <v>1.7753699999999999</v>
      </c>
      <c r="D31" s="20">
        <f t="shared" si="2"/>
        <v>25.749611406</v>
      </c>
      <c r="E31" s="23">
        <v>1200.72</v>
      </c>
      <c r="F31" s="24">
        <v>5.0245600000000001</v>
      </c>
      <c r="G31" s="23"/>
      <c r="H31" s="23"/>
      <c r="I31" s="23"/>
      <c r="J31" s="23"/>
      <c r="K31" s="29"/>
      <c r="L31" s="29">
        <f t="shared" si="1"/>
        <v>105.14999999999998</v>
      </c>
      <c r="M31" s="21">
        <v>-168</v>
      </c>
      <c r="N31" s="20">
        <v>5.7267030858330906E-6</v>
      </c>
      <c r="O31" s="19"/>
      <c r="P31" s="19"/>
      <c r="Q31" s="19"/>
      <c r="R31" s="19"/>
      <c r="S31" s="19"/>
      <c r="T31" s="19"/>
      <c r="U31" s="19"/>
      <c r="V31" s="19"/>
      <c r="W31" s="19"/>
      <c r="X31" s="19"/>
      <c r="Y31" s="19"/>
      <c r="Z31" s="19"/>
      <c r="AA31" s="19"/>
    </row>
    <row r="32" spans="1:27" ht="12.75" customHeight="1" x14ac:dyDescent="0.2">
      <c r="A32" s="29">
        <f t="shared" si="0"/>
        <v>195.14999999999998</v>
      </c>
      <c r="B32" s="21">
        <v>-78</v>
      </c>
      <c r="C32" s="20">
        <v>1.82287</v>
      </c>
      <c r="D32" s="20">
        <f t="shared" si="2"/>
        <v>26.438541906000001</v>
      </c>
      <c r="E32" s="23">
        <v>1199.2</v>
      </c>
      <c r="F32" s="24">
        <v>5.1497799999999998</v>
      </c>
      <c r="G32" s="23"/>
      <c r="H32" s="23"/>
      <c r="I32" s="23"/>
      <c r="J32" s="23"/>
      <c r="K32" s="29"/>
      <c r="L32" s="29">
        <f t="shared" si="1"/>
        <v>105.64999999999998</v>
      </c>
      <c r="M32" s="21">
        <v>-167.5</v>
      </c>
      <c r="N32" s="20">
        <v>6.564037736171485E-6</v>
      </c>
      <c r="O32" s="19"/>
      <c r="P32" s="19"/>
      <c r="Q32" s="19"/>
      <c r="R32" s="19"/>
      <c r="S32" s="19"/>
      <c r="T32" s="19"/>
      <c r="U32" s="19"/>
      <c r="V32" s="19"/>
      <c r="W32" s="19"/>
      <c r="X32" s="19"/>
      <c r="Y32" s="19"/>
      <c r="Z32" s="19"/>
      <c r="AA32" s="19"/>
    </row>
    <row r="33" spans="1:27" ht="12.75" customHeight="1" x14ac:dyDescent="0.2">
      <c r="A33" s="29">
        <f t="shared" si="0"/>
        <v>195.64999999999998</v>
      </c>
      <c r="B33" s="21">
        <v>-77.5</v>
      </c>
      <c r="C33" s="20">
        <v>1.8713599999999999</v>
      </c>
      <c r="D33" s="20">
        <f t="shared" si="2"/>
        <v>27.141831168</v>
      </c>
      <c r="E33" s="23">
        <v>1197.68</v>
      </c>
      <c r="F33" s="24">
        <v>5.2774000000000001</v>
      </c>
      <c r="G33" s="23"/>
      <c r="H33" s="23"/>
      <c r="I33" s="23"/>
      <c r="J33" s="23"/>
      <c r="K33" s="29"/>
      <c r="L33" s="29">
        <f t="shared" si="1"/>
        <v>106.14999999999998</v>
      </c>
      <c r="M33" s="21">
        <v>-167</v>
      </c>
      <c r="N33" s="20">
        <v>7.5140238203897325E-6</v>
      </c>
      <c r="O33" s="19"/>
      <c r="P33" s="19"/>
      <c r="Q33" s="19"/>
      <c r="R33" s="19"/>
      <c r="S33" s="19"/>
      <c r="T33" s="19"/>
      <c r="U33" s="19"/>
      <c r="V33" s="19"/>
      <c r="W33" s="19"/>
      <c r="X33" s="19"/>
      <c r="Y33" s="19"/>
      <c r="Z33" s="19"/>
      <c r="AA33" s="19"/>
    </row>
    <row r="34" spans="1:27" ht="12.75" customHeight="1" x14ac:dyDescent="0.2">
      <c r="A34" s="29">
        <f t="shared" si="0"/>
        <v>196.14999999999998</v>
      </c>
      <c r="B34" s="21">
        <v>-77</v>
      </c>
      <c r="C34" s="20">
        <v>1.9208499999999999</v>
      </c>
      <c r="D34" s="20">
        <f t="shared" si="2"/>
        <v>27.859624229999998</v>
      </c>
      <c r="E34" s="23">
        <v>1196.1600000000001</v>
      </c>
      <c r="F34" s="24">
        <v>5.4074499999999999</v>
      </c>
      <c r="G34" s="23"/>
      <c r="H34" s="23"/>
      <c r="I34" s="23"/>
      <c r="J34" s="23"/>
      <c r="K34" s="29"/>
      <c r="L34" s="29">
        <f t="shared" si="1"/>
        <v>106.64999999999998</v>
      </c>
      <c r="M34" s="21">
        <v>-166.5</v>
      </c>
      <c r="N34" s="20">
        <v>8.5904676754446363E-6</v>
      </c>
      <c r="O34" s="19"/>
      <c r="P34" s="19"/>
      <c r="Q34" s="19"/>
      <c r="R34" s="19"/>
      <c r="S34" s="19"/>
      <c r="T34" s="19"/>
      <c r="U34" s="19"/>
      <c r="V34" s="19"/>
      <c r="W34" s="19"/>
      <c r="X34" s="19"/>
      <c r="Y34" s="19"/>
      <c r="Z34" s="19"/>
      <c r="AA34" s="19"/>
    </row>
    <row r="35" spans="1:27" ht="12.75" customHeight="1" x14ac:dyDescent="0.2">
      <c r="A35" s="29">
        <f t="shared" si="0"/>
        <v>196.64999999999998</v>
      </c>
      <c r="B35" s="21">
        <v>-76.5</v>
      </c>
      <c r="C35" s="20">
        <v>1.9713499999999999</v>
      </c>
      <c r="D35" s="20">
        <f t="shared" si="2"/>
        <v>28.592066129999999</v>
      </c>
      <c r="E35" s="23">
        <v>1194.6400000000001</v>
      </c>
      <c r="F35" s="24">
        <v>5.5399500000000002</v>
      </c>
      <c r="G35" s="23"/>
      <c r="H35" s="23"/>
      <c r="I35" s="23"/>
      <c r="J35" s="23"/>
      <c r="K35" s="29"/>
      <c r="L35" s="29">
        <f t="shared" si="1"/>
        <v>107.14999999999998</v>
      </c>
      <c r="M35" s="21">
        <v>-166</v>
      </c>
      <c r="N35" s="20">
        <v>9.8086964997660497E-6</v>
      </c>
      <c r="O35" s="19"/>
      <c r="P35" s="19"/>
      <c r="Q35" s="19"/>
      <c r="R35" s="19"/>
      <c r="S35" s="19"/>
      <c r="T35" s="19"/>
      <c r="U35" s="19"/>
      <c r="V35" s="19"/>
      <c r="W35" s="19"/>
      <c r="X35" s="19"/>
      <c r="Y35" s="19"/>
      <c r="Z35" s="19"/>
      <c r="AA35" s="19"/>
    </row>
    <row r="36" spans="1:27" ht="12.75" customHeight="1" x14ac:dyDescent="0.2">
      <c r="A36" s="29">
        <f t="shared" si="0"/>
        <v>197.14999999999998</v>
      </c>
      <c r="B36" s="21">
        <v>-76</v>
      </c>
      <c r="C36" s="20">
        <v>2.0228600000000001</v>
      </c>
      <c r="D36" s="20">
        <f t="shared" si="2"/>
        <v>29.339156868</v>
      </c>
      <c r="E36" s="23">
        <v>1193.1199999999999</v>
      </c>
      <c r="F36" s="24">
        <v>5.6749400000000003</v>
      </c>
      <c r="G36" s="23"/>
      <c r="H36" s="23"/>
      <c r="I36" s="23"/>
      <c r="J36" s="23"/>
      <c r="K36" s="29"/>
      <c r="L36" s="29">
        <f t="shared" si="1"/>
        <v>107.64999999999998</v>
      </c>
      <c r="M36" s="21">
        <v>-165.5</v>
      </c>
      <c r="N36" s="20">
        <v>1.1185706081176743E-5</v>
      </c>
      <c r="O36" s="19"/>
      <c r="P36" s="19"/>
      <c r="Q36" s="19"/>
      <c r="R36" s="19"/>
      <c r="S36" s="19"/>
      <c r="T36" s="19"/>
      <c r="U36" s="19"/>
      <c r="V36" s="19"/>
      <c r="W36" s="19"/>
      <c r="X36" s="19"/>
      <c r="Y36" s="19"/>
      <c r="Z36" s="19"/>
      <c r="AA36" s="19"/>
    </row>
    <row r="37" spans="1:27" ht="12.75" customHeight="1" x14ac:dyDescent="0.2">
      <c r="A37" s="29">
        <f t="shared" si="0"/>
        <v>197.64999999999998</v>
      </c>
      <c r="B37" s="21">
        <v>-75.5</v>
      </c>
      <c r="C37" s="20">
        <v>2.0754199999999998</v>
      </c>
      <c r="D37" s="20">
        <f t="shared" si="2"/>
        <v>30.101476595999998</v>
      </c>
      <c r="E37" s="23">
        <v>1191.5899999999999</v>
      </c>
      <c r="F37" s="24">
        <v>5.8124500000000001</v>
      </c>
      <c r="G37" s="23"/>
      <c r="H37" s="23"/>
      <c r="I37" s="23"/>
      <c r="J37" s="23"/>
      <c r="K37" s="29"/>
      <c r="L37" s="29">
        <f t="shared" si="1"/>
        <v>108.14999999999998</v>
      </c>
      <c r="M37" s="21">
        <v>-165</v>
      </c>
      <c r="N37" s="20">
        <v>1.2740320808678555E-5</v>
      </c>
      <c r="O37" s="19"/>
      <c r="P37" s="19"/>
      <c r="Q37" s="19"/>
      <c r="R37" s="19"/>
      <c r="S37" s="19"/>
      <c r="T37" s="19"/>
      <c r="U37" s="19"/>
      <c r="V37" s="19"/>
      <c r="W37" s="19"/>
      <c r="X37" s="19"/>
      <c r="Y37" s="19"/>
      <c r="Z37" s="19"/>
      <c r="AA37" s="19"/>
    </row>
    <row r="38" spans="1:27" ht="12.75" customHeight="1" x14ac:dyDescent="0.2">
      <c r="A38" s="29">
        <f t="shared" si="0"/>
        <v>198.14999999999998</v>
      </c>
      <c r="B38" s="21">
        <v>-75</v>
      </c>
      <c r="C38" s="20">
        <v>2.1290300000000002</v>
      </c>
      <c r="D38" s="20">
        <f t="shared" si="2"/>
        <v>30.879025314000003</v>
      </c>
      <c r="E38" s="23">
        <v>1190.06</v>
      </c>
      <c r="F38" s="24">
        <v>5.9525100000000002</v>
      </c>
      <c r="G38" s="23"/>
      <c r="H38" s="23"/>
      <c r="I38" s="23"/>
      <c r="J38" s="23"/>
      <c r="K38" s="29"/>
      <c r="L38" s="29">
        <f t="shared" ref="L38:L69" si="3">M38+273.15</f>
        <v>108.64999999999998</v>
      </c>
      <c r="M38" s="21">
        <v>-164.5</v>
      </c>
      <c r="N38" s="20">
        <v>1.449336679787302E-5</v>
      </c>
      <c r="O38" s="19"/>
      <c r="P38" s="19"/>
      <c r="Q38" s="19"/>
      <c r="R38" s="19"/>
      <c r="S38" s="19"/>
      <c r="T38" s="19"/>
      <c r="U38" s="19"/>
      <c r="V38" s="19"/>
      <c r="W38" s="19"/>
      <c r="X38" s="19"/>
      <c r="Y38" s="19"/>
      <c r="Z38" s="19"/>
      <c r="AA38" s="19"/>
    </row>
    <row r="39" spans="1:27" ht="12.75" customHeight="1" x14ac:dyDescent="0.2">
      <c r="A39" s="29">
        <f t="shared" si="0"/>
        <v>198.64999999999998</v>
      </c>
      <c r="B39" s="21">
        <v>-74.5</v>
      </c>
      <c r="C39" s="20">
        <v>2.1837</v>
      </c>
      <c r="D39" s="20">
        <f t="shared" si="2"/>
        <v>31.671948059999998</v>
      </c>
      <c r="E39" s="23">
        <v>1188.53</v>
      </c>
      <c r="F39" s="24">
        <v>6.0951599999999999</v>
      </c>
      <c r="G39" s="23"/>
      <c r="H39" s="23"/>
      <c r="I39" s="23"/>
      <c r="J39" s="23"/>
      <c r="K39" s="29"/>
      <c r="L39" s="29">
        <f t="shared" si="3"/>
        <v>109.14999999999998</v>
      </c>
      <c r="M39" s="21">
        <v>-164</v>
      </c>
      <c r="N39" s="20">
        <v>1.646785900024198E-5</v>
      </c>
      <c r="O39" s="19"/>
      <c r="P39" s="19"/>
      <c r="Q39" s="19"/>
      <c r="R39" s="19"/>
      <c r="S39" s="19"/>
      <c r="T39" s="19"/>
      <c r="U39" s="19"/>
      <c r="V39" s="19"/>
      <c r="W39" s="19"/>
      <c r="X39" s="19"/>
      <c r="Y39" s="19"/>
      <c r="Z39" s="19"/>
      <c r="AA39" s="19"/>
    </row>
    <row r="40" spans="1:27" ht="12.75" customHeight="1" x14ac:dyDescent="0.2">
      <c r="A40" s="29">
        <f t="shared" si="0"/>
        <v>199.14999999999998</v>
      </c>
      <c r="B40" s="21">
        <v>-74</v>
      </c>
      <c r="C40" s="20">
        <v>2.2394500000000002</v>
      </c>
      <c r="D40" s="20">
        <f t="shared" si="2"/>
        <v>32.480534910000003</v>
      </c>
      <c r="E40" s="23">
        <v>1186.99</v>
      </c>
      <c r="F40" s="24">
        <v>6.2404200000000003</v>
      </c>
      <c r="G40" s="23"/>
      <c r="H40" s="23"/>
      <c r="I40" s="23"/>
      <c r="J40" s="23"/>
      <c r="K40" s="29"/>
      <c r="L40" s="29">
        <f t="shared" si="3"/>
        <v>109.64999999999998</v>
      </c>
      <c r="M40" s="21">
        <v>-163.5</v>
      </c>
      <c r="N40" s="20">
        <v>1.8689203207839238E-5</v>
      </c>
      <c r="O40" s="19"/>
      <c r="P40" s="19"/>
      <c r="Q40" s="19"/>
      <c r="R40" s="19"/>
      <c r="S40" s="19"/>
      <c r="T40" s="19"/>
      <c r="U40" s="19"/>
      <c r="V40" s="19"/>
      <c r="W40" s="19"/>
      <c r="X40" s="19"/>
      <c r="Y40" s="19"/>
      <c r="Z40" s="19"/>
      <c r="AA40" s="19"/>
    </row>
    <row r="41" spans="1:27" ht="12.75" customHeight="1" x14ac:dyDescent="0.2">
      <c r="A41" s="29">
        <f t="shared" si="0"/>
        <v>199.64999999999998</v>
      </c>
      <c r="B41" s="21">
        <v>-73.5</v>
      </c>
      <c r="C41" s="20">
        <v>2.2962899999999999</v>
      </c>
      <c r="D41" s="20">
        <f t="shared" si="2"/>
        <v>33.304930902000002</v>
      </c>
      <c r="E41" s="23">
        <v>1185.45</v>
      </c>
      <c r="F41" s="24">
        <v>6.3883400000000004</v>
      </c>
      <c r="G41" s="23"/>
      <c r="H41" s="23"/>
      <c r="I41" s="23"/>
      <c r="J41" s="23"/>
      <c r="K41" s="29"/>
      <c r="L41" s="29">
        <f t="shared" si="3"/>
        <v>110.14999999999998</v>
      </c>
      <c r="M41" s="21">
        <v>-163</v>
      </c>
      <c r="N41" s="20">
        <v>2.1185413907073693E-5</v>
      </c>
      <c r="O41" s="19"/>
      <c r="P41" s="19"/>
      <c r="Q41" s="19"/>
      <c r="R41" s="19"/>
      <c r="S41" s="19"/>
      <c r="T41" s="19"/>
      <c r="U41" s="19"/>
      <c r="V41" s="19"/>
      <c r="W41" s="19"/>
      <c r="X41" s="19"/>
      <c r="Y41" s="19"/>
      <c r="Z41" s="19"/>
      <c r="AA41" s="19"/>
    </row>
    <row r="42" spans="1:27" ht="12.75" customHeight="1" x14ac:dyDescent="0.2">
      <c r="A42" s="29">
        <f t="shared" si="0"/>
        <v>200.14999999999998</v>
      </c>
      <c r="B42" s="21">
        <v>-73</v>
      </c>
      <c r="C42" s="20">
        <v>2.3542399999999999</v>
      </c>
      <c r="D42" s="20">
        <f t="shared" si="2"/>
        <v>34.145426111999996</v>
      </c>
      <c r="E42" s="23">
        <v>1183.9100000000001</v>
      </c>
      <c r="F42" s="24">
        <v>6.5389400000000002</v>
      </c>
      <c r="G42" s="23"/>
      <c r="H42" s="23"/>
      <c r="I42" s="23"/>
      <c r="J42" s="23"/>
      <c r="K42" s="29"/>
      <c r="L42" s="29">
        <f t="shared" si="3"/>
        <v>110.64999999999998</v>
      </c>
      <c r="M42" s="21">
        <v>-162.5</v>
      </c>
      <c r="N42" s="20">
        <v>2.398734897815765E-5</v>
      </c>
      <c r="O42" s="19"/>
      <c r="P42" s="19"/>
      <c r="Q42" s="19"/>
      <c r="R42" s="19"/>
      <c r="S42" s="19"/>
      <c r="T42" s="19"/>
      <c r="U42" s="19"/>
      <c r="V42" s="19"/>
      <c r="W42" s="19"/>
      <c r="X42" s="19"/>
      <c r="Y42" s="19"/>
      <c r="Z42" s="19"/>
      <c r="AA42" s="19"/>
    </row>
    <row r="43" spans="1:27" ht="12.75" customHeight="1" x14ac:dyDescent="0.2">
      <c r="A43" s="29">
        <f t="shared" si="0"/>
        <v>200.64999999999998</v>
      </c>
      <c r="B43" s="21">
        <v>-72.5</v>
      </c>
      <c r="C43" s="20">
        <v>2.4133100000000001</v>
      </c>
      <c r="D43" s="20">
        <f t="shared" si="2"/>
        <v>35.002165578000003</v>
      </c>
      <c r="E43" s="23">
        <v>1182.3699999999999</v>
      </c>
      <c r="F43" s="24">
        <v>6.6922600000000001</v>
      </c>
      <c r="G43" s="23"/>
      <c r="H43" s="23"/>
      <c r="I43" s="23"/>
      <c r="J43" s="23"/>
      <c r="K43" s="29"/>
      <c r="L43" s="29">
        <f t="shared" si="3"/>
        <v>111.14999999999998</v>
      </c>
      <c r="M43" s="21">
        <v>-162</v>
      </c>
      <c r="N43" s="20">
        <v>2.712896228035723E-5</v>
      </c>
      <c r="O43" s="19"/>
      <c r="P43" s="19"/>
      <c r="Q43" s="19"/>
      <c r="R43" s="19"/>
      <c r="S43" s="19"/>
      <c r="T43" s="19"/>
      <c r="U43" s="19"/>
      <c r="V43" s="19"/>
      <c r="W43" s="19"/>
      <c r="X43" s="19"/>
      <c r="Y43" s="19"/>
      <c r="Z43" s="19"/>
      <c r="AA43" s="19"/>
    </row>
    <row r="44" spans="1:27" ht="12.75" customHeight="1" x14ac:dyDescent="0.2">
      <c r="A44" s="29">
        <f t="shared" si="0"/>
        <v>201.14999999999998</v>
      </c>
      <c r="B44" s="21">
        <v>-72</v>
      </c>
      <c r="C44" s="20">
        <v>2.4735200000000002</v>
      </c>
      <c r="D44" s="20">
        <f t="shared" si="2"/>
        <v>35.875439376000003</v>
      </c>
      <c r="E44" s="23">
        <v>1180.82</v>
      </c>
      <c r="F44" s="24">
        <v>6.8483299999999998</v>
      </c>
      <c r="G44" s="23"/>
      <c r="H44" s="23"/>
      <c r="I44" s="23"/>
      <c r="J44" s="23"/>
      <c r="K44" s="29"/>
      <c r="L44" s="29">
        <f t="shared" si="3"/>
        <v>111.64999999999998</v>
      </c>
      <c r="M44" s="21">
        <v>-161.5</v>
      </c>
      <c r="N44" s="20">
        <v>3.0647575207374258E-5</v>
      </c>
      <c r="O44" s="19"/>
      <c r="P44" s="19"/>
      <c r="Q44" s="19"/>
      <c r="R44" s="19"/>
      <c r="S44" s="19"/>
      <c r="T44" s="19"/>
      <c r="U44" s="19"/>
      <c r="V44" s="19"/>
      <c r="W44" s="19"/>
      <c r="X44" s="19"/>
      <c r="Y44" s="19"/>
      <c r="Z44" s="19"/>
      <c r="AA44" s="19"/>
    </row>
    <row r="45" spans="1:27" ht="12.75" customHeight="1" x14ac:dyDescent="0.2">
      <c r="A45" s="29">
        <f t="shared" si="0"/>
        <v>201.64999999999998</v>
      </c>
      <c r="B45" s="21">
        <v>-71.5</v>
      </c>
      <c r="C45" s="20">
        <v>2.5348799999999998</v>
      </c>
      <c r="D45" s="20">
        <f t="shared" si="2"/>
        <v>36.765392543999994</v>
      </c>
      <c r="E45" s="23">
        <v>1179.27</v>
      </c>
      <c r="F45" s="24">
        <v>7.00718</v>
      </c>
      <c r="G45" s="23"/>
      <c r="H45" s="23"/>
      <c r="I45" s="23"/>
      <c r="J45" s="23"/>
      <c r="K45" s="29"/>
      <c r="L45" s="29">
        <f t="shared" si="3"/>
        <v>112.14999999999998</v>
      </c>
      <c r="M45" s="21">
        <v>-161</v>
      </c>
      <c r="N45" s="20">
        <v>3.4584168341910059E-5</v>
      </c>
      <c r="O45" s="19"/>
      <c r="P45" s="19"/>
      <c r="Q45" s="19"/>
      <c r="R45" s="19"/>
      <c r="S45" s="19"/>
      <c r="T45" s="19"/>
      <c r="U45" s="19"/>
      <c r="V45" s="19"/>
      <c r="W45" s="19"/>
      <c r="X45" s="19"/>
      <c r="Y45" s="19"/>
      <c r="Z45" s="19"/>
      <c r="AA45" s="19"/>
    </row>
    <row r="46" spans="1:27" ht="12.75" customHeight="1" x14ac:dyDescent="0.2">
      <c r="A46" s="29">
        <f t="shared" si="0"/>
        <v>202.14999999999998</v>
      </c>
      <c r="B46" s="21">
        <v>-71</v>
      </c>
      <c r="C46" s="20">
        <v>2.5973999999999999</v>
      </c>
      <c r="D46" s="20">
        <f t="shared" si="2"/>
        <v>37.672170119999997</v>
      </c>
      <c r="E46" s="23">
        <v>1177.72</v>
      </c>
      <c r="F46" s="24">
        <v>7.1688499999999999</v>
      </c>
      <c r="G46" s="23"/>
      <c r="H46" s="23"/>
      <c r="I46" s="23"/>
      <c r="J46" s="23"/>
      <c r="K46" s="29"/>
      <c r="L46" s="29">
        <f t="shared" si="3"/>
        <v>112.64999999999998</v>
      </c>
      <c r="M46" s="21">
        <v>-160.5</v>
      </c>
      <c r="N46" s="20">
        <v>3.898369438364719E-5</v>
      </c>
      <c r="O46" s="19"/>
      <c r="P46" s="19"/>
      <c r="Q46" s="19"/>
      <c r="R46" s="19"/>
      <c r="S46" s="19"/>
      <c r="T46" s="19"/>
      <c r="U46" s="19"/>
      <c r="V46" s="19"/>
      <c r="W46" s="19"/>
      <c r="X46" s="19"/>
      <c r="Y46" s="19"/>
      <c r="Z46" s="19"/>
      <c r="AA46" s="19"/>
    </row>
    <row r="47" spans="1:27" ht="12.75" customHeight="1" x14ac:dyDescent="0.2">
      <c r="A47" s="29">
        <f t="shared" si="0"/>
        <v>202.64999999999998</v>
      </c>
      <c r="B47" s="21">
        <v>-70.5</v>
      </c>
      <c r="C47" s="20">
        <v>2.6610999999999998</v>
      </c>
      <c r="D47" s="20">
        <f t="shared" si="2"/>
        <v>38.596062179999997</v>
      </c>
      <c r="E47" s="23">
        <v>1176.17</v>
      </c>
      <c r="F47" s="24">
        <v>7.33338</v>
      </c>
      <c r="G47" s="23"/>
      <c r="H47" s="23"/>
      <c r="I47" s="23"/>
      <c r="J47" s="23"/>
      <c r="K47" s="29"/>
      <c r="L47" s="29">
        <f t="shared" si="3"/>
        <v>113.14999999999998</v>
      </c>
      <c r="M47" s="21">
        <v>-160</v>
      </c>
      <c r="N47" s="20">
        <v>4.3895413570435926E-5</v>
      </c>
      <c r="O47" s="19"/>
      <c r="P47" s="19"/>
      <c r="Q47" s="19"/>
      <c r="R47" s="19"/>
      <c r="S47" s="19"/>
      <c r="T47" s="19"/>
      <c r="U47" s="19"/>
      <c r="V47" s="19"/>
      <c r="W47" s="19"/>
      <c r="X47" s="19"/>
      <c r="Y47" s="19"/>
      <c r="Z47" s="19"/>
      <c r="AA47" s="19"/>
    </row>
    <row r="48" spans="1:27" ht="12.75" customHeight="1" x14ac:dyDescent="0.2">
      <c r="A48" s="29">
        <f t="shared" si="0"/>
        <v>203.14999999999998</v>
      </c>
      <c r="B48" s="21">
        <v>-70</v>
      </c>
      <c r="C48" s="20">
        <v>2.726</v>
      </c>
      <c r="D48" s="20">
        <f t="shared" si="2"/>
        <v>39.5373588</v>
      </c>
      <c r="E48" s="23">
        <v>1174.6099999999999</v>
      </c>
      <c r="F48" s="24">
        <v>7.5007999999999999</v>
      </c>
      <c r="G48" s="23"/>
      <c r="H48" s="23"/>
      <c r="I48" s="23"/>
      <c r="J48" s="23"/>
      <c r="K48" s="29"/>
      <c r="L48" s="29">
        <f t="shared" si="3"/>
        <v>113.64999999999998</v>
      </c>
      <c r="M48" s="21">
        <v>-159.5</v>
      </c>
      <c r="N48" s="20">
        <v>4.9373252858310777E-5</v>
      </c>
      <c r="O48" s="19"/>
      <c r="P48" s="19"/>
      <c r="Q48" s="19"/>
      <c r="R48" s="19"/>
      <c r="S48" s="19"/>
      <c r="T48" s="19"/>
      <c r="U48" s="19"/>
      <c r="V48" s="19"/>
      <c r="W48" s="19"/>
      <c r="X48" s="19"/>
      <c r="Y48" s="19"/>
      <c r="Z48" s="19"/>
      <c r="AA48" s="19"/>
    </row>
    <row r="49" spans="1:27" ht="12.75" customHeight="1" x14ac:dyDescent="0.2">
      <c r="A49" s="29">
        <f t="shared" si="0"/>
        <v>203.64999999999998</v>
      </c>
      <c r="B49" s="21">
        <v>-69.5</v>
      </c>
      <c r="C49" s="20">
        <v>2.7921</v>
      </c>
      <c r="D49" s="20">
        <f t="shared" si="2"/>
        <v>40.496059979999998</v>
      </c>
      <c r="E49" s="23">
        <v>1173.05</v>
      </c>
      <c r="F49" s="24">
        <v>7.6711400000000003</v>
      </c>
      <c r="G49" s="23"/>
      <c r="H49" s="23"/>
      <c r="I49" s="23"/>
      <c r="J49" s="23"/>
      <c r="K49" s="29"/>
      <c r="L49" s="29">
        <f t="shared" si="3"/>
        <v>114.14999999999998</v>
      </c>
      <c r="M49" s="21">
        <v>-159</v>
      </c>
      <c r="N49" s="20">
        <v>5.5476190171972234E-5</v>
      </c>
      <c r="O49" s="19"/>
      <c r="P49" s="19"/>
      <c r="Q49" s="19"/>
      <c r="R49" s="19"/>
      <c r="S49" s="19"/>
      <c r="T49" s="19"/>
      <c r="U49" s="19"/>
      <c r="V49" s="19"/>
      <c r="W49" s="19"/>
      <c r="X49" s="19"/>
      <c r="Y49" s="19"/>
      <c r="Z49" s="19"/>
      <c r="AA49" s="19"/>
    </row>
    <row r="50" spans="1:27" ht="12.75" customHeight="1" x14ac:dyDescent="0.2">
      <c r="A50" s="29">
        <f t="shared" si="0"/>
        <v>204.14999999999998</v>
      </c>
      <c r="B50" s="21">
        <v>-69</v>
      </c>
      <c r="C50" s="20">
        <v>2.8594300000000001</v>
      </c>
      <c r="D50" s="20">
        <f t="shared" si="2"/>
        <v>41.472600834000005</v>
      </c>
      <c r="E50" s="23">
        <v>1171.49</v>
      </c>
      <c r="F50" s="24">
        <v>7.8444500000000001</v>
      </c>
      <c r="G50" s="23"/>
      <c r="H50" s="23"/>
      <c r="I50" s="23"/>
      <c r="J50" s="23"/>
      <c r="K50" s="29"/>
      <c r="L50" s="29">
        <f t="shared" si="3"/>
        <v>114.64999999999998</v>
      </c>
      <c r="M50" s="21">
        <v>-158.5</v>
      </c>
      <c r="N50" s="20">
        <v>6.2268665083474887E-5</v>
      </c>
      <c r="O50" s="19"/>
      <c r="P50" s="19"/>
      <c r="Q50" s="19"/>
      <c r="R50" s="19"/>
      <c r="S50" s="19"/>
      <c r="T50" s="19"/>
      <c r="U50" s="19"/>
      <c r="V50" s="19"/>
      <c r="W50" s="19"/>
      <c r="X50" s="19"/>
      <c r="Y50" s="19"/>
      <c r="Z50" s="19"/>
      <c r="AA50" s="19"/>
    </row>
    <row r="51" spans="1:27" ht="12.75" customHeight="1" x14ac:dyDescent="0.2">
      <c r="A51" s="29">
        <f t="shared" si="0"/>
        <v>204.64999999999998</v>
      </c>
      <c r="B51" s="21">
        <v>-68.5</v>
      </c>
      <c r="C51" s="20">
        <v>2.9279999999999999</v>
      </c>
      <c r="D51" s="20">
        <f t="shared" si="2"/>
        <v>42.467126399999998</v>
      </c>
      <c r="E51" s="23">
        <v>1169.92</v>
      </c>
      <c r="F51" s="24">
        <v>8.0207499999999996</v>
      </c>
      <c r="G51" s="23"/>
      <c r="H51" s="23"/>
      <c r="I51" s="23"/>
      <c r="J51" s="23"/>
      <c r="K51" s="29"/>
      <c r="L51" s="29">
        <f t="shared" si="3"/>
        <v>115.14999999999998</v>
      </c>
      <c r="M51" s="21">
        <v>-158</v>
      </c>
      <c r="N51" s="20">
        <v>6.9821017322935195E-5</v>
      </c>
      <c r="O51" s="19"/>
      <c r="P51" s="19"/>
      <c r="Q51" s="19"/>
      <c r="R51" s="19"/>
      <c r="S51" s="19"/>
      <c r="T51" s="19"/>
      <c r="U51" s="19"/>
      <c r="V51" s="19"/>
      <c r="W51" s="19"/>
      <c r="X51" s="19"/>
      <c r="Y51" s="19"/>
      <c r="Z51" s="19"/>
      <c r="AA51" s="19"/>
    </row>
    <row r="52" spans="1:27" ht="12.75" customHeight="1" x14ac:dyDescent="0.2">
      <c r="A52" s="29">
        <f t="shared" si="0"/>
        <v>205.14999999999998</v>
      </c>
      <c r="B52" s="21">
        <v>-68</v>
      </c>
      <c r="C52" s="20">
        <v>2.9978099999999999</v>
      </c>
      <c r="D52" s="20">
        <f t="shared" si="2"/>
        <v>43.479636677999999</v>
      </c>
      <c r="E52" s="23">
        <v>1168.3599999999999</v>
      </c>
      <c r="F52" s="24">
        <v>8.2000799999999998</v>
      </c>
      <c r="G52" s="23"/>
      <c r="H52" s="23"/>
      <c r="I52" s="23"/>
      <c r="J52" s="23"/>
      <c r="K52" s="29"/>
      <c r="L52" s="29">
        <f t="shared" si="3"/>
        <v>115.64999999999998</v>
      </c>
      <c r="M52" s="21">
        <v>-157.5</v>
      </c>
      <c r="N52" s="20">
        <v>7.8209954571003198E-5</v>
      </c>
      <c r="O52" s="19"/>
      <c r="P52" s="19"/>
      <c r="Q52" s="19"/>
      <c r="R52" s="19"/>
      <c r="S52" s="19"/>
      <c r="T52" s="19"/>
      <c r="U52" s="19"/>
      <c r="V52" s="19"/>
      <c r="W52" s="19"/>
      <c r="X52" s="19"/>
      <c r="Y52" s="19"/>
      <c r="Z52" s="19"/>
      <c r="AA52" s="19"/>
    </row>
    <row r="53" spans="1:27" ht="12.75" customHeight="1" x14ac:dyDescent="0.2">
      <c r="A53" s="29">
        <f t="shared" si="0"/>
        <v>205.64999999999998</v>
      </c>
      <c r="B53" s="21">
        <v>-67.5</v>
      </c>
      <c r="C53" s="20">
        <v>3.0689000000000002</v>
      </c>
      <c r="D53" s="20">
        <f t="shared" si="2"/>
        <v>44.510711820000004</v>
      </c>
      <c r="E53" s="23">
        <v>1166.78</v>
      </c>
      <c r="F53" s="24">
        <v>8.3824799999999993</v>
      </c>
      <c r="G53" s="23"/>
      <c r="H53" s="23"/>
      <c r="I53" s="23"/>
      <c r="J53" s="23"/>
      <c r="K53" s="29"/>
      <c r="L53" s="29">
        <f t="shared" si="3"/>
        <v>116.14999999999998</v>
      </c>
      <c r="M53" s="21">
        <v>-157</v>
      </c>
      <c r="N53" s="20">
        <v>8.7519051028547436E-5</v>
      </c>
      <c r="O53" s="19"/>
      <c r="P53" s="19"/>
      <c r="Q53" s="19"/>
      <c r="R53" s="19"/>
      <c r="S53" s="19"/>
      <c r="T53" s="19"/>
      <c r="U53" s="19"/>
      <c r="V53" s="19"/>
      <c r="W53" s="19"/>
      <c r="X53" s="19"/>
      <c r="Y53" s="19"/>
      <c r="Z53" s="19"/>
      <c r="AA53" s="19"/>
    </row>
    <row r="54" spans="1:27" ht="12.75" customHeight="1" x14ac:dyDescent="0.2">
      <c r="A54" s="29">
        <f t="shared" si="0"/>
        <v>206.14999999999998</v>
      </c>
      <c r="B54" s="21">
        <v>-67</v>
      </c>
      <c r="C54" s="20">
        <v>3.1412599999999999</v>
      </c>
      <c r="D54" s="20">
        <f t="shared" si="2"/>
        <v>45.560206788000002</v>
      </c>
      <c r="E54" s="23">
        <v>1165.21</v>
      </c>
      <c r="F54" s="24">
        <v>8.5679800000000004</v>
      </c>
      <c r="G54" s="23"/>
      <c r="H54" s="23"/>
      <c r="I54" s="23"/>
      <c r="J54" s="23"/>
      <c r="K54" s="29"/>
      <c r="L54" s="29">
        <f t="shared" si="3"/>
        <v>116.64999999999998</v>
      </c>
      <c r="M54" s="21">
        <v>-156.5</v>
      </c>
      <c r="N54" s="20">
        <v>9.7839278304300879E-5</v>
      </c>
      <c r="O54" s="19"/>
      <c r="P54" s="19"/>
      <c r="Q54" s="19"/>
      <c r="R54" s="19"/>
      <c r="S54" s="19"/>
      <c r="T54" s="19"/>
      <c r="U54" s="19"/>
      <c r="V54" s="19"/>
      <c r="W54" s="19"/>
      <c r="X54" s="19"/>
      <c r="Y54" s="19"/>
      <c r="Z54" s="19"/>
      <c r="AA54" s="19"/>
    </row>
    <row r="55" spans="1:27" ht="12.75" customHeight="1" x14ac:dyDescent="0.2">
      <c r="A55" s="29">
        <f t="shared" si="0"/>
        <v>206.64999999999998</v>
      </c>
      <c r="B55" s="21">
        <v>-66.5</v>
      </c>
      <c r="C55" s="20">
        <v>3.2149299999999998</v>
      </c>
      <c r="D55" s="20">
        <f t="shared" si="2"/>
        <v>46.628701733999996</v>
      </c>
      <c r="E55" s="23">
        <v>1163.6300000000001</v>
      </c>
      <c r="F55" s="24">
        <v>8.7566299999999995</v>
      </c>
      <c r="G55" s="23"/>
      <c r="H55" s="23"/>
      <c r="I55" s="23"/>
      <c r="J55" s="23"/>
      <c r="K55" s="29"/>
      <c r="L55" s="29">
        <f t="shared" si="3"/>
        <v>117.14999999999998</v>
      </c>
      <c r="M55" s="21">
        <v>-156</v>
      </c>
      <c r="N55" s="20">
        <v>1.0926957020605894E-4</v>
      </c>
      <c r="O55" s="19"/>
      <c r="P55" s="19"/>
      <c r="Q55" s="19"/>
      <c r="R55" s="19"/>
      <c r="S55" s="19"/>
      <c r="T55" s="19"/>
      <c r="U55" s="19"/>
      <c r="V55" s="19"/>
      <c r="W55" s="19"/>
      <c r="X55" s="19"/>
      <c r="Y55" s="19"/>
      <c r="Z55" s="19"/>
      <c r="AA55" s="19"/>
    </row>
    <row r="56" spans="1:27" ht="12.75" customHeight="1" x14ac:dyDescent="0.2">
      <c r="A56" s="29">
        <f t="shared" si="0"/>
        <v>207.14999999999998</v>
      </c>
      <c r="B56" s="21">
        <v>-66</v>
      </c>
      <c r="C56" s="20">
        <v>3.2898999999999998</v>
      </c>
      <c r="D56" s="20">
        <f t="shared" si="2"/>
        <v>47.716051619999995</v>
      </c>
      <c r="E56" s="23">
        <v>1162.05</v>
      </c>
      <c r="F56" s="24">
        <v>8.9484600000000007</v>
      </c>
      <c r="G56" s="23"/>
      <c r="H56" s="23"/>
      <c r="I56" s="23"/>
      <c r="J56" s="23"/>
      <c r="K56" s="29"/>
      <c r="L56" s="29">
        <f t="shared" si="3"/>
        <v>117.64999999999998</v>
      </c>
      <c r="M56" s="21">
        <v>-155.5</v>
      </c>
      <c r="N56" s="20">
        <v>1.2191742306520901E-4</v>
      </c>
      <c r="O56" s="19"/>
      <c r="P56" s="19"/>
      <c r="Q56" s="19"/>
      <c r="R56" s="19"/>
      <c r="S56" s="19"/>
      <c r="T56" s="19"/>
      <c r="U56" s="19"/>
      <c r="V56" s="19"/>
      <c r="W56" s="19"/>
      <c r="X56" s="19"/>
      <c r="Y56" s="19"/>
      <c r="Z56" s="19"/>
      <c r="AA56" s="19"/>
    </row>
    <row r="57" spans="1:27" ht="12.75" customHeight="1" x14ac:dyDescent="0.2">
      <c r="A57" s="29">
        <f t="shared" si="0"/>
        <v>207.64999999999998</v>
      </c>
      <c r="B57" s="21">
        <v>-65.5</v>
      </c>
      <c r="C57" s="20">
        <v>3.3662100000000001</v>
      </c>
      <c r="D57" s="20">
        <f t="shared" si="2"/>
        <v>48.822836598000002</v>
      </c>
      <c r="E57" s="23">
        <v>1160.47</v>
      </c>
      <c r="F57" s="24">
        <v>9.1434999999999995</v>
      </c>
      <c r="G57" s="23"/>
      <c r="H57" s="23"/>
      <c r="I57" s="23"/>
      <c r="J57" s="23"/>
      <c r="K57" s="29"/>
      <c r="L57" s="29">
        <f t="shared" si="3"/>
        <v>118.14999999999998</v>
      </c>
      <c r="M57" s="21">
        <v>-155</v>
      </c>
      <c r="N57" s="20">
        <v>1.3589953326783346E-4</v>
      </c>
      <c r="O57" s="19"/>
      <c r="P57" s="19"/>
      <c r="Q57" s="19"/>
      <c r="R57" s="19"/>
      <c r="S57" s="19"/>
      <c r="T57" s="19"/>
      <c r="U57" s="19"/>
      <c r="V57" s="19"/>
      <c r="W57" s="19"/>
      <c r="X57" s="19"/>
      <c r="Y57" s="19"/>
      <c r="Z57" s="19"/>
      <c r="AA57" s="19"/>
    </row>
    <row r="58" spans="1:27" ht="12.75" customHeight="1" x14ac:dyDescent="0.2">
      <c r="A58" s="29">
        <f t="shared" si="0"/>
        <v>208.14999999999998</v>
      </c>
      <c r="B58" s="21">
        <v>-65</v>
      </c>
      <c r="C58" s="20">
        <v>3.4438599999999999</v>
      </c>
      <c r="D58" s="20">
        <f t="shared" si="2"/>
        <v>49.949056667999997</v>
      </c>
      <c r="E58" s="23">
        <v>1158.8800000000001</v>
      </c>
      <c r="F58" s="24">
        <v>9.3417999999999992</v>
      </c>
      <c r="G58" s="23"/>
      <c r="H58" s="23"/>
      <c r="I58" s="23"/>
      <c r="J58" s="23"/>
      <c r="K58" s="29"/>
      <c r="L58" s="29">
        <f t="shared" si="3"/>
        <v>118.64999999999998</v>
      </c>
      <c r="M58" s="21">
        <v>-154.5</v>
      </c>
      <c r="N58" s="20">
        <v>1.5134247370818778E-4</v>
      </c>
      <c r="O58" s="19"/>
      <c r="P58" s="19"/>
      <c r="Q58" s="19"/>
      <c r="R58" s="19"/>
      <c r="S58" s="19"/>
      <c r="T58" s="19"/>
      <c r="U58" s="19"/>
      <c r="V58" s="19"/>
      <c r="W58" s="19"/>
      <c r="X58" s="19"/>
      <c r="Y58" s="19"/>
      <c r="Z58" s="19"/>
      <c r="AA58" s="19"/>
    </row>
    <row r="59" spans="1:27" ht="12.75" customHeight="1" x14ac:dyDescent="0.2">
      <c r="A59" s="29">
        <f t="shared" si="0"/>
        <v>208.64999999999998</v>
      </c>
      <c r="B59" s="21">
        <v>-64.5</v>
      </c>
      <c r="C59" s="20">
        <v>3.5228600000000001</v>
      </c>
      <c r="D59" s="20">
        <f t="shared" si="2"/>
        <v>51.094856868000001</v>
      </c>
      <c r="E59" s="23">
        <v>1157.29</v>
      </c>
      <c r="F59" s="24">
        <v>9.5433900000000005</v>
      </c>
      <c r="G59" s="23"/>
      <c r="H59" s="23"/>
      <c r="I59" s="23"/>
      <c r="J59" s="23"/>
      <c r="K59" s="29"/>
      <c r="L59" s="29">
        <f t="shared" si="3"/>
        <v>119.14999999999998</v>
      </c>
      <c r="M59" s="21">
        <v>-154</v>
      </c>
      <c r="N59" s="20">
        <v>1.683834109219039E-4</v>
      </c>
      <c r="O59" s="19"/>
      <c r="P59" s="19"/>
      <c r="Q59" s="19"/>
      <c r="R59" s="19"/>
      <c r="S59" s="19"/>
      <c r="T59" s="19"/>
      <c r="U59" s="19"/>
      <c r="V59" s="19"/>
      <c r="W59" s="19"/>
      <c r="X59" s="19"/>
      <c r="Y59" s="19"/>
      <c r="Z59" s="19"/>
      <c r="AA59" s="19"/>
    </row>
    <row r="60" spans="1:27" ht="12.75" customHeight="1" x14ac:dyDescent="0.2">
      <c r="A60" s="29">
        <f t="shared" si="0"/>
        <v>209.14999999999998</v>
      </c>
      <c r="B60" s="21">
        <v>-64</v>
      </c>
      <c r="C60" s="20">
        <v>3.60324</v>
      </c>
      <c r="D60" s="20">
        <f t="shared" si="2"/>
        <v>52.260672311999997</v>
      </c>
      <c r="E60" s="23">
        <v>1155.7</v>
      </c>
      <c r="F60" s="24">
        <v>9.7483199999999997</v>
      </c>
      <c r="G60" s="23"/>
      <c r="H60" s="23"/>
      <c r="I60" s="23"/>
      <c r="J60" s="23"/>
      <c r="K60" s="29"/>
      <c r="L60" s="29">
        <f t="shared" si="3"/>
        <v>119.64999999999998</v>
      </c>
      <c r="M60" s="21">
        <v>-153.5</v>
      </c>
      <c r="N60" s="20">
        <v>1.8717086469663635E-4</v>
      </c>
      <c r="O60" s="19"/>
      <c r="P60" s="19"/>
      <c r="Q60" s="19"/>
      <c r="R60" s="19"/>
      <c r="S60" s="19"/>
      <c r="T60" s="19"/>
      <c r="U60" s="19"/>
      <c r="V60" s="19"/>
      <c r="W60" s="19"/>
      <c r="X60" s="19"/>
      <c r="Y60" s="19"/>
      <c r="Z60" s="19"/>
      <c r="AA60" s="19"/>
    </row>
    <row r="61" spans="1:27" ht="12.75" customHeight="1" x14ac:dyDescent="0.2">
      <c r="A61" s="29">
        <f t="shared" si="0"/>
        <v>209.64999999999998</v>
      </c>
      <c r="B61" s="21">
        <v>-63.5</v>
      </c>
      <c r="C61" s="20">
        <v>3.6850000000000001</v>
      </c>
      <c r="D61" s="20">
        <f t="shared" si="2"/>
        <v>53.446503</v>
      </c>
      <c r="E61" s="23">
        <v>1154.0999999999999</v>
      </c>
      <c r="F61" s="24">
        <v>9.9566099999999995</v>
      </c>
      <c r="G61" s="23"/>
      <c r="H61" s="23"/>
      <c r="I61" s="23"/>
      <c r="J61" s="23"/>
      <c r="K61" s="29"/>
      <c r="L61" s="29">
        <f t="shared" si="3"/>
        <v>120.14999999999998</v>
      </c>
      <c r="M61" s="21">
        <v>-153</v>
      </c>
      <c r="N61" s="20">
        <v>2.0786551199697314E-4</v>
      </c>
      <c r="O61" s="19"/>
      <c r="P61" s="19"/>
      <c r="Q61" s="19"/>
      <c r="R61" s="19"/>
      <c r="S61" s="19"/>
      <c r="T61" s="19"/>
      <c r="U61" s="19"/>
      <c r="V61" s="19"/>
      <c r="W61" s="19"/>
      <c r="X61" s="19"/>
      <c r="Y61" s="19"/>
      <c r="Z61" s="19"/>
      <c r="AA61" s="19"/>
    </row>
    <row r="62" spans="1:27" ht="12.75" customHeight="1" x14ac:dyDescent="0.2">
      <c r="A62" s="29">
        <f t="shared" si="0"/>
        <v>210.14999999999998</v>
      </c>
      <c r="B62" s="21">
        <v>-63</v>
      </c>
      <c r="C62" s="20">
        <v>3.76817</v>
      </c>
      <c r="D62" s="20">
        <f t="shared" si="2"/>
        <v>54.652784046000001</v>
      </c>
      <c r="E62" s="23">
        <v>1152.5</v>
      </c>
      <c r="F62" s="24">
        <v>10.16832</v>
      </c>
      <c r="G62" s="23"/>
      <c r="H62" s="23"/>
      <c r="I62" s="23"/>
      <c r="J62" s="23"/>
      <c r="K62" s="29"/>
      <c r="L62" s="29">
        <f t="shared" si="3"/>
        <v>120.64999999999998</v>
      </c>
      <c r="M62" s="21">
        <v>-152.5</v>
      </c>
      <c r="N62" s="20">
        <v>2.3064103707800065E-4</v>
      </c>
      <c r="O62" s="19"/>
      <c r="P62" s="19"/>
      <c r="Q62" s="19"/>
      <c r="R62" s="19"/>
      <c r="S62" s="19"/>
      <c r="T62" s="19"/>
      <c r="U62" s="19"/>
      <c r="V62" s="19"/>
      <c r="W62" s="19"/>
      <c r="X62" s="19"/>
      <c r="Y62" s="19"/>
      <c r="Z62" s="19"/>
      <c r="AA62" s="19"/>
    </row>
    <row r="63" spans="1:27" ht="12.75" customHeight="1" x14ac:dyDescent="0.2">
      <c r="A63" s="29">
        <f t="shared" si="0"/>
        <v>210.64999999999998</v>
      </c>
      <c r="B63" s="21">
        <v>-62.5</v>
      </c>
      <c r="C63" s="20">
        <v>3.85276</v>
      </c>
      <c r="D63" s="20">
        <f t="shared" si="2"/>
        <v>55.879660487999999</v>
      </c>
      <c r="E63" s="23">
        <v>1150.9000000000001</v>
      </c>
      <c r="F63" s="24">
        <v>10.383470000000001</v>
      </c>
      <c r="G63" s="23"/>
      <c r="H63" s="23"/>
      <c r="I63" s="23"/>
      <c r="J63" s="23"/>
      <c r="K63" s="29"/>
      <c r="L63" s="29">
        <f t="shared" si="3"/>
        <v>121.14999999999998</v>
      </c>
      <c r="M63" s="21">
        <v>-152</v>
      </c>
      <c r="N63" s="20">
        <v>2.5568502969802433E-4</v>
      </c>
      <c r="O63" s="19"/>
      <c r="P63" s="19"/>
      <c r="Q63" s="19"/>
      <c r="R63" s="19"/>
      <c r="S63" s="19"/>
      <c r="T63" s="19"/>
      <c r="U63" s="19"/>
      <c r="V63" s="19"/>
      <c r="W63" s="19"/>
      <c r="X63" s="19"/>
      <c r="Y63" s="19"/>
      <c r="Z63" s="19"/>
      <c r="AA63" s="19"/>
    </row>
    <row r="64" spans="1:27" ht="12.75" customHeight="1" x14ac:dyDescent="0.2">
      <c r="A64" s="29">
        <f t="shared" si="0"/>
        <v>211.14999999999998</v>
      </c>
      <c r="B64" s="21">
        <v>-62</v>
      </c>
      <c r="C64" s="20">
        <v>3.93879</v>
      </c>
      <c r="D64" s="20">
        <f t="shared" si="2"/>
        <v>57.127422402000001</v>
      </c>
      <c r="E64" s="23">
        <v>1149.29</v>
      </c>
      <c r="F64" s="24">
        <v>10.602119999999999</v>
      </c>
      <c r="G64" s="23"/>
      <c r="H64" s="23"/>
      <c r="I64" s="23"/>
      <c r="J64" s="23"/>
      <c r="K64" s="29"/>
      <c r="L64" s="29">
        <f t="shared" si="3"/>
        <v>121.64999999999998</v>
      </c>
      <c r="M64" s="21">
        <v>-151.5</v>
      </c>
      <c r="N64" s="20">
        <v>2.8319993337513709E-4</v>
      </c>
      <c r="O64" s="19"/>
      <c r="P64" s="19"/>
      <c r="Q64" s="19"/>
      <c r="R64" s="19"/>
      <c r="S64" s="19"/>
      <c r="T64" s="19"/>
      <c r="U64" s="19"/>
      <c r="V64" s="19"/>
      <c r="W64" s="19"/>
      <c r="X64" s="19"/>
      <c r="Y64" s="19"/>
      <c r="Z64" s="19"/>
      <c r="AA64" s="19"/>
    </row>
    <row r="65" spans="1:27" ht="12.75" customHeight="1" x14ac:dyDescent="0.2">
      <c r="A65" s="29">
        <f t="shared" si="0"/>
        <v>211.64999999999998</v>
      </c>
      <c r="B65" s="21">
        <v>-61.5</v>
      </c>
      <c r="C65" s="20">
        <v>4.0262599999999997</v>
      </c>
      <c r="D65" s="20">
        <f t="shared" si="2"/>
        <v>58.396069787999998</v>
      </c>
      <c r="E65" s="23">
        <v>1147.68</v>
      </c>
      <c r="F65" s="24">
        <v>10.82429</v>
      </c>
      <c r="G65" s="23"/>
      <c r="H65" s="23"/>
      <c r="I65" s="23"/>
      <c r="J65" s="23"/>
      <c r="K65" s="29"/>
      <c r="L65" s="29">
        <f t="shared" si="3"/>
        <v>122.14999999999998</v>
      </c>
      <c r="M65" s="21">
        <v>-151</v>
      </c>
      <c r="N65" s="20">
        <v>3.1340404566482564E-4</v>
      </c>
      <c r="O65" s="19"/>
      <c r="P65" s="19"/>
      <c r="Q65" s="19"/>
      <c r="R65" s="19"/>
      <c r="S65" s="19"/>
      <c r="T65" s="19"/>
      <c r="U65" s="19"/>
      <c r="V65" s="19"/>
      <c r="W65" s="19"/>
      <c r="X65" s="19"/>
      <c r="Y65" s="19"/>
      <c r="Z65" s="19"/>
      <c r="AA65" s="19"/>
    </row>
    <row r="66" spans="1:27" ht="12.75" customHeight="1" x14ac:dyDescent="0.2">
      <c r="A66" s="29">
        <f t="shared" si="0"/>
        <v>212.14999999999998</v>
      </c>
      <c r="B66" s="21">
        <v>-61</v>
      </c>
      <c r="C66" s="20">
        <v>4.1151999999999997</v>
      </c>
      <c r="D66" s="20">
        <f t="shared" si="2"/>
        <v>59.686037759999998</v>
      </c>
      <c r="E66" s="23">
        <v>1146.07</v>
      </c>
      <c r="F66" s="24">
        <v>11.050039999999999</v>
      </c>
      <c r="G66" s="23"/>
      <c r="H66" s="23"/>
      <c r="I66" s="23"/>
      <c r="J66" s="23"/>
      <c r="K66" s="29"/>
      <c r="L66" s="29">
        <f t="shared" si="3"/>
        <v>122.64999999999998</v>
      </c>
      <c r="M66" s="21">
        <v>-150.5</v>
      </c>
      <c r="N66" s="20">
        <v>3.4653257246605837E-4</v>
      </c>
      <c r="O66" s="19"/>
      <c r="P66" s="19"/>
      <c r="Q66" s="19"/>
      <c r="R66" s="19"/>
      <c r="S66" s="19"/>
      <c r="T66" s="19"/>
      <c r="U66" s="19"/>
      <c r="V66" s="19"/>
      <c r="W66" s="19"/>
      <c r="X66" s="19"/>
      <c r="Y66" s="19"/>
      <c r="Z66" s="19"/>
      <c r="AA66" s="19"/>
    </row>
    <row r="67" spans="1:27" ht="12.75" customHeight="1" x14ac:dyDescent="0.2">
      <c r="A67" s="29">
        <f t="shared" si="0"/>
        <v>212.64999999999998</v>
      </c>
      <c r="B67" s="21">
        <v>-60.5</v>
      </c>
      <c r="C67" s="20">
        <v>4.2056300000000002</v>
      </c>
      <c r="D67" s="20">
        <f t="shared" si="2"/>
        <v>60.997616394000005</v>
      </c>
      <c r="E67" s="23">
        <v>1144.45</v>
      </c>
      <c r="F67" s="24">
        <v>11.279400000000001</v>
      </c>
      <c r="G67" s="23"/>
      <c r="H67" s="23"/>
      <c r="I67" s="23"/>
      <c r="J67" s="23"/>
      <c r="K67" s="29"/>
      <c r="L67" s="29">
        <f t="shared" si="3"/>
        <v>123.14999999999998</v>
      </c>
      <c r="M67" s="21">
        <v>-150</v>
      </c>
      <c r="N67" s="20">
        <v>3.8283873839155378E-4</v>
      </c>
      <c r="O67" s="19"/>
      <c r="P67" s="19"/>
      <c r="Q67" s="19"/>
      <c r="R67" s="19"/>
      <c r="S67" s="19"/>
      <c r="T67" s="19"/>
      <c r="U67" s="19"/>
      <c r="V67" s="19"/>
      <c r="W67" s="19"/>
      <c r="X67" s="19"/>
      <c r="Y67" s="19"/>
      <c r="Z67" s="19"/>
      <c r="AA67" s="19"/>
    </row>
    <row r="68" spans="1:27" ht="12.75" customHeight="1" x14ac:dyDescent="0.2">
      <c r="A68" s="29">
        <f t="shared" si="0"/>
        <v>213.14999999999998</v>
      </c>
      <c r="B68" s="21">
        <v>-60</v>
      </c>
      <c r="C68" s="20">
        <v>4.2975500000000002</v>
      </c>
      <c r="D68" s="20">
        <f t="shared" si="2"/>
        <v>62.330805690000005</v>
      </c>
      <c r="E68" s="23">
        <v>1142.83</v>
      </c>
      <c r="F68" s="24">
        <v>11.512409999999999</v>
      </c>
      <c r="G68" s="23"/>
      <c r="H68" s="23"/>
      <c r="I68" s="23"/>
      <c r="J68" s="23"/>
      <c r="K68" s="29"/>
      <c r="L68" s="29">
        <f t="shared" si="3"/>
        <v>123.64999999999998</v>
      </c>
      <c r="M68" s="21">
        <v>-149.5</v>
      </c>
      <c r="N68" s="20">
        <v>4.2259495526369875E-4</v>
      </c>
      <c r="O68" s="19"/>
      <c r="P68" s="19"/>
      <c r="Q68" s="19"/>
      <c r="R68" s="19"/>
      <c r="S68" s="19"/>
      <c r="T68" s="19"/>
      <c r="U68" s="19"/>
      <c r="V68" s="19"/>
      <c r="W68" s="19"/>
      <c r="X68" s="19"/>
      <c r="Y68" s="19"/>
      <c r="Z68" s="19"/>
      <c r="AA68" s="19"/>
    </row>
    <row r="69" spans="1:27" ht="12.75" customHeight="1" x14ac:dyDescent="0.2">
      <c r="A69" s="29">
        <f t="shared" si="0"/>
        <v>213.64999999999998</v>
      </c>
      <c r="B69" s="21">
        <v>-59.5</v>
      </c>
      <c r="C69" s="20">
        <v>4.3909799999999999</v>
      </c>
      <c r="D69" s="20">
        <f t="shared" si="2"/>
        <v>63.685895723999998</v>
      </c>
      <c r="E69" s="23">
        <v>1141.21</v>
      </c>
      <c r="F69" s="24">
        <v>11.74912</v>
      </c>
      <c r="G69" s="23"/>
      <c r="H69" s="23"/>
      <c r="I69" s="23"/>
      <c r="J69" s="23"/>
      <c r="K69" s="29"/>
      <c r="L69" s="29">
        <f t="shared" si="3"/>
        <v>124.14999999999998</v>
      </c>
      <c r="M69" s="21">
        <v>-149</v>
      </c>
      <c r="N69" s="20">
        <v>4.6609405082094973E-4</v>
      </c>
      <c r="O69" s="19"/>
      <c r="P69" s="19"/>
      <c r="Q69" s="19"/>
      <c r="R69" s="19"/>
      <c r="S69" s="19"/>
      <c r="T69" s="19"/>
      <c r="U69" s="19"/>
      <c r="V69" s="19"/>
      <c r="W69" s="19"/>
      <c r="X69" s="19"/>
      <c r="Y69" s="19"/>
      <c r="Z69" s="19"/>
      <c r="AA69" s="19"/>
    </row>
    <row r="70" spans="1:27" ht="12.75" customHeight="1" x14ac:dyDescent="0.2">
      <c r="A70" s="29">
        <f t="shared" ref="A70:A133" si="4">B70+273.15</f>
        <v>214.14999999999998</v>
      </c>
      <c r="B70" s="21">
        <v>-59</v>
      </c>
      <c r="C70" s="20">
        <v>4.4859400000000003</v>
      </c>
      <c r="D70" s="20">
        <f t="shared" si="2"/>
        <v>65.063176572000003</v>
      </c>
      <c r="E70" s="23">
        <v>1139.58</v>
      </c>
      <c r="F70" s="24">
        <v>11.989570000000001</v>
      </c>
      <c r="G70" s="23"/>
      <c r="H70" s="23"/>
      <c r="I70" s="23"/>
      <c r="J70" s="23"/>
      <c r="K70" s="29"/>
      <c r="L70" s="29">
        <f t="shared" ref="L70:L101" si="5">M70+273.15</f>
        <v>124.64999999999998</v>
      </c>
      <c r="M70" s="21">
        <v>-148.5</v>
      </c>
      <c r="N70" s="20">
        <v>5.1365055974028357E-4</v>
      </c>
      <c r="O70" s="19"/>
      <c r="P70" s="19"/>
      <c r="Q70" s="19"/>
      <c r="R70" s="19"/>
      <c r="S70" s="19"/>
      <c r="T70" s="19"/>
      <c r="U70" s="19"/>
      <c r="V70" s="19"/>
      <c r="W70" s="19"/>
      <c r="X70" s="19"/>
      <c r="Y70" s="19"/>
      <c r="Z70" s="19"/>
      <c r="AA70" s="19"/>
    </row>
    <row r="71" spans="1:27" ht="12.75" customHeight="1" x14ac:dyDescent="0.2">
      <c r="A71" s="29">
        <f t="shared" si="4"/>
        <v>214.64999999999998</v>
      </c>
      <c r="B71" s="21">
        <v>-58.5</v>
      </c>
      <c r="C71" s="20">
        <v>4.5824499999999997</v>
      </c>
      <c r="D71" s="20">
        <f t="shared" ref="D71:D134" si="6">C71*14.5038</f>
        <v>66.462938309999998</v>
      </c>
      <c r="E71" s="23">
        <v>1137.95</v>
      </c>
      <c r="F71" s="24">
        <v>12.2338</v>
      </c>
      <c r="G71" s="23"/>
      <c r="H71" s="23"/>
      <c r="I71" s="23"/>
      <c r="J71" s="23"/>
      <c r="K71" s="29"/>
      <c r="L71" s="29">
        <f t="shared" si="5"/>
        <v>125.14999999999998</v>
      </c>
      <c r="M71" s="21">
        <v>-148</v>
      </c>
      <c r="N71" s="20">
        <v>5.6560207909914055E-4</v>
      </c>
      <c r="O71" s="19"/>
      <c r="P71" s="19"/>
      <c r="Q71" s="19"/>
      <c r="R71" s="19"/>
      <c r="S71" s="19"/>
      <c r="T71" s="19"/>
      <c r="U71" s="19"/>
      <c r="V71" s="19"/>
      <c r="W71" s="19"/>
      <c r="X71" s="19"/>
      <c r="Y71" s="19"/>
      <c r="Z71" s="19"/>
      <c r="AA71" s="19"/>
    </row>
    <row r="72" spans="1:27" ht="12.75" customHeight="1" x14ac:dyDescent="0.2">
      <c r="A72" s="29">
        <f t="shared" si="4"/>
        <v>215.14999999999998</v>
      </c>
      <c r="B72" s="21">
        <v>-58</v>
      </c>
      <c r="C72" s="20">
        <v>4.6805099999999999</v>
      </c>
      <c r="D72" s="20">
        <f t="shared" si="6"/>
        <v>67.885180938000005</v>
      </c>
      <c r="E72" s="23">
        <v>1136.32</v>
      </c>
      <c r="F72" s="24">
        <v>12.48185</v>
      </c>
      <c r="G72" s="23"/>
      <c r="H72" s="23"/>
      <c r="I72" s="23"/>
      <c r="J72" s="23"/>
      <c r="K72" s="29"/>
      <c r="L72" s="29">
        <f t="shared" si="5"/>
        <v>125.64999999999998</v>
      </c>
      <c r="M72" s="21">
        <v>-147.5</v>
      </c>
      <c r="N72" s="20">
        <v>6.223106904153468E-4</v>
      </c>
      <c r="O72" s="19"/>
      <c r="P72" s="19"/>
      <c r="Q72" s="19"/>
      <c r="R72" s="19"/>
      <c r="S72" s="19"/>
      <c r="T72" s="19"/>
      <c r="U72" s="19"/>
      <c r="V72" s="19"/>
      <c r="W72" s="19"/>
      <c r="X72" s="19"/>
      <c r="Y72" s="19"/>
      <c r="Z72" s="19"/>
      <c r="AA72" s="19"/>
    </row>
    <row r="73" spans="1:27" ht="12.75" customHeight="1" x14ac:dyDescent="0.2">
      <c r="A73" s="29">
        <f t="shared" si="4"/>
        <v>215.64999999999998</v>
      </c>
      <c r="B73" s="21">
        <v>-57.5</v>
      </c>
      <c r="C73" s="20">
        <v>4.7801600000000004</v>
      </c>
      <c r="D73" s="20">
        <f t="shared" si="6"/>
        <v>69.330484608000006</v>
      </c>
      <c r="E73" s="23">
        <v>1134.68</v>
      </c>
      <c r="F73" s="24">
        <v>12.73377</v>
      </c>
      <c r="G73" s="23"/>
      <c r="H73" s="23"/>
      <c r="I73" s="23"/>
      <c r="J73" s="23"/>
      <c r="K73" s="29"/>
      <c r="L73" s="29">
        <f t="shared" si="5"/>
        <v>126.14999999999998</v>
      </c>
      <c r="M73" s="21">
        <v>-147</v>
      </c>
      <c r="N73" s="20">
        <v>6.8416445041549279E-4</v>
      </c>
      <c r="O73" s="19"/>
      <c r="P73" s="19"/>
      <c r="Q73" s="19"/>
      <c r="R73" s="19"/>
      <c r="S73" s="19"/>
      <c r="T73" s="19"/>
      <c r="U73" s="19"/>
      <c r="V73" s="19"/>
      <c r="W73" s="19"/>
      <c r="X73" s="19"/>
      <c r="Y73" s="19"/>
      <c r="Z73" s="19"/>
      <c r="AA73" s="19"/>
    </row>
    <row r="74" spans="1:27" ht="12.75" customHeight="1" x14ac:dyDescent="0.2">
      <c r="A74" s="29">
        <f t="shared" si="4"/>
        <v>216.14999999999998</v>
      </c>
      <c r="B74" s="21">
        <v>-57</v>
      </c>
      <c r="C74" s="20">
        <v>4.8813899999999997</v>
      </c>
      <c r="D74" s="20">
        <f t="shared" si="6"/>
        <v>70.798704281999989</v>
      </c>
      <c r="E74" s="23">
        <v>1133.04</v>
      </c>
      <c r="F74" s="24">
        <v>12.989599999999999</v>
      </c>
      <c r="G74" s="23"/>
      <c r="H74" s="23"/>
      <c r="I74" s="23"/>
      <c r="J74" s="23"/>
      <c r="K74" s="29"/>
      <c r="L74" s="29">
        <f t="shared" si="5"/>
        <v>126.64999999999998</v>
      </c>
      <c r="M74" s="21">
        <v>-146.5</v>
      </c>
      <c r="N74" s="20">
        <v>7.5157895269084801E-4</v>
      </c>
      <c r="O74" s="19"/>
      <c r="P74" s="19"/>
      <c r="Q74" s="19"/>
      <c r="R74" s="19"/>
      <c r="S74" s="19"/>
      <c r="T74" s="19"/>
      <c r="U74" s="19"/>
      <c r="V74" s="19"/>
      <c r="W74" s="19"/>
      <c r="X74" s="19"/>
      <c r="Y74" s="19"/>
      <c r="Z74" s="19"/>
      <c r="AA74" s="19"/>
    </row>
    <row r="75" spans="1:27" ht="12.75" customHeight="1" x14ac:dyDescent="0.2">
      <c r="A75" s="29">
        <f t="shared" si="4"/>
        <v>216.64999999999998</v>
      </c>
      <c r="B75" s="21">
        <v>-56.5</v>
      </c>
      <c r="C75" s="20">
        <v>4.9842399999999998</v>
      </c>
      <c r="D75" s="20">
        <f t="shared" si="6"/>
        <v>72.290420111999993</v>
      </c>
      <c r="E75" s="23">
        <v>1131.3900000000001</v>
      </c>
      <c r="F75" s="24">
        <v>13.24939</v>
      </c>
      <c r="G75" s="23"/>
      <c r="H75" s="23"/>
      <c r="I75" s="23"/>
      <c r="J75" s="23"/>
      <c r="K75" s="29"/>
      <c r="L75" s="29">
        <f t="shared" si="5"/>
        <v>127.14999999999998</v>
      </c>
      <c r="M75" s="21">
        <v>-146</v>
      </c>
      <c r="N75" s="20">
        <v>8.2499896240548025E-4</v>
      </c>
      <c r="O75" s="19"/>
      <c r="P75" s="19"/>
      <c r="Q75" s="19"/>
      <c r="R75" s="19"/>
      <c r="S75" s="19"/>
      <c r="T75" s="19"/>
      <c r="U75" s="19"/>
      <c r="V75" s="19"/>
      <c r="W75" s="19"/>
      <c r="X75" s="19"/>
      <c r="Y75" s="19"/>
      <c r="Z75" s="19"/>
      <c r="AA75" s="19"/>
    </row>
    <row r="76" spans="1:27" ht="12.75" customHeight="1" x14ac:dyDescent="0.2">
      <c r="A76" s="29">
        <f t="shared" si="4"/>
        <v>217.14999999999998</v>
      </c>
      <c r="B76" s="21">
        <v>-56</v>
      </c>
      <c r="C76" s="20">
        <v>5.0887000000000002</v>
      </c>
      <c r="D76" s="20">
        <f t="shared" si="6"/>
        <v>73.805487060000004</v>
      </c>
      <c r="E76" s="23">
        <v>1129.75</v>
      </c>
      <c r="F76" s="24">
        <v>13.51318</v>
      </c>
      <c r="G76" s="23"/>
      <c r="H76" s="23"/>
      <c r="I76" s="23"/>
      <c r="J76" s="23"/>
      <c r="K76" s="29"/>
      <c r="L76" s="29">
        <f t="shared" si="5"/>
        <v>127.64999999999998</v>
      </c>
      <c r="M76" s="21">
        <v>-145.5</v>
      </c>
      <c r="N76" s="20">
        <v>9.0490012622297558E-4</v>
      </c>
      <c r="O76" s="19"/>
      <c r="P76" s="19"/>
      <c r="Q76" s="19"/>
      <c r="R76" s="19"/>
      <c r="S76" s="19"/>
      <c r="T76" s="19"/>
      <c r="U76" s="19"/>
      <c r="V76" s="19"/>
      <c r="W76" s="19"/>
      <c r="X76" s="19"/>
      <c r="Y76" s="19"/>
      <c r="Z76" s="19"/>
      <c r="AA76" s="19"/>
    </row>
    <row r="77" spans="1:27" ht="12.75" customHeight="1" x14ac:dyDescent="0.2">
      <c r="A77" s="29">
        <f t="shared" si="4"/>
        <v>217.64999999999998</v>
      </c>
      <c r="B77" s="21">
        <v>-55.5</v>
      </c>
      <c r="C77" s="20">
        <v>5.1948100000000004</v>
      </c>
      <c r="D77" s="20">
        <f t="shared" si="6"/>
        <v>75.344485278000008</v>
      </c>
      <c r="E77" s="23">
        <v>1128.0899999999999</v>
      </c>
      <c r="F77" s="24">
        <v>13.78102</v>
      </c>
      <c r="G77" s="23"/>
      <c r="H77" s="23"/>
      <c r="I77" s="23"/>
      <c r="J77" s="23"/>
      <c r="K77" s="29"/>
      <c r="L77" s="29">
        <f t="shared" si="5"/>
        <v>128.14999999999998</v>
      </c>
      <c r="M77" s="21">
        <v>-145</v>
      </c>
      <c r="N77" s="20">
        <v>9.9179075961669527E-4</v>
      </c>
      <c r="O77" s="19"/>
      <c r="P77" s="19"/>
      <c r="Q77" s="19"/>
      <c r="R77" s="19"/>
      <c r="S77" s="19"/>
      <c r="T77" s="19"/>
      <c r="U77" s="19"/>
      <c r="V77" s="19"/>
      <c r="W77" s="19"/>
      <c r="X77" s="19"/>
      <c r="Y77" s="19"/>
      <c r="Z77" s="19"/>
      <c r="AA77" s="19"/>
    </row>
    <row r="78" spans="1:27" ht="12.75" customHeight="1" x14ac:dyDescent="0.2">
      <c r="A78" s="29">
        <f t="shared" si="4"/>
        <v>218.14999999999998</v>
      </c>
      <c r="B78" s="21">
        <v>-55</v>
      </c>
      <c r="C78" s="20">
        <v>5.3025799999999998</v>
      </c>
      <c r="D78" s="20">
        <f t="shared" si="6"/>
        <v>76.907559804000002</v>
      </c>
      <c r="E78" s="23">
        <v>1126.44</v>
      </c>
      <c r="F78" s="24">
        <v>14.05294</v>
      </c>
      <c r="G78" s="23"/>
      <c r="H78" s="23"/>
      <c r="I78" s="23"/>
      <c r="J78" s="23"/>
      <c r="K78" s="29"/>
      <c r="L78" s="29">
        <f t="shared" si="5"/>
        <v>128.64999999999998</v>
      </c>
      <c r="M78" s="21">
        <v>-144.5</v>
      </c>
      <c r="N78" s="20">
        <v>1.0862137137229188E-3</v>
      </c>
      <c r="O78" s="19"/>
      <c r="P78" s="19"/>
      <c r="Q78" s="19"/>
      <c r="R78" s="19"/>
      <c r="S78" s="19"/>
      <c r="T78" s="19"/>
      <c r="U78" s="19"/>
      <c r="V78" s="19"/>
      <c r="W78" s="19"/>
      <c r="X78" s="19"/>
      <c r="Y78" s="19"/>
      <c r="Z78" s="19"/>
      <c r="AA78" s="19"/>
    </row>
    <row r="79" spans="1:27" ht="12.75" customHeight="1" x14ac:dyDescent="0.2">
      <c r="A79" s="29">
        <f t="shared" si="4"/>
        <v>218.64999999999998</v>
      </c>
      <c r="B79" s="21">
        <v>-54.5</v>
      </c>
      <c r="C79" s="20">
        <v>5.4120200000000001</v>
      </c>
      <c r="D79" s="20">
        <f t="shared" si="6"/>
        <v>78.494855676</v>
      </c>
      <c r="E79" s="23">
        <v>1124.78</v>
      </c>
      <c r="F79" s="24">
        <v>14.32901</v>
      </c>
      <c r="G79" s="23"/>
      <c r="H79" s="23"/>
      <c r="I79" s="23"/>
      <c r="J79" s="23"/>
      <c r="K79" s="29"/>
      <c r="L79" s="29">
        <f t="shared" si="5"/>
        <v>129.14999999999998</v>
      </c>
      <c r="M79" s="21">
        <v>-144</v>
      </c>
      <c r="N79" s="20">
        <v>1.1887483238870937E-3</v>
      </c>
      <c r="O79" s="19"/>
      <c r="P79" s="19"/>
      <c r="Q79" s="19"/>
      <c r="R79" s="19"/>
      <c r="S79" s="19"/>
      <c r="T79" s="19"/>
      <c r="U79" s="19"/>
      <c r="V79" s="19"/>
      <c r="W79" s="19"/>
      <c r="X79" s="19"/>
      <c r="Y79" s="19"/>
      <c r="Z79" s="19"/>
      <c r="AA79" s="19"/>
    </row>
    <row r="80" spans="1:27" ht="12.75" customHeight="1" x14ac:dyDescent="0.2">
      <c r="A80" s="29">
        <f t="shared" si="4"/>
        <v>219.14999999999998</v>
      </c>
      <c r="B80" s="21">
        <v>-54</v>
      </c>
      <c r="C80" s="20">
        <v>5.5231500000000002</v>
      </c>
      <c r="D80" s="20">
        <f t="shared" si="6"/>
        <v>80.106662970000002</v>
      </c>
      <c r="E80" s="23">
        <v>1123.1099999999999</v>
      </c>
      <c r="F80" s="24">
        <v>14.609260000000001</v>
      </c>
      <c r="G80" s="23"/>
      <c r="H80" s="23"/>
      <c r="I80" s="23"/>
      <c r="J80" s="23"/>
      <c r="K80" s="29"/>
      <c r="L80" s="29">
        <f t="shared" si="5"/>
        <v>129.64999999999998</v>
      </c>
      <c r="M80" s="21">
        <v>-143.5</v>
      </c>
      <c r="N80" s="20">
        <v>1.3000124420402591E-3</v>
      </c>
      <c r="O80" s="19"/>
      <c r="P80" s="19"/>
      <c r="Q80" s="19"/>
      <c r="R80" s="19"/>
      <c r="S80" s="19"/>
      <c r="T80" s="19"/>
      <c r="U80" s="19"/>
      <c r="V80" s="19"/>
      <c r="W80" s="19"/>
      <c r="X80" s="19"/>
      <c r="Y80" s="19"/>
      <c r="Z80" s="19"/>
      <c r="AA80" s="19"/>
    </row>
    <row r="81" spans="1:27" ht="12.75" customHeight="1" x14ac:dyDescent="0.2">
      <c r="A81" s="29">
        <f t="shared" si="4"/>
        <v>219.64999999999998</v>
      </c>
      <c r="B81" s="21">
        <v>-53.5</v>
      </c>
      <c r="C81" s="20">
        <v>5.63598</v>
      </c>
      <c r="D81" s="20">
        <f t="shared" si="6"/>
        <v>81.743126724000007</v>
      </c>
      <c r="E81" s="23">
        <v>1121.44</v>
      </c>
      <c r="F81" s="24">
        <v>14.893750000000001</v>
      </c>
      <c r="G81" s="23"/>
      <c r="H81" s="23"/>
      <c r="I81" s="23"/>
      <c r="J81" s="23"/>
      <c r="K81" s="29"/>
      <c r="L81" s="29">
        <f t="shared" si="5"/>
        <v>130.14999999999998</v>
      </c>
      <c r="M81" s="21">
        <v>-143</v>
      </c>
      <c r="N81" s="20">
        <v>1.420664555025273E-3</v>
      </c>
      <c r="O81" s="19"/>
      <c r="P81" s="19"/>
      <c r="Q81" s="19"/>
      <c r="R81" s="19"/>
      <c r="S81" s="19"/>
      <c r="T81" s="19"/>
      <c r="U81" s="19"/>
      <c r="V81" s="19"/>
      <c r="W81" s="19"/>
      <c r="X81" s="19"/>
      <c r="Y81" s="19"/>
      <c r="Z81" s="19"/>
      <c r="AA81" s="19"/>
    </row>
    <row r="82" spans="1:27" ht="12.75" customHeight="1" x14ac:dyDescent="0.2">
      <c r="A82" s="29">
        <f t="shared" si="4"/>
        <v>220.14999999999998</v>
      </c>
      <c r="B82" s="21">
        <v>-53</v>
      </c>
      <c r="C82" s="20">
        <v>5.7505300000000004</v>
      </c>
      <c r="D82" s="20">
        <f t="shared" si="6"/>
        <v>83.404537013999999</v>
      </c>
      <c r="E82" s="23">
        <v>1119.77</v>
      </c>
      <c r="F82" s="24">
        <v>15.18252</v>
      </c>
      <c r="G82" s="23"/>
      <c r="H82" s="23"/>
      <c r="I82" s="23"/>
      <c r="J82" s="23"/>
      <c r="K82" s="29"/>
      <c r="L82" s="29">
        <f t="shared" si="5"/>
        <v>130.64999999999998</v>
      </c>
      <c r="M82" s="21">
        <v>-142.5</v>
      </c>
      <c r="N82" s="20">
        <v>1.5514059909712233E-3</v>
      </c>
      <c r="O82" s="19"/>
      <c r="P82" s="19"/>
      <c r="Q82" s="19"/>
      <c r="R82" s="19"/>
      <c r="S82" s="19"/>
      <c r="T82" s="19"/>
      <c r="U82" s="19"/>
      <c r="V82" s="19"/>
      <c r="W82" s="19"/>
      <c r="X82" s="19"/>
      <c r="Y82" s="19"/>
      <c r="Z82" s="19"/>
      <c r="AA82" s="19"/>
    </row>
    <row r="83" spans="1:27" ht="12.75" customHeight="1" x14ac:dyDescent="0.2">
      <c r="A83" s="29">
        <f t="shared" si="4"/>
        <v>220.64999999999998</v>
      </c>
      <c r="B83" s="21">
        <v>-52.5</v>
      </c>
      <c r="C83" s="20">
        <v>5.8668300000000002</v>
      </c>
      <c r="D83" s="20">
        <f t="shared" si="6"/>
        <v>85.091328954000005</v>
      </c>
      <c r="E83" s="23">
        <v>1118.0999999999999</v>
      </c>
      <c r="F83" s="24">
        <v>15.47561</v>
      </c>
      <c r="G83" s="23"/>
      <c r="H83" s="23"/>
      <c r="I83" s="23"/>
      <c r="J83" s="23"/>
      <c r="K83" s="29"/>
      <c r="L83" s="29">
        <f t="shared" si="5"/>
        <v>131.14999999999998</v>
      </c>
      <c r="M83" s="21">
        <v>-142</v>
      </c>
      <c r="N83" s="20">
        <v>1.6929832157887251E-3</v>
      </c>
      <c r="O83" s="19"/>
      <c r="P83" s="19"/>
      <c r="Q83" s="19"/>
      <c r="R83" s="19"/>
      <c r="S83" s="19"/>
      <c r="T83" s="19"/>
      <c r="U83" s="19"/>
      <c r="V83" s="19"/>
      <c r="W83" s="19"/>
      <c r="X83" s="19"/>
      <c r="Y83" s="19"/>
      <c r="Z83" s="19"/>
      <c r="AA83" s="19"/>
    </row>
    <row r="84" spans="1:27" ht="12.75" customHeight="1" x14ac:dyDescent="0.2">
      <c r="A84" s="29">
        <f t="shared" si="4"/>
        <v>221.14999999999998</v>
      </c>
      <c r="B84" s="21">
        <v>-52</v>
      </c>
      <c r="C84" s="20">
        <v>5.9848800000000004</v>
      </c>
      <c r="D84" s="20">
        <f t="shared" si="6"/>
        <v>86.803502544000011</v>
      </c>
      <c r="E84" s="23">
        <v>1116.42</v>
      </c>
      <c r="F84" s="24">
        <v>15.77309</v>
      </c>
      <c r="G84" s="23"/>
      <c r="H84" s="23"/>
      <c r="I84" s="23"/>
      <c r="J84" s="23"/>
      <c r="K84" s="29"/>
      <c r="L84" s="29">
        <f t="shared" si="5"/>
        <v>131.64999999999998</v>
      </c>
      <c r="M84" s="21">
        <v>-141.5</v>
      </c>
      <c r="N84" s="20">
        <v>1.8461902218284204E-3</v>
      </c>
      <c r="O84" s="19"/>
      <c r="P84" s="19"/>
      <c r="Q84" s="19"/>
      <c r="R84" s="19"/>
      <c r="S84" s="19"/>
      <c r="T84" s="19"/>
      <c r="U84" s="19"/>
      <c r="V84" s="19"/>
      <c r="W84" s="19"/>
      <c r="X84" s="19"/>
      <c r="Y84" s="19"/>
      <c r="Z84" s="19"/>
      <c r="AA84" s="19"/>
    </row>
    <row r="85" spans="1:27" ht="12.75" customHeight="1" x14ac:dyDescent="0.2">
      <c r="A85" s="29">
        <f t="shared" si="4"/>
        <v>221.64999999999998</v>
      </c>
      <c r="B85" s="21">
        <v>-51.5</v>
      </c>
      <c r="C85" s="20">
        <v>6.1047000000000002</v>
      </c>
      <c r="D85" s="20">
        <f t="shared" si="6"/>
        <v>88.541347860000002</v>
      </c>
      <c r="E85" s="23">
        <v>1114.73</v>
      </c>
      <c r="F85" s="24">
        <v>16.07499</v>
      </c>
      <c r="G85" s="23"/>
      <c r="H85" s="23"/>
      <c r="I85" s="23"/>
      <c r="J85" s="23"/>
      <c r="K85" s="29"/>
      <c r="L85" s="29">
        <f t="shared" si="5"/>
        <v>132.14999999999998</v>
      </c>
      <c r="M85" s="21">
        <v>-141</v>
      </c>
      <c r="N85" s="20">
        <v>2.0118710107110862E-3</v>
      </c>
      <c r="O85" s="19"/>
      <c r="P85" s="19"/>
      <c r="Q85" s="19"/>
      <c r="R85" s="19"/>
      <c r="S85" s="19"/>
      <c r="T85" s="19"/>
      <c r="U85" s="19"/>
      <c r="V85" s="19"/>
      <c r="W85" s="19"/>
      <c r="X85" s="19"/>
      <c r="Y85" s="19"/>
      <c r="Z85" s="19"/>
      <c r="AA85" s="19"/>
    </row>
    <row r="86" spans="1:27" ht="12.75" customHeight="1" x14ac:dyDescent="0.2">
      <c r="A86" s="29">
        <f t="shared" si="4"/>
        <v>222.14999999999998</v>
      </c>
      <c r="B86" s="21">
        <v>-51</v>
      </c>
      <c r="C86" s="20">
        <v>6.2263000000000002</v>
      </c>
      <c r="D86" s="20">
        <f t="shared" si="6"/>
        <v>90.305009940000005</v>
      </c>
      <c r="E86" s="23">
        <v>1113.04</v>
      </c>
      <c r="F86" s="24">
        <v>16.381360000000001</v>
      </c>
      <c r="G86" s="23"/>
      <c r="H86" s="23"/>
      <c r="I86" s="23"/>
      <c r="J86" s="23"/>
      <c r="K86" s="29"/>
      <c r="L86" s="29">
        <f t="shared" si="5"/>
        <v>132.64999999999998</v>
      </c>
      <c r="M86" s="21">
        <v>-140.5</v>
      </c>
      <c r="N86" s="20">
        <v>2.1909221722982149E-3</v>
      </c>
      <c r="O86" s="19"/>
      <c r="P86" s="19"/>
      <c r="Q86" s="19"/>
      <c r="R86" s="19"/>
      <c r="S86" s="19"/>
      <c r="T86" s="19"/>
      <c r="U86" s="19"/>
      <c r="V86" s="19"/>
      <c r="W86" s="19"/>
      <c r="X86" s="19"/>
      <c r="Y86" s="19"/>
      <c r="Z86" s="19"/>
      <c r="AA86" s="19"/>
    </row>
    <row r="87" spans="1:27" ht="12.75" customHeight="1" x14ac:dyDescent="0.2">
      <c r="A87" s="29">
        <f t="shared" si="4"/>
        <v>222.64999999999998</v>
      </c>
      <c r="B87" s="21">
        <v>-50.5</v>
      </c>
      <c r="C87" s="20">
        <v>6.34971</v>
      </c>
      <c r="D87" s="20">
        <f t="shared" si="6"/>
        <v>92.094923898000005</v>
      </c>
      <c r="E87" s="23">
        <v>1111.3499999999999</v>
      </c>
      <c r="F87" s="24">
        <v>16.692270000000001</v>
      </c>
      <c r="G87" s="23"/>
      <c r="H87" s="23"/>
      <c r="I87" s="23"/>
      <c r="J87" s="23"/>
      <c r="K87" s="29"/>
      <c r="L87" s="29">
        <f t="shared" si="5"/>
        <v>133.14999999999998</v>
      </c>
      <c r="M87" s="21">
        <v>-140</v>
      </c>
      <c r="N87" s="20">
        <v>2.3842955617285676E-3</v>
      </c>
      <c r="O87" s="19"/>
      <c r="P87" s="19"/>
      <c r="Q87" s="19"/>
      <c r="R87" s="19"/>
      <c r="S87" s="19"/>
      <c r="T87" s="19"/>
      <c r="U87" s="19"/>
      <c r="V87" s="19"/>
      <c r="W87" s="19"/>
      <c r="X87" s="19"/>
      <c r="Y87" s="19"/>
      <c r="Z87" s="19"/>
      <c r="AA87" s="19"/>
    </row>
    <row r="88" spans="1:27" ht="12.75" customHeight="1" x14ac:dyDescent="0.2">
      <c r="A88" s="29">
        <f t="shared" si="4"/>
        <v>223.14999999999998</v>
      </c>
      <c r="B88" s="21">
        <v>-50</v>
      </c>
      <c r="C88" s="20">
        <v>6.4749499999999998</v>
      </c>
      <c r="D88" s="20">
        <f t="shared" si="6"/>
        <v>93.91137981</v>
      </c>
      <c r="E88" s="23">
        <v>1109.6500000000001</v>
      </c>
      <c r="F88" s="24">
        <v>17.007760000000001</v>
      </c>
      <c r="G88" s="23"/>
      <c r="H88" s="23"/>
      <c r="I88" s="23"/>
      <c r="J88" s="23"/>
      <c r="K88" s="29"/>
      <c r="L88" s="29">
        <f t="shared" si="5"/>
        <v>133.64999999999998</v>
      </c>
      <c r="M88" s="21">
        <v>-139.5</v>
      </c>
      <c r="N88" s="20">
        <v>2.5930010763980612E-3</v>
      </c>
      <c r="O88" s="19"/>
      <c r="P88" s="19"/>
      <c r="Q88" s="19"/>
      <c r="R88" s="19"/>
      <c r="S88" s="19"/>
      <c r="T88" s="19"/>
      <c r="U88" s="19"/>
      <c r="V88" s="19"/>
      <c r="W88" s="19"/>
      <c r="X88" s="19"/>
      <c r="Y88" s="19"/>
      <c r="Z88" s="19"/>
      <c r="AA88" s="19"/>
    </row>
    <row r="89" spans="1:27" ht="12.75" customHeight="1" x14ac:dyDescent="0.2">
      <c r="A89" s="29">
        <f t="shared" si="4"/>
        <v>223.64999999999998</v>
      </c>
      <c r="B89" s="21">
        <v>-49.5</v>
      </c>
      <c r="C89" s="20">
        <v>6.6020200000000004</v>
      </c>
      <c r="D89" s="20">
        <f t="shared" si="6"/>
        <v>95.754377676000004</v>
      </c>
      <c r="E89" s="23">
        <v>1107.95</v>
      </c>
      <c r="F89" s="24">
        <v>17.327870000000001</v>
      </c>
      <c r="G89" s="23"/>
      <c r="H89" s="23"/>
      <c r="I89" s="23"/>
      <c r="J89" s="23"/>
      <c r="K89" s="29"/>
      <c r="L89" s="29">
        <f t="shared" si="5"/>
        <v>134.14999999999998</v>
      </c>
      <c r="M89" s="21">
        <v>-139</v>
      </c>
      <c r="N89" s="20">
        <v>2.8181095347074182E-3</v>
      </c>
      <c r="O89" s="19"/>
      <c r="P89" s="19"/>
      <c r="Q89" s="19"/>
      <c r="R89" s="19"/>
      <c r="S89" s="19"/>
      <c r="T89" s="19"/>
      <c r="U89" s="19"/>
      <c r="V89" s="19"/>
      <c r="W89" s="19"/>
      <c r="X89" s="19"/>
      <c r="Y89" s="19"/>
      <c r="Z89" s="19"/>
      <c r="AA89" s="19"/>
    </row>
    <row r="90" spans="1:27" ht="12.75" customHeight="1" x14ac:dyDescent="0.2">
      <c r="A90" s="29">
        <f t="shared" si="4"/>
        <v>224.14999999999998</v>
      </c>
      <c r="B90" s="21">
        <v>-49</v>
      </c>
      <c r="C90" s="20">
        <v>6.7309400000000004</v>
      </c>
      <c r="D90" s="20">
        <f t="shared" si="6"/>
        <v>97.624207572000003</v>
      </c>
      <c r="E90" s="23">
        <v>1106.25</v>
      </c>
      <c r="F90" s="24">
        <v>17.652670000000001</v>
      </c>
      <c r="G90" s="23"/>
      <c r="H90" s="23"/>
      <c r="I90" s="23"/>
      <c r="J90" s="23"/>
      <c r="K90" s="29"/>
      <c r="L90" s="29">
        <f t="shared" si="5"/>
        <v>134.64999999999998</v>
      </c>
      <c r="M90" s="21">
        <v>-138.5</v>
      </c>
      <c r="N90" s="20">
        <v>3.060755658343974E-3</v>
      </c>
      <c r="O90" s="19"/>
      <c r="P90" s="19"/>
      <c r="Q90" s="19"/>
      <c r="R90" s="19"/>
      <c r="S90" s="19"/>
      <c r="T90" s="19"/>
      <c r="U90" s="19"/>
      <c r="V90" s="19"/>
      <c r="W90" s="19"/>
      <c r="X90" s="19"/>
      <c r="Y90" s="19"/>
      <c r="Z90" s="19"/>
      <c r="AA90" s="19"/>
    </row>
    <row r="91" spans="1:27" ht="12.75" customHeight="1" x14ac:dyDescent="0.2">
      <c r="A91" s="29">
        <f t="shared" si="4"/>
        <v>224.64999999999998</v>
      </c>
      <c r="B91" s="21">
        <v>-48.5</v>
      </c>
      <c r="C91" s="20">
        <v>6.8617299999999997</v>
      </c>
      <c r="D91" s="20">
        <f t="shared" si="6"/>
        <v>99.521159573999995</v>
      </c>
      <c r="E91" s="23">
        <v>1104.54</v>
      </c>
      <c r="F91" s="24">
        <v>17.982209999999998</v>
      </c>
      <c r="G91" s="23"/>
      <c r="H91" s="23"/>
      <c r="I91" s="23"/>
      <c r="J91" s="23"/>
      <c r="K91" s="29"/>
      <c r="L91" s="29">
        <f t="shared" si="5"/>
        <v>135.14999999999998</v>
      </c>
      <c r="M91" s="21">
        <v>-138</v>
      </c>
      <c r="N91" s="20">
        <v>3.3221411598022272E-3</v>
      </c>
      <c r="O91" s="19"/>
      <c r="P91" s="19"/>
      <c r="Q91" s="19"/>
      <c r="R91" s="19"/>
      <c r="S91" s="19"/>
      <c r="T91" s="19"/>
      <c r="U91" s="19"/>
      <c r="V91" s="19"/>
      <c r="W91" s="19"/>
      <c r="X91" s="19"/>
      <c r="Y91" s="19"/>
      <c r="Z91" s="19"/>
      <c r="AA91" s="19"/>
    </row>
    <row r="92" spans="1:27" ht="12.75" customHeight="1" x14ac:dyDescent="0.2">
      <c r="A92" s="29">
        <f t="shared" si="4"/>
        <v>225.14999999999998</v>
      </c>
      <c r="B92" s="21">
        <v>-48</v>
      </c>
      <c r="C92" s="20">
        <v>6.9944199999999999</v>
      </c>
      <c r="D92" s="20">
        <f t="shared" si="6"/>
        <v>101.44566879599999</v>
      </c>
      <c r="E92" s="23">
        <v>1102.82</v>
      </c>
      <c r="F92" s="24">
        <v>18.31653</v>
      </c>
      <c r="G92" s="23"/>
      <c r="H92" s="23"/>
      <c r="I92" s="23"/>
      <c r="J92" s="23"/>
      <c r="K92" s="29"/>
      <c r="L92" s="29">
        <f t="shared" si="5"/>
        <v>135.64999999999998</v>
      </c>
      <c r="M92" s="21">
        <v>-137.5</v>
      </c>
      <c r="N92" s="20">
        <v>3.6035379367800511E-3</v>
      </c>
      <c r="O92" s="19"/>
      <c r="P92" s="19"/>
      <c r="Q92" s="19"/>
      <c r="R92" s="19"/>
      <c r="S92" s="19"/>
      <c r="T92" s="19"/>
      <c r="U92" s="19"/>
      <c r="V92" s="19"/>
      <c r="W92" s="19"/>
      <c r="X92" s="19"/>
      <c r="Y92" s="19"/>
      <c r="Z92" s="19"/>
      <c r="AA92" s="19"/>
    </row>
    <row r="93" spans="1:27" ht="12.75" customHeight="1" x14ac:dyDescent="0.2">
      <c r="A93" s="29">
        <f t="shared" si="4"/>
        <v>225.64999999999998</v>
      </c>
      <c r="B93" s="21">
        <v>-47.5</v>
      </c>
      <c r="C93" s="20">
        <v>7.1289999999999996</v>
      </c>
      <c r="D93" s="20">
        <f t="shared" si="6"/>
        <v>103.3975902</v>
      </c>
      <c r="E93" s="23">
        <v>1101.0999999999999</v>
      </c>
      <c r="F93" s="24">
        <v>18.6557</v>
      </c>
      <c r="G93" s="23"/>
      <c r="H93" s="23"/>
      <c r="I93" s="23"/>
      <c r="J93" s="23"/>
      <c r="K93" s="29"/>
      <c r="L93" s="29">
        <f t="shared" si="5"/>
        <v>136.14999999999998</v>
      </c>
      <c r="M93" s="21">
        <v>-137</v>
      </c>
      <c r="N93" s="20">
        <v>3.9062913750153635E-3</v>
      </c>
      <c r="O93" s="19"/>
      <c r="P93" s="19"/>
      <c r="Q93" s="19"/>
      <c r="R93" s="19"/>
      <c r="S93" s="19"/>
      <c r="T93" s="19"/>
      <c r="U93" s="19"/>
      <c r="V93" s="19"/>
      <c r="W93" s="19"/>
      <c r="X93" s="19"/>
      <c r="Y93" s="19"/>
      <c r="Z93" s="19"/>
      <c r="AA93" s="19"/>
    </row>
    <row r="94" spans="1:27" ht="12.75" customHeight="1" x14ac:dyDescent="0.2">
      <c r="A94" s="29">
        <f t="shared" si="4"/>
        <v>226.14999999999998</v>
      </c>
      <c r="B94" s="21">
        <v>-47</v>
      </c>
      <c r="C94" s="20">
        <v>7.2655099999999999</v>
      </c>
      <c r="D94" s="20">
        <f t="shared" si="6"/>
        <v>105.377503938</v>
      </c>
      <c r="E94" s="23">
        <v>1099.3800000000001</v>
      </c>
      <c r="F94" s="24">
        <v>18.999770000000002</v>
      </c>
      <c r="G94" s="23"/>
      <c r="H94" s="23"/>
      <c r="I94" s="23"/>
      <c r="J94" s="23"/>
      <c r="K94" s="29"/>
      <c r="L94" s="29">
        <f t="shared" si="5"/>
        <v>136.64999999999998</v>
      </c>
      <c r="M94" s="21">
        <v>-136.5</v>
      </c>
      <c r="N94" s="20">
        <v>4.231823761052033E-3</v>
      </c>
      <c r="O94" s="19"/>
      <c r="P94" s="19"/>
      <c r="Q94" s="19"/>
      <c r="R94" s="19"/>
      <c r="S94" s="19"/>
      <c r="T94" s="19"/>
      <c r="U94" s="19"/>
      <c r="V94" s="19"/>
      <c r="W94" s="19"/>
      <c r="X94" s="19"/>
      <c r="Y94" s="19"/>
      <c r="Z94" s="19"/>
      <c r="AA94" s="19"/>
    </row>
    <row r="95" spans="1:27" ht="12.75" customHeight="1" x14ac:dyDescent="0.2">
      <c r="A95" s="29">
        <f t="shared" si="4"/>
        <v>226.64999999999998</v>
      </c>
      <c r="B95" s="21">
        <v>-46.5</v>
      </c>
      <c r="C95" s="20">
        <v>7.40395</v>
      </c>
      <c r="D95" s="20">
        <f t="shared" si="6"/>
        <v>107.38541001</v>
      </c>
      <c r="E95" s="23">
        <v>1097.6500000000001</v>
      </c>
      <c r="F95" s="24">
        <v>19.348790000000001</v>
      </c>
      <c r="G95" s="23"/>
      <c r="H95" s="23"/>
      <c r="I95" s="23"/>
      <c r="J95" s="23"/>
      <c r="K95" s="29"/>
      <c r="L95" s="29">
        <f t="shared" si="5"/>
        <v>137.14999999999998</v>
      </c>
      <c r="M95" s="21">
        <v>-136</v>
      </c>
      <c r="N95" s="20">
        <v>4.5816378063401565E-3</v>
      </c>
      <c r="O95" s="19"/>
      <c r="P95" s="19"/>
      <c r="Q95" s="19"/>
      <c r="R95" s="19"/>
      <c r="S95" s="19"/>
      <c r="T95" s="19"/>
      <c r="U95" s="19"/>
      <c r="V95" s="19"/>
      <c r="W95" s="19"/>
      <c r="X95" s="19"/>
      <c r="Y95" s="19"/>
      <c r="Z95" s="19"/>
      <c r="AA95" s="19"/>
    </row>
    <row r="96" spans="1:27" ht="12.75" customHeight="1" x14ac:dyDescent="0.2">
      <c r="A96" s="29">
        <f t="shared" si="4"/>
        <v>227.14999999999998</v>
      </c>
      <c r="B96" s="21">
        <v>-46</v>
      </c>
      <c r="C96" s="20">
        <v>7.5443499999999997</v>
      </c>
      <c r="D96" s="20">
        <f t="shared" si="6"/>
        <v>109.42174353</v>
      </c>
      <c r="E96" s="23">
        <v>1095.92</v>
      </c>
      <c r="F96" s="24">
        <v>19.702829999999999</v>
      </c>
      <c r="G96" s="23"/>
      <c r="H96" s="23"/>
      <c r="I96" s="23"/>
      <c r="J96" s="23"/>
      <c r="K96" s="29"/>
      <c r="L96" s="29">
        <f t="shared" si="5"/>
        <v>137.64999999999998</v>
      </c>
      <c r="M96" s="21">
        <v>-135.5</v>
      </c>
      <c r="N96" s="20">
        <v>4.9573202839924895E-3</v>
      </c>
      <c r="O96" s="19"/>
      <c r="P96" s="19"/>
      <c r="Q96" s="19"/>
      <c r="R96" s="19"/>
      <c r="S96" s="19"/>
      <c r="T96" s="19"/>
      <c r="U96" s="19"/>
      <c r="V96" s="19"/>
      <c r="W96" s="19"/>
      <c r="X96" s="19"/>
      <c r="Y96" s="19"/>
      <c r="Z96" s="19"/>
      <c r="AA96" s="19"/>
    </row>
    <row r="97" spans="1:27" ht="12.75" customHeight="1" x14ac:dyDescent="0.2">
      <c r="A97" s="29">
        <f t="shared" si="4"/>
        <v>227.64999999999998</v>
      </c>
      <c r="B97" s="21">
        <v>-45.5</v>
      </c>
      <c r="C97" s="20">
        <v>7.6867200000000002</v>
      </c>
      <c r="D97" s="20">
        <f t="shared" si="6"/>
        <v>111.486649536</v>
      </c>
      <c r="E97" s="23">
        <v>1094.18</v>
      </c>
      <c r="F97" s="24">
        <v>20.06193</v>
      </c>
      <c r="G97" s="23"/>
      <c r="H97" s="23"/>
      <c r="I97" s="23"/>
      <c r="J97" s="23"/>
      <c r="K97" s="29"/>
      <c r="L97" s="29">
        <f t="shared" si="5"/>
        <v>138.14999999999998</v>
      </c>
      <c r="M97" s="21">
        <v>-135</v>
      </c>
      <c r="N97" s="20">
        <v>5.3605457794234802E-3</v>
      </c>
      <c r="O97" s="19"/>
      <c r="P97" s="19"/>
      <c r="Q97" s="19"/>
      <c r="R97" s="19"/>
      <c r="S97" s="19"/>
      <c r="T97" s="19"/>
      <c r="U97" s="19"/>
      <c r="V97" s="19"/>
      <c r="W97" s="19"/>
      <c r="X97" s="19"/>
      <c r="Y97" s="19"/>
      <c r="Z97" s="19"/>
      <c r="AA97" s="19"/>
    </row>
    <row r="98" spans="1:27" ht="12.75" customHeight="1" x14ac:dyDescent="0.2">
      <c r="A98" s="29">
        <f t="shared" si="4"/>
        <v>228.14999999999998</v>
      </c>
      <c r="B98" s="21">
        <v>-45</v>
      </c>
      <c r="C98" s="20">
        <v>7.83108</v>
      </c>
      <c r="D98" s="20">
        <f t="shared" si="6"/>
        <v>113.580418104</v>
      </c>
      <c r="E98" s="23">
        <v>1092.44</v>
      </c>
      <c r="F98" s="24">
        <v>20.426159999999999</v>
      </c>
      <c r="G98" s="23"/>
      <c r="H98" s="23"/>
      <c r="I98" s="23"/>
      <c r="J98" s="23"/>
      <c r="K98" s="29"/>
      <c r="L98" s="29">
        <f t="shared" si="5"/>
        <v>138.64999999999998</v>
      </c>
      <c r="M98" s="21">
        <v>-134.5</v>
      </c>
      <c r="N98" s="20">
        <v>5.7930805560056703E-3</v>
      </c>
      <c r="O98" s="19"/>
      <c r="P98" s="19"/>
      <c r="Q98" s="19"/>
      <c r="R98" s="19"/>
      <c r="S98" s="19"/>
      <c r="T98" s="19"/>
      <c r="U98" s="19"/>
      <c r="V98" s="19"/>
      <c r="W98" s="19"/>
      <c r="X98" s="19"/>
      <c r="Y98" s="19"/>
      <c r="Z98" s="19"/>
      <c r="AA98" s="19"/>
    </row>
    <row r="99" spans="1:27" ht="12.75" customHeight="1" x14ac:dyDescent="0.2">
      <c r="A99" s="29">
        <f t="shared" si="4"/>
        <v>228.64999999999998</v>
      </c>
      <c r="B99" s="21">
        <v>-44.5</v>
      </c>
      <c r="C99" s="20">
        <v>7.9774500000000002</v>
      </c>
      <c r="D99" s="20">
        <f t="shared" si="6"/>
        <v>115.70333931</v>
      </c>
      <c r="E99" s="23">
        <v>1090.7</v>
      </c>
      <c r="F99" s="24">
        <v>20.795570000000001</v>
      </c>
      <c r="G99" s="23"/>
      <c r="H99" s="23"/>
      <c r="I99" s="23"/>
      <c r="J99" s="23"/>
      <c r="K99" s="29"/>
      <c r="L99" s="29">
        <f t="shared" si="5"/>
        <v>139.14999999999998</v>
      </c>
      <c r="M99" s="21">
        <v>-134</v>
      </c>
      <c r="N99" s="20">
        <v>6.2567865367733474E-3</v>
      </c>
      <c r="O99" s="19"/>
      <c r="P99" s="19"/>
      <c r="Q99" s="19"/>
      <c r="R99" s="19"/>
      <c r="S99" s="19"/>
      <c r="T99" s="19"/>
      <c r="U99" s="19"/>
      <c r="V99" s="19"/>
      <c r="W99" s="19"/>
      <c r="X99" s="19"/>
      <c r="Y99" s="19"/>
      <c r="Z99" s="19"/>
      <c r="AA99" s="19"/>
    </row>
    <row r="100" spans="1:27" ht="12.75" customHeight="1" x14ac:dyDescent="0.2">
      <c r="A100" s="29">
        <f t="shared" si="4"/>
        <v>229.14999999999998</v>
      </c>
      <c r="B100" s="21">
        <v>-44</v>
      </c>
      <c r="C100" s="20">
        <v>8.1258400000000002</v>
      </c>
      <c r="D100" s="20">
        <f t="shared" si="6"/>
        <v>117.855558192</v>
      </c>
      <c r="E100" s="23">
        <v>1088.95</v>
      </c>
      <c r="F100" s="24">
        <v>21.17022</v>
      </c>
      <c r="G100" s="23"/>
      <c r="H100" s="23"/>
      <c r="I100" s="23"/>
      <c r="J100" s="23"/>
      <c r="K100" s="29"/>
      <c r="L100" s="29">
        <f t="shared" si="5"/>
        <v>139.64999999999998</v>
      </c>
      <c r="M100" s="21">
        <v>-133.5</v>
      </c>
      <c r="N100" s="20">
        <v>6.7536254031010119E-3</v>
      </c>
      <c r="O100" s="19"/>
      <c r="P100" s="19"/>
      <c r="Q100" s="19"/>
      <c r="R100" s="19"/>
      <c r="S100" s="19"/>
      <c r="T100" s="19"/>
      <c r="U100" s="19"/>
      <c r="V100" s="19"/>
      <c r="W100" s="19"/>
      <c r="X100" s="19"/>
      <c r="Y100" s="19"/>
      <c r="Z100" s="19"/>
      <c r="AA100" s="19"/>
    </row>
    <row r="101" spans="1:27" ht="12.75" customHeight="1" x14ac:dyDescent="0.2">
      <c r="A101" s="29">
        <f t="shared" si="4"/>
        <v>229.64999999999998</v>
      </c>
      <c r="B101" s="21">
        <v>-43.5</v>
      </c>
      <c r="C101" s="20">
        <v>8.2762700000000002</v>
      </c>
      <c r="D101" s="20">
        <f t="shared" si="6"/>
        <v>120.037364826</v>
      </c>
      <c r="E101" s="23">
        <v>1087.19</v>
      </c>
      <c r="F101" s="24">
        <v>21.550170000000001</v>
      </c>
      <c r="G101" s="23"/>
      <c r="H101" s="23"/>
      <c r="I101" s="23"/>
      <c r="J101" s="23"/>
      <c r="K101" s="29"/>
      <c r="L101" s="29">
        <f t="shared" si="5"/>
        <v>140.14999999999998</v>
      </c>
      <c r="M101" s="21">
        <v>-133</v>
      </c>
      <c r="N101" s="20">
        <v>7.2856628111723021E-3</v>
      </c>
      <c r="O101" s="19"/>
      <c r="P101" s="19"/>
      <c r="Q101" s="19"/>
      <c r="R101" s="19"/>
      <c r="S101" s="19"/>
      <c r="T101" s="19"/>
      <c r="U101" s="19"/>
      <c r="V101" s="19"/>
      <c r="W101" s="19"/>
      <c r="X101" s="19"/>
      <c r="Y101" s="19"/>
      <c r="Z101" s="19"/>
      <c r="AA101" s="19"/>
    </row>
    <row r="102" spans="1:27" ht="12.75" customHeight="1" x14ac:dyDescent="0.2">
      <c r="A102" s="29">
        <f t="shared" si="4"/>
        <v>230.14999999999998</v>
      </c>
      <c r="B102" s="21">
        <v>-43</v>
      </c>
      <c r="C102" s="20">
        <v>8.4287500000000009</v>
      </c>
      <c r="D102" s="20">
        <f t="shared" si="6"/>
        <v>122.24890425000001</v>
      </c>
      <c r="E102" s="23">
        <v>1085.43</v>
      </c>
      <c r="F102" s="24">
        <v>21.935490000000001</v>
      </c>
      <c r="G102" s="23"/>
      <c r="H102" s="23"/>
      <c r="I102" s="23"/>
      <c r="J102" s="23"/>
      <c r="K102" s="29"/>
      <c r="L102" s="29">
        <f t="shared" ref="L102:L133" si="7">M102+273.15</f>
        <v>140.64999999999998</v>
      </c>
      <c r="M102" s="21">
        <v>-132.5</v>
      </c>
      <c r="N102" s="20">
        <v>7.8550727269413E-3</v>
      </c>
      <c r="O102" s="19"/>
      <c r="P102" s="19"/>
      <c r="Q102" s="19"/>
      <c r="R102" s="19"/>
      <c r="S102" s="19"/>
      <c r="T102" s="19"/>
      <c r="U102" s="19"/>
      <c r="V102" s="19"/>
      <c r="W102" s="19"/>
      <c r="X102" s="19"/>
      <c r="Y102" s="19"/>
      <c r="Z102" s="19"/>
      <c r="AA102" s="19"/>
    </row>
    <row r="103" spans="1:27" ht="12.75" customHeight="1" x14ac:dyDescent="0.2">
      <c r="A103" s="29">
        <f t="shared" si="4"/>
        <v>230.64999999999998</v>
      </c>
      <c r="B103" s="21">
        <v>-42.5</v>
      </c>
      <c r="C103" s="20">
        <v>8.5833100000000009</v>
      </c>
      <c r="D103" s="20">
        <f t="shared" si="6"/>
        <v>124.49061157800001</v>
      </c>
      <c r="E103" s="23">
        <v>1083.6600000000001</v>
      </c>
      <c r="F103" s="24">
        <v>22.326239999999999</v>
      </c>
      <c r="G103" s="23"/>
      <c r="H103" s="23"/>
      <c r="I103" s="23"/>
      <c r="J103" s="23"/>
      <c r="K103" s="29"/>
      <c r="L103" s="29">
        <f t="shared" si="7"/>
        <v>141.14999999999998</v>
      </c>
      <c r="M103" s="21">
        <v>-132</v>
      </c>
      <c r="N103" s="20">
        <v>8.4641418801684066E-3</v>
      </c>
      <c r="O103" s="19"/>
      <c r="P103" s="19"/>
      <c r="Q103" s="19"/>
      <c r="R103" s="19"/>
      <c r="S103" s="19"/>
      <c r="T103" s="19"/>
      <c r="U103" s="19"/>
      <c r="V103" s="19"/>
      <c r="W103" s="19"/>
      <c r="X103" s="19"/>
      <c r="Y103" s="19"/>
      <c r="Z103" s="19"/>
      <c r="AA103" s="19"/>
    </row>
    <row r="104" spans="1:27" ht="12.75" customHeight="1" x14ac:dyDescent="0.2">
      <c r="A104" s="29">
        <f t="shared" si="4"/>
        <v>231.14999999999998</v>
      </c>
      <c r="B104" s="21">
        <v>-42</v>
      </c>
      <c r="C104" s="20">
        <v>8.7399699999999996</v>
      </c>
      <c r="D104" s="20">
        <f t="shared" si="6"/>
        <v>126.762776886</v>
      </c>
      <c r="E104" s="23">
        <v>1081.8900000000001</v>
      </c>
      <c r="F104" s="24">
        <v>22.722470000000001</v>
      </c>
      <c r="G104" s="23"/>
      <c r="H104" s="23"/>
      <c r="I104" s="23"/>
      <c r="J104" s="23"/>
      <c r="K104" s="29"/>
      <c r="L104" s="29">
        <f t="shared" si="7"/>
        <v>141.64999999999998</v>
      </c>
      <c r="M104" s="21">
        <v>-131.5</v>
      </c>
      <c r="N104" s="20">
        <v>9.1152743379906368E-3</v>
      </c>
      <c r="O104" s="19"/>
      <c r="P104" s="19"/>
      <c r="Q104" s="19"/>
      <c r="R104" s="19"/>
      <c r="S104" s="19"/>
      <c r="T104" s="19"/>
      <c r="U104" s="19"/>
      <c r="V104" s="19"/>
      <c r="W104" s="19"/>
      <c r="X104" s="19"/>
      <c r="Y104" s="19"/>
      <c r="Z104" s="19"/>
      <c r="AA104" s="19"/>
    </row>
    <row r="105" spans="1:27" ht="12.75" customHeight="1" x14ac:dyDescent="0.2">
      <c r="A105" s="29">
        <f t="shared" si="4"/>
        <v>231.64999999999998</v>
      </c>
      <c r="B105" s="21">
        <v>-41.5</v>
      </c>
      <c r="C105" s="20">
        <v>8.8987300000000005</v>
      </c>
      <c r="D105" s="20">
        <f t="shared" si="6"/>
        <v>129.06540017400002</v>
      </c>
      <c r="E105" s="23">
        <v>1080.1199999999999</v>
      </c>
      <c r="F105" s="24">
        <v>23.12425</v>
      </c>
      <c r="G105" s="23"/>
      <c r="H105" s="23"/>
      <c r="I105" s="23"/>
      <c r="J105" s="23"/>
      <c r="K105" s="29"/>
      <c r="L105" s="29">
        <f t="shared" si="7"/>
        <v>142.14999999999998</v>
      </c>
      <c r="M105" s="21">
        <v>-131</v>
      </c>
      <c r="N105" s="20">
        <v>9.8109961983565697E-3</v>
      </c>
      <c r="O105" s="19"/>
      <c r="P105" s="19"/>
      <c r="Q105" s="19"/>
      <c r="R105" s="19"/>
      <c r="S105" s="19"/>
      <c r="T105" s="19"/>
      <c r="U105" s="19"/>
      <c r="V105" s="19"/>
      <c r="W105" s="19"/>
      <c r="X105" s="19"/>
      <c r="Y105" s="19"/>
      <c r="Z105" s="19"/>
      <c r="AA105" s="19"/>
    </row>
    <row r="106" spans="1:27" ht="12.75" customHeight="1" x14ac:dyDescent="0.2">
      <c r="A106" s="29">
        <f t="shared" si="4"/>
        <v>232.14999999999998</v>
      </c>
      <c r="B106" s="21">
        <v>-41</v>
      </c>
      <c r="C106" s="20">
        <v>9.0596099999999993</v>
      </c>
      <c r="D106" s="20">
        <f t="shared" si="6"/>
        <v>131.39877151799999</v>
      </c>
      <c r="E106" s="23">
        <v>1078.3399999999999</v>
      </c>
      <c r="F106" s="24">
        <v>23.531649999999999</v>
      </c>
      <c r="G106" s="23"/>
      <c r="H106" s="23"/>
      <c r="I106" s="23"/>
      <c r="J106" s="23"/>
      <c r="K106" s="29"/>
      <c r="L106" s="29">
        <f t="shared" si="7"/>
        <v>142.64999999999998</v>
      </c>
      <c r="M106" s="21">
        <v>-130.5</v>
      </c>
      <c r="N106" s="20">
        <v>1.0553960403526326E-2</v>
      </c>
      <c r="O106" s="19"/>
      <c r="P106" s="19"/>
      <c r="Q106" s="19"/>
      <c r="R106" s="19"/>
      <c r="S106" s="19"/>
      <c r="T106" s="19"/>
      <c r="U106" s="19"/>
      <c r="V106" s="19"/>
      <c r="W106" s="19"/>
      <c r="X106" s="19"/>
      <c r="Y106" s="19"/>
      <c r="Z106" s="19"/>
      <c r="AA106" s="19"/>
    </row>
    <row r="107" spans="1:27" ht="12.75" customHeight="1" x14ac:dyDescent="0.2">
      <c r="A107" s="29">
        <f t="shared" si="4"/>
        <v>232.64999999999998</v>
      </c>
      <c r="B107" s="21">
        <v>-40.5</v>
      </c>
      <c r="C107" s="20">
        <v>9.2226400000000002</v>
      </c>
      <c r="D107" s="20">
        <f t="shared" si="6"/>
        <v>133.76332603200001</v>
      </c>
      <c r="E107" s="23">
        <v>1076.55</v>
      </c>
      <c r="F107" s="24">
        <v>23.94472</v>
      </c>
      <c r="G107" s="23"/>
      <c r="H107" s="23"/>
      <c r="I107" s="23"/>
      <c r="J107" s="23"/>
      <c r="K107" s="29"/>
      <c r="L107" s="29">
        <f t="shared" si="7"/>
        <v>143.14999999999998</v>
      </c>
      <c r="M107" s="21">
        <v>-130</v>
      </c>
      <c r="N107" s="20">
        <v>1.1346951673700019E-2</v>
      </c>
      <c r="O107" s="19"/>
      <c r="P107" s="19"/>
      <c r="Q107" s="19"/>
      <c r="R107" s="19"/>
      <c r="S107" s="19"/>
      <c r="T107" s="19"/>
      <c r="U107" s="19"/>
      <c r="V107" s="19"/>
      <c r="W107" s="19"/>
      <c r="X107" s="19"/>
      <c r="Y107" s="19"/>
      <c r="Z107" s="19"/>
      <c r="AA107" s="19"/>
    </row>
    <row r="108" spans="1:27" ht="12.75" customHeight="1" x14ac:dyDescent="0.2">
      <c r="A108" s="29">
        <f t="shared" si="4"/>
        <v>233.14999999999998</v>
      </c>
      <c r="B108" s="21">
        <v>-40</v>
      </c>
      <c r="C108" s="20">
        <v>9.3878299999999992</v>
      </c>
      <c r="D108" s="20">
        <f t="shared" si="6"/>
        <v>136.15920875399999</v>
      </c>
      <c r="E108" s="23">
        <v>1074.76</v>
      </c>
      <c r="F108" s="24">
        <v>24.36355</v>
      </c>
      <c r="G108" s="23"/>
      <c r="H108" s="23"/>
      <c r="I108" s="23"/>
      <c r="J108" s="23"/>
      <c r="K108" s="29"/>
      <c r="L108" s="29">
        <f t="shared" si="7"/>
        <v>143.64999999999998</v>
      </c>
      <c r="M108" s="21">
        <v>-129.5</v>
      </c>
      <c r="N108" s="20">
        <v>1.2192891560696998E-2</v>
      </c>
      <c r="O108" s="19"/>
      <c r="P108" s="19"/>
      <c r="Q108" s="19"/>
      <c r="R108" s="19"/>
      <c r="S108" s="19"/>
      <c r="T108" s="19"/>
      <c r="U108" s="19"/>
      <c r="V108" s="19"/>
      <c r="W108" s="19"/>
      <c r="X108" s="19"/>
      <c r="Y108" s="19"/>
      <c r="Z108" s="19"/>
      <c r="AA108" s="19"/>
    </row>
    <row r="109" spans="1:27" ht="12.75" customHeight="1" x14ac:dyDescent="0.2">
      <c r="A109" s="29">
        <f t="shared" si="4"/>
        <v>233.64999999999998</v>
      </c>
      <c r="B109" s="21">
        <v>-39.5</v>
      </c>
      <c r="C109" s="20">
        <v>9.5551999999999992</v>
      </c>
      <c r="D109" s="20">
        <f t="shared" si="6"/>
        <v>138.58670975999999</v>
      </c>
      <c r="E109" s="23">
        <v>1072.96</v>
      </c>
      <c r="F109" s="24">
        <v>24.788180000000001</v>
      </c>
      <c r="G109" s="23"/>
      <c r="H109" s="23"/>
      <c r="I109" s="23"/>
      <c r="J109" s="23"/>
      <c r="K109" s="29"/>
      <c r="L109" s="29">
        <f t="shared" si="7"/>
        <v>144.14999999999998</v>
      </c>
      <c r="M109" s="21">
        <v>-129</v>
      </c>
      <c r="N109" s="20">
        <v>1.3094843621468285E-2</v>
      </c>
      <c r="O109" s="19"/>
      <c r="P109" s="19"/>
      <c r="Q109" s="19"/>
      <c r="R109" s="19"/>
      <c r="S109" s="19"/>
      <c r="T109" s="19"/>
      <c r="U109" s="19"/>
      <c r="V109" s="19"/>
      <c r="W109" s="19"/>
      <c r="X109" s="19"/>
      <c r="Y109" s="19"/>
      <c r="Z109" s="19"/>
      <c r="AA109" s="19"/>
    </row>
    <row r="110" spans="1:27" ht="12.75" customHeight="1" x14ac:dyDescent="0.2">
      <c r="A110" s="29">
        <f t="shared" si="4"/>
        <v>234.14999999999998</v>
      </c>
      <c r="B110" s="21">
        <v>-39</v>
      </c>
      <c r="C110" s="20">
        <v>9.7247599999999998</v>
      </c>
      <c r="D110" s="20">
        <f t="shared" si="6"/>
        <v>141.04597408800001</v>
      </c>
      <c r="E110" s="23">
        <v>1071.1600000000001</v>
      </c>
      <c r="F110" s="24">
        <v>25.218699999999998</v>
      </c>
      <c r="G110" s="23"/>
      <c r="H110" s="23"/>
      <c r="I110" s="23"/>
      <c r="J110" s="23"/>
      <c r="K110" s="29"/>
      <c r="L110" s="29">
        <f t="shared" si="7"/>
        <v>144.64999999999998</v>
      </c>
      <c r="M110" s="21">
        <v>-128.5</v>
      </c>
      <c r="N110" s="20">
        <v>1.4056018711071826E-2</v>
      </c>
      <c r="O110" s="19"/>
      <c r="P110" s="19"/>
      <c r="Q110" s="19"/>
      <c r="R110" s="19"/>
      <c r="S110" s="19"/>
      <c r="T110" s="19"/>
      <c r="U110" s="19"/>
      <c r="V110" s="19"/>
      <c r="W110" s="19"/>
      <c r="X110" s="19"/>
      <c r="Y110" s="19"/>
      <c r="Z110" s="19"/>
      <c r="AA110" s="19"/>
    </row>
    <row r="111" spans="1:27" ht="12.75" customHeight="1" x14ac:dyDescent="0.2">
      <c r="A111" s="29">
        <f t="shared" si="4"/>
        <v>234.64999999999998</v>
      </c>
      <c r="B111" s="21">
        <v>-38.5</v>
      </c>
      <c r="C111" s="20">
        <v>9.8965399999999999</v>
      </c>
      <c r="D111" s="20">
        <f t="shared" si="6"/>
        <v>143.53743685199998</v>
      </c>
      <c r="E111" s="23">
        <v>1069.3499999999999</v>
      </c>
      <c r="F111" s="24">
        <v>25.655159999999999</v>
      </c>
      <c r="G111" s="23"/>
      <c r="H111" s="23"/>
      <c r="I111" s="23"/>
      <c r="J111" s="23"/>
      <c r="K111" s="29"/>
      <c r="L111" s="29">
        <f t="shared" si="7"/>
        <v>145.14999999999998</v>
      </c>
      <c r="M111" s="21">
        <v>-128</v>
      </c>
      <c r="N111" s="20">
        <v>1.5079780394594212E-2</v>
      </c>
      <c r="O111" s="19"/>
      <c r="P111" s="19"/>
      <c r="Q111" s="19"/>
      <c r="R111" s="19"/>
      <c r="S111" s="19"/>
      <c r="T111" s="19"/>
      <c r="U111" s="19"/>
      <c r="V111" s="19"/>
      <c r="W111" s="19"/>
      <c r="X111" s="19"/>
      <c r="Y111" s="19"/>
      <c r="Z111" s="19"/>
      <c r="AA111" s="19"/>
    </row>
    <row r="112" spans="1:27" ht="12.75" customHeight="1" x14ac:dyDescent="0.2">
      <c r="A112" s="29">
        <f t="shared" si="4"/>
        <v>235.14999999999998</v>
      </c>
      <c r="B112" s="21">
        <v>-38</v>
      </c>
      <c r="C112" s="20">
        <v>10.070499999999999</v>
      </c>
      <c r="D112" s="20">
        <f t="shared" si="6"/>
        <v>146.06051789999998</v>
      </c>
      <c r="E112" s="23">
        <v>1067.54</v>
      </c>
      <c r="F112" s="24">
        <v>26.097639999999998</v>
      </c>
      <c r="G112" s="23"/>
      <c r="H112" s="23"/>
      <c r="I112" s="23"/>
      <c r="J112" s="23"/>
      <c r="K112" s="29"/>
      <c r="L112" s="29">
        <f t="shared" si="7"/>
        <v>145.64999999999998</v>
      </c>
      <c r="M112" s="21">
        <v>-127.5</v>
      </c>
      <c r="N112" s="20">
        <v>1.6169650477346587E-2</v>
      </c>
      <c r="O112" s="19"/>
      <c r="P112" s="19"/>
      <c r="Q112" s="19"/>
      <c r="R112" s="19"/>
      <c r="S112" s="19"/>
      <c r="T112" s="19"/>
      <c r="U112" s="19"/>
      <c r="V112" s="19"/>
      <c r="W112" s="19"/>
      <c r="X112" s="19"/>
      <c r="Y112" s="19"/>
      <c r="Z112" s="19"/>
      <c r="AA112" s="19"/>
    </row>
    <row r="113" spans="1:27" ht="12.75" customHeight="1" x14ac:dyDescent="0.2">
      <c r="A113" s="29">
        <f t="shared" si="4"/>
        <v>235.64999999999998</v>
      </c>
      <c r="B113" s="21">
        <v>-37.5</v>
      </c>
      <c r="C113" s="20">
        <v>10.2468</v>
      </c>
      <c r="D113" s="20">
        <f t="shared" si="6"/>
        <v>148.61753784000001</v>
      </c>
      <c r="E113" s="23">
        <v>1065.72</v>
      </c>
      <c r="F113" s="24">
        <v>26.546220000000002</v>
      </c>
      <c r="G113" s="23"/>
      <c r="H113" s="23"/>
      <c r="I113" s="23"/>
      <c r="J113" s="23"/>
      <c r="K113" s="29"/>
      <c r="L113" s="29">
        <f t="shared" si="7"/>
        <v>146.14999999999998</v>
      </c>
      <c r="M113" s="21">
        <v>-127</v>
      </c>
      <c r="N113" s="20">
        <v>1.7329314652503012E-2</v>
      </c>
      <c r="O113" s="19"/>
      <c r="P113" s="19"/>
      <c r="Q113" s="19"/>
      <c r="R113" s="19"/>
      <c r="S113" s="19"/>
      <c r="T113" s="19"/>
      <c r="U113" s="19"/>
      <c r="V113" s="19"/>
      <c r="W113" s="19"/>
      <c r="X113" s="19"/>
      <c r="Y113" s="19"/>
      <c r="Z113" s="19"/>
      <c r="AA113" s="19"/>
    </row>
    <row r="114" spans="1:27" ht="12.75" customHeight="1" x14ac:dyDescent="0.2">
      <c r="A114" s="29">
        <f t="shared" si="4"/>
        <v>236.14999999999998</v>
      </c>
      <c r="B114" s="21">
        <v>-37</v>
      </c>
      <c r="C114" s="20">
        <v>10.4253</v>
      </c>
      <c r="D114" s="20">
        <f t="shared" si="6"/>
        <v>151.20646614</v>
      </c>
      <c r="E114" s="23">
        <v>1063.9000000000001</v>
      </c>
      <c r="F114" s="24">
        <v>27.00095</v>
      </c>
      <c r="G114" s="23"/>
      <c r="H114" s="23"/>
      <c r="I114" s="23"/>
      <c r="J114" s="23"/>
      <c r="K114" s="29"/>
      <c r="L114" s="29">
        <f t="shared" si="7"/>
        <v>146.64999999999998</v>
      </c>
      <c r="M114" s="21">
        <v>-126.5</v>
      </c>
      <c r="N114" s="20">
        <v>1.8562628265193542E-2</v>
      </c>
      <c r="O114" s="19"/>
      <c r="P114" s="19"/>
      <c r="Q114" s="19"/>
      <c r="R114" s="19"/>
      <c r="S114" s="19"/>
      <c r="T114" s="19"/>
      <c r="U114" s="19"/>
      <c r="V114" s="19"/>
      <c r="W114" s="19"/>
      <c r="X114" s="19"/>
      <c r="Y114" s="19"/>
      <c r="Z114" s="19"/>
      <c r="AA114" s="19"/>
    </row>
    <row r="115" spans="1:27" ht="12.75" customHeight="1" x14ac:dyDescent="0.2">
      <c r="A115" s="29">
        <f t="shared" si="4"/>
        <v>236.64999999999998</v>
      </c>
      <c r="B115" s="21">
        <v>-36.5</v>
      </c>
      <c r="C115" s="20">
        <v>10.6061</v>
      </c>
      <c r="D115" s="20">
        <f t="shared" si="6"/>
        <v>153.82875318000001</v>
      </c>
      <c r="E115" s="23">
        <v>1062.07</v>
      </c>
      <c r="F115" s="24">
        <v>27.461919999999999</v>
      </c>
      <c r="G115" s="23"/>
      <c r="H115" s="23"/>
      <c r="I115" s="23"/>
      <c r="J115" s="23"/>
      <c r="K115" s="29"/>
      <c r="L115" s="29">
        <f t="shared" si="7"/>
        <v>147.14999999999998</v>
      </c>
      <c r="M115" s="21">
        <v>-126</v>
      </c>
      <c r="N115" s="20">
        <v>1.9873622191897363E-2</v>
      </c>
      <c r="O115" s="19"/>
      <c r="P115" s="19"/>
      <c r="Q115" s="19"/>
      <c r="R115" s="19"/>
      <c r="S115" s="19"/>
      <c r="T115" s="19"/>
      <c r="U115" s="19"/>
      <c r="V115" s="19"/>
      <c r="W115" s="19"/>
      <c r="X115" s="19"/>
      <c r="Y115" s="19"/>
      <c r="Z115" s="19"/>
      <c r="AA115" s="19"/>
    </row>
    <row r="116" spans="1:27" ht="12.75" customHeight="1" x14ac:dyDescent="0.2">
      <c r="A116" s="29">
        <f t="shared" si="4"/>
        <v>237.14999999999998</v>
      </c>
      <c r="B116" s="21">
        <v>-36</v>
      </c>
      <c r="C116" s="20">
        <v>10.789199999999999</v>
      </c>
      <c r="D116" s="20">
        <f t="shared" si="6"/>
        <v>156.48439895999999</v>
      </c>
      <c r="E116" s="23">
        <v>1060.24</v>
      </c>
      <c r="F116" s="24">
        <v>27.929200000000002</v>
      </c>
      <c r="G116" s="23"/>
      <c r="H116" s="23"/>
      <c r="I116" s="23"/>
      <c r="J116" s="23"/>
      <c r="K116" s="29"/>
      <c r="L116" s="29">
        <f t="shared" si="7"/>
        <v>147.64999999999998</v>
      </c>
      <c r="M116" s="21">
        <v>-125.5</v>
      </c>
      <c r="N116" s="20">
        <v>2.1266508833817616E-2</v>
      </c>
      <c r="O116" s="19"/>
      <c r="P116" s="19"/>
      <c r="Q116" s="19"/>
      <c r="R116" s="19"/>
      <c r="S116" s="19"/>
      <c r="T116" s="19"/>
      <c r="U116" s="19"/>
      <c r="V116" s="19"/>
      <c r="W116" s="19"/>
      <c r="X116" s="19"/>
      <c r="Y116" s="19"/>
      <c r="Z116" s="19"/>
      <c r="AA116" s="19"/>
    </row>
    <row r="117" spans="1:27" ht="12.75" customHeight="1" x14ac:dyDescent="0.2">
      <c r="A117" s="29">
        <f t="shared" si="4"/>
        <v>237.64999999999998</v>
      </c>
      <c r="B117" s="21">
        <v>-35.5</v>
      </c>
      <c r="C117" s="20">
        <v>10.974600000000001</v>
      </c>
      <c r="D117" s="20">
        <f t="shared" si="6"/>
        <v>159.17340348000002</v>
      </c>
      <c r="E117" s="23">
        <v>1058.4000000000001</v>
      </c>
      <c r="F117" s="24">
        <v>28.40286</v>
      </c>
      <c r="G117" s="23"/>
      <c r="H117" s="23"/>
      <c r="I117" s="23"/>
      <c r="J117" s="23"/>
      <c r="K117" s="29"/>
      <c r="L117" s="29">
        <f t="shared" si="7"/>
        <v>148.14999999999998</v>
      </c>
      <c r="M117" s="21">
        <v>-125</v>
      </c>
      <c r="N117" s="20">
        <v>2.2745688222749451E-2</v>
      </c>
      <c r="O117" s="19"/>
      <c r="P117" s="19"/>
      <c r="Q117" s="19"/>
      <c r="R117" s="19"/>
      <c r="S117" s="19"/>
      <c r="T117" s="19"/>
      <c r="U117" s="19"/>
      <c r="V117" s="19"/>
      <c r="W117" s="19"/>
      <c r="X117" s="19"/>
      <c r="Y117" s="19"/>
      <c r="Z117" s="19"/>
      <c r="AA117" s="19"/>
    </row>
    <row r="118" spans="1:27" ht="12.75" customHeight="1" x14ac:dyDescent="0.2">
      <c r="A118" s="29">
        <f t="shared" si="4"/>
        <v>238.14999999999998</v>
      </c>
      <c r="B118" s="21">
        <v>-35</v>
      </c>
      <c r="C118" s="20">
        <v>11.1624</v>
      </c>
      <c r="D118" s="20">
        <f t="shared" si="6"/>
        <v>161.89721711999999</v>
      </c>
      <c r="E118" s="23">
        <v>1056.55</v>
      </c>
      <c r="F118" s="24">
        <v>28.88298</v>
      </c>
      <c r="G118" s="23"/>
      <c r="H118" s="23"/>
      <c r="I118" s="23"/>
      <c r="J118" s="23"/>
      <c r="K118" s="29"/>
      <c r="L118" s="29">
        <f t="shared" si="7"/>
        <v>148.64999999999998</v>
      </c>
      <c r="M118" s="21">
        <v>-124.5</v>
      </c>
      <c r="N118" s="20">
        <v>2.431575423778734E-2</v>
      </c>
      <c r="O118" s="19"/>
      <c r="P118" s="19"/>
      <c r="Q118" s="19"/>
      <c r="R118" s="19"/>
      <c r="S118" s="19"/>
      <c r="T118" s="19"/>
      <c r="U118" s="19"/>
      <c r="V118" s="19"/>
      <c r="W118" s="19"/>
      <c r="X118" s="19"/>
      <c r="Y118" s="19"/>
      <c r="Z118" s="19"/>
      <c r="AA118" s="19"/>
    </row>
    <row r="119" spans="1:27" ht="12.75" customHeight="1" x14ac:dyDescent="0.2">
      <c r="A119" s="29">
        <f t="shared" si="4"/>
        <v>238.64999999999998</v>
      </c>
      <c r="B119" s="21">
        <v>-34.5</v>
      </c>
      <c r="C119" s="20">
        <v>11.352499999999999</v>
      </c>
      <c r="D119" s="20">
        <f t="shared" si="6"/>
        <v>164.65438949999998</v>
      </c>
      <c r="E119" s="23">
        <v>1054.7</v>
      </c>
      <c r="F119" s="24">
        <v>29.36964</v>
      </c>
      <c r="G119" s="23"/>
      <c r="H119" s="23"/>
      <c r="I119" s="23"/>
      <c r="J119" s="23"/>
      <c r="K119" s="29"/>
      <c r="L119" s="29">
        <f t="shared" si="7"/>
        <v>149.14999999999998</v>
      </c>
      <c r="M119" s="21">
        <v>-124</v>
      </c>
      <c r="N119" s="20">
        <v>2.5981500931036898E-2</v>
      </c>
      <c r="O119" s="19"/>
      <c r="P119" s="19"/>
      <c r="Q119" s="19"/>
      <c r="R119" s="19"/>
      <c r="S119" s="19"/>
      <c r="T119" s="19"/>
      <c r="U119" s="19"/>
      <c r="V119" s="19"/>
      <c r="W119" s="19"/>
      <c r="X119" s="19"/>
      <c r="Y119" s="19"/>
      <c r="Z119" s="19"/>
      <c r="AA119" s="19"/>
    </row>
    <row r="120" spans="1:27" ht="12.75" customHeight="1" x14ac:dyDescent="0.2">
      <c r="A120" s="29">
        <f t="shared" si="4"/>
        <v>239.14999999999998</v>
      </c>
      <c r="B120" s="21">
        <v>-34</v>
      </c>
      <c r="C120" s="20">
        <v>11.545</v>
      </c>
      <c r="D120" s="20">
        <f t="shared" si="6"/>
        <v>167.446371</v>
      </c>
      <c r="E120" s="23">
        <v>1052.8399999999999</v>
      </c>
      <c r="F120" s="24">
        <v>29.862909999999999</v>
      </c>
      <c r="G120" s="23"/>
      <c r="H120" s="23"/>
      <c r="I120" s="23"/>
      <c r="J120" s="23"/>
      <c r="K120" s="29"/>
      <c r="L120" s="29">
        <f t="shared" si="7"/>
        <v>149.64999999999998</v>
      </c>
      <c r="M120" s="21">
        <v>-123.5</v>
      </c>
      <c r="N120" s="20">
        <v>2.7747928960331215E-2</v>
      </c>
      <c r="O120" s="19"/>
      <c r="P120" s="19"/>
      <c r="Q120" s="19"/>
      <c r="R120" s="19"/>
      <c r="S120" s="19"/>
      <c r="T120" s="19"/>
      <c r="U120" s="19"/>
      <c r="V120" s="19"/>
      <c r="W120" s="19"/>
      <c r="X120" s="19"/>
      <c r="Y120" s="19"/>
      <c r="Z120" s="19"/>
      <c r="AA120" s="19"/>
    </row>
    <row r="121" spans="1:27" ht="12.75" customHeight="1" x14ac:dyDescent="0.2">
      <c r="A121" s="29">
        <f t="shared" si="4"/>
        <v>239.64999999999998</v>
      </c>
      <c r="B121" s="21">
        <v>-33.5</v>
      </c>
      <c r="C121" s="20">
        <v>11.7399</v>
      </c>
      <c r="D121" s="20">
        <f t="shared" si="6"/>
        <v>170.27316162</v>
      </c>
      <c r="E121" s="23">
        <v>1050.97</v>
      </c>
      <c r="F121" s="24">
        <v>30.362880000000001</v>
      </c>
      <c r="G121" s="23"/>
      <c r="H121" s="23"/>
      <c r="I121" s="23"/>
      <c r="J121" s="23"/>
      <c r="K121" s="29"/>
      <c r="L121" s="29">
        <f t="shared" si="7"/>
        <v>150.14999999999998</v>
      </c>
      <c r="M121" s="21">
        <v>-123</v>
      </c>
      <c r="N121" s="20">
        <v>2.9620252126771666E-2</v>
      </c>
      <c r="O121" s="19"/>
      <c r="P121" s="19"/>
      <c r="Q121" s="19"/>
      <c r="R121" s="19"/>
      <c r="S121" s="19"/>
      <c r="T121" s="19"/>
      <c r="U121" s="19"/>
      <c r="V121" s="19"/>
      <c r="W121" s="19"/>
      <c r="X121" s="19"/>
      <c r="Y121" s="19"/>
      <c r="Z121" s="19"/>
      <c r="AA121" s="19"/>
    </row>
    <row r="122" spans="1:27" ht="12.75" customHeight="1" x14ac:dyDescent="0.2">
      <c r="A122" s="29">
        <f t="shared" si="4"/>
        <v>240.14999999999998</v>
      </c>
      <c r="B122" s="21">
        <v>-33</v>
      </c>
      <c r="C122" s="20">
        <v>11.937200000000001</v>
      </c>
      <c r="D122" s="20">
        <f t="shared" si="6"/>
        <v>173.13476136</v>
      </c>
      <c r="E122" s="23">
        <v>1049.0999999999999</v>
      </c>
      <c r="F122" s="24">
        <v>30.869630000000001</v>
      </c>
      <c r="G122" s="23"/>
      <c r="H122" s="23"/>
      <c r="I122" s="23"/>
      <c r="J122" s="23"/>
      <c r="K122" s="29"/>
      <c r="L122" s="29">
        <f t="shared" si="7"/>
        <v>150.64999999999998</v>
      </c>
      <c r="M122" s="21">
        <v>-122.5</v>
      </c>
      <c r="N122" s="20">
        <v>3.1603904014732974E-2</v>
      </c>
      <c r="O122" s="19"/>
      <c r="P122" s="19"/>
      <c r="Q122" s="19"/>
      <c r="R122" s="19"/>
      <c r="S122" s="19"/>
      <c r="T122" s="19"/>
      <c r="U122" s="19"/>
      <c r="V122" s="19"/>
      <c r="W122" s="19"/>
      <c r="X122" s="19"/>
      <c r="Y122" s="19"/>
      <c r="Z122" s="19"/>
      <c r="AA122" s="19"/>
    </row>
    <row r="123" spans="1:27" ht="12.75" customHeight="1" x14ac:dyDescent="0.2">
      <c r="A123" s="29">
        <f t="shared" si="4"/>
        <v>240.64999999999998</v>
      </c>
      <c r="B123" s="21">
        <v>-32.5</v>
      </c>
      <c r="C123" s="20">
        <v>12.136900000000001</v>
      </c>
      <c r="D123" s="20">
        <f t="shared" si="6"/>
        <v>176.03117022000001</v>
      </c>
      <c r="E123" s="23">
        <v>1047.23</v>
      </c>
      <c r="F123" s="24">
        <v>31.383240000000001</v>
      </c>
      <c r="G123" s="23"/>
      <c r="H123" s="23"/>
      <c r="I123" s="23"/>
      <c r="J123" s="23"/>
      <c r="K123" s="29"/>
      <c r="L123" s="29">
        <f t="shared" si="7"/>
        <v>151.14999999999998</v>
      </c>
      <c r="M123" s="21">
        <v>-122</v>
      </c>
      <c r="N123" s="20">
        <v>3.370454473180319E-2</v>
      </c>
      <c r="O123" s="19"/>
      <c r="P123" s="19"/>
      <c r="Q123" s="19"/>
      <c r="R123" s="19"/>
      <c r="S123" s="19"/>
      <c r="T123" s="19"/>
      <c r="U123" s="19"/>
      <c r="V123" s="19"/>
      <c r="W123" s="19"/>
      <c r="X123" s="19"/>
      <c r="Y123" s="19"/>
      <c r="Z123" s="19"/>
      <c r="AA123" s="19"/>
    </row>
    <row r="124" spans="1:27" ht="12.75" customHeight="1" x14ac:dyDescent="0.2">
      <c r="A124" s="29">
        <f t="shared" si="4"/>
        <v>241.14999999999998</v>
      </c>
      <c r="B124" s="21">
        <v>-32</v>
      </c>
      <c r="C124" s="20">
        <v>12.339</v>
      </c>
      <c r="D124" s="20">
        <f t="shared" si="6"/>
        <v>178.96238819999999</v>
      </c>
      <c r="E124" s="23">
        <v>1045.3399999999999</v>
      </c>
      <c r="F124" s="24">
        <v>31.903790000000001</v>
      </c>
      <c r="G124" s="23"/>
      <c r="H124" s="23"/>
      <c r="I124" s="23"/>
      <c r="J124" s="23"/>
      <c r="K124" s="29"/>
      <c r="L124" s="29">
        <f t="shared" si="7"/>
        <v>151.64999999999998</v>
      </c>
      <c r="M124" s="21">
        <v>-121.5</v>
      </c>
      <c r="N124" s="20">
        <v>3.5928067745942364E-2</v>
      </c>
      <c r="O124" s="19"/>
      <c r="P124" s="19"/>
      <c r="Q124" s="19"/>
      <c r="R124" s="19"/>
      <c r="S124" s="19"/>
      <c r="T124" s="19"/>
      <c r="U124" s="19"/>
      <c r="V124" s="19"/>
      <c r="W124" s="19"/>
      <c r="X124" s="19"/>
      <c r="Y124" s="19"/>
      <c r="Z124" s="19"/>
      <c r="AA124" s="19"/>
    </row>
    <row r="125" spans="1:27" ht="12.75" customHeight="1" x14ac:dyDescent="0.2">
      <c r="A125" s="29">
        <f t="shared" si="4"/>
        <v>241.64999999999998</v>
      </c>
      <c r="B125" s="21">
        <v>-31.5</v>
      </c>
      <c r="C125" s="20">
        <v>12.5436</v>
      </c>
      <c r="D125" s="20">
        <f t="shared" si="6"/>
        <v>181.92986568000001</v>
      </c>
      <c r="E125" s="23">
        <v>1043.46</v>
      </c>
      <c r="F125" s="24">
        <v>32.431379999999997</v>
      </c>
      <c r="G125" s="23"/>
      <c r="H125" s="23"/>
      <c r="I125" s="23"/>
      <c r="J125" s="23"/>
      <c r="K125" s="29"/>
      <c r="L125" s="29">
        <f t="shared" si="7"/>
        <v>152.14999999999998</v>
      </c>
      <c r="M125" s="21">
        <v>-121</v>
      </c>
      <c r="N125" s="20">
        <v>3.8280606816963561E-2</v>
      </c>
      <c r="O125" s="19"/>
      <c r="P125" s="19"/>
      <c r="Q125" s="19"/>
      <c r="R125" s="19"/>
      <c r="S125" s="19"/>
      <c r="T125" s="19"/>
      <c r="U125" s="19"/>
      <c r="V125" s="19"/>
      <c r="W125" s="19"/>
      <c r="X125" s="19"/>
      <c r="Y125" s="19"/>
      <c r="Z125" s="19"/>
      <c r="AA125" s="19"/>
    </row>
    <row r="126" spans="1:27" ht="12.75" customHeight="1" x14ac:dyDescent="0.2">
      <c r="A126" s="29">
        <f t="shared" si="4"/>
        <v>242.14999999999998</v>
      </c>
      <c r="B126" s="21">
        <v>-31</v>
      </c>
      <c r="C126" s="20">
        <v>12.7507</v>
      </c>
      <c r="D126" s="20">
        <f t="shared" si="6"/>
        <v>184.93360265999999</v>
      </c>
      <c r="E126" s="23">
        <v>1041.56</v>
      </c>
      <c r="F126" s="24">
        <v>32.966079999999998</v>
      </c>
      <c r="G126" s="23"/>
      <c r="H126" s="23"/>
      <c r="I126" s="23"/>
      <c r="J126" s="23"/>
      <c r="K126" s="29"/>
      <c r="L126" s="29">
        <f t="shared" si="7"/>
        <v>152.64999999999998</v>
      </c>
      <c r="M126" s="21">
        <v>-120.5</v>
      </c>
      <c r="N126" s="20">
        <v>4.0768543019271457E-2</v>
      </c>
      <c r="O126" s="19"/>
      <c r="P126" s="19"/>
      <c r="Q126" s="19"/>
      <c r="R126" s="19"/>
      <c r="S126" s="19"/>
      <c r="T126" s="19"/>
      <c r="U126" s="19"/>
      <c r="V126" s="19"/>
      <c r="W126" s="19"/>
      <c r="X126" s="19"/>
      <c r="Y126" s="19"/>
      <c r="Z126" s="19"/>
      <c r="AA126" s="19"/>
    </row>
    <row r="127" spans="1:27" ht="12.75" customHeight="1" x14ac:dyDescent="0.2">
      <c r="A127" s="29">
        <f t="shared" si="4"/>
        <v>242.64999999999998</v>
      </c>
      <c r="B127" s="21">
        <v>-30.5</v>
      </c>
      <c r="C127" s="20">
        <v>12.9603</v>
      </c>
      <c r="D127" s="20">
        <f t="shared" si="6"/>
        <v>187.97359914</v>
      </c>
      <c r="E127" s="23">
        <v>1039.6600000000001</v>
      </c>
      <c r="F127" s="24">
        <v>33.507989999999999</v>
      </c>
      <c r="G127" s="23"/>
      <c r="H127" s="23"/>
      <c r="I127" s="23"/>
      <c r="J127" s="23"/>
      <c r="K127" s="29"/>
      <c r="L127" s="29">
        <f t="shared" si="7"/>
        <v>153.14999999999998</v>
      </c>
      <c r="M127" s="21">
        <v>-120</v>
      </c>
      <c r="N127" s="20">
        <v>4.3398511852596432E-2</v>
      </c>
      <c r="O127" s="19"/>
      <c r="P127" s="19"/>
      <c r="Q127" s="19"/>
      <c r="R127" s="19"/>
      <c r="S127" s="19"/>
      <c r="T127" s="19"/>
      <c r="U127" s="19"/>
      <c r="V127" s="19"/>
      <c r="W127" s="19"/>
      <c r="X127" s="19"/>
      <c r="Y127" s="19"/>
      <c r="Z127" s="19"/>
      <c r="AA127" s="19"/>
    </row>
    <row r="128" spans="1:27" ht="12.75" customHeight="1" x14ac:dyDescent="0.2">
      <c r="A128" s="29">
        <f t="shared" si="4"/>
        <v>243.14999999999998</v>
      </c>
      <c r="B128" s="21">
        <v>-30</v>
      </c>
      <c r="C128" s="20">
        <v>13.1724</v>
      </c>
      <c r="D128" s="20">
        <f t="shared" si="6"/>
        <v>191.04985511999999</v>
      </c>
      <c r="E128" s="23">
        <v>1037.75</v>
      </c>
      <c r="F128" s="24">
        <v>34.057189999999999</v>
      </c>
      <c r="G128" s="23"/>
      <c r="H128" s="23"/>
      <c r="I128" s="23"/>
      <c r="J128" s="23"/>
      <c r="K128" s="29"/>
      <c r="L128" s="29">
        <f t="shared" si="7"/>
        <v>153.64999999999998</v>
      </c>
      <c r="M128" s="21">
        <v>-119.5</v>
      </c>
      <c r="N128" s="20">
        <v>4.6177410437297464E-2</v>
      </c>
      <c r="O128" s="19"/>
      <c r="P128" s="19"/>
      <c r="Q128" s="19"/>
      <c r="R128" s="19"/>
      <c r="S128" s="19"/>
      <c r="T128" s="19"/>
      <c r="U128" s="19"/>
      <c r="V128" s="19"/>
      <c r="W128" s="19"/>
      <c r="X128" s="19"/>
      <c r="Y128" s="19"/>
      <c r="Z128" s="19"/>
      <c r="AA128" s="19"/>
    </row>
    <row r="129" spans="1:27" ht="12.75" customHeight="1" x14ac:dyDescent="0.2">
      <c r="A129" s="29">
        <f t="shared" si="4"/>
        <v>243.64999999999998</v>
      </c>
      <c r="B129" s="21">
        <v>-29.5</v>
      </c>
      <c r="C129" s="20">
        <v>13.387</v>
      </c>
      <c r="D129" s="20">
        <f t="shared" si="6"/>
        <v>194.1623706</v>
      </c>
      <c r="E129" s="23">
        <v>1035.83</v>
      </c>
      <c r="F129" s="24">
        <v>34.613779999999998</v>
      </c>
      <c r="G129" s="23"/>
      <c r="H129" s="23"/>
      <c r="I129" s="23"/>
      <c r="J129" s="23"/>
      <c r="K129" s="29"/>
      <c r="L129" s="29">
        <f t="shared" si="7"/>
        <v>154.14999999999998</v>
      </c>
      <c r="M129" s="21">
        <v>-119</v>
      </c>
      <c r="N129" s="20">
        <v>4.9112404790619978E-2</v>
      </c>
      <c r="O129" s="19"/>
      <c r="P129" s="19"/>
      <c r="Q129" s="19"/>
      <c r="R129" s="19"/>
      <c r="S129" s="19"/>
      <c r="T129" s="19"/>
      <c r="U129" s="19"/>
      <c r="V129" s="19"/>
      <c r="W129" s="19"/>
      <c r="X129" s="19"/>
      <c r="Y129" s="19"/>
      <c r="Z129" s="19"/>
      <c r="AA129" s="19"/>
    </row>
    <row r="130" spans="1:27" ht="12.75" customHeight="1" x14ac:dyDescent="0.2">
      <c r="A130" s="29">
        <f t="shared" si="4"/>
        <v>244.14999999999998</v>
      </c>
      <c r="B130" s="21">
        <v>-29</v>
      </c>
      <c r="C130" s="20">
        <v>13.604200000000001</v>
      </c>
      <c r="D130" s="20">
        <f t="shared" si="6"/>
        <v>197.31259596000001</v>
      </c>
      <c r="E130" s="23">
        <v>1033.9100000000001</v>
      </c>
      <c r="F130" s="24">
        <v>35.177849999999999</v>
      </c>
      <c r="G130" s="23"/>
      <c r="H130" s="23"/>
      <c r="I130" s="23"/>
      <c r="J130" s="23"/>
      <c r="K130" s="29"/>
      <c r="L130" s="29">
        <f t="shared" si="7"/>
        <v>154.64999999999998</v>
      </c>
      <c r="M130" s="21">
        <v>-118.5</v>
      </c>
      <c r="N130" s="20">
        <v>5.2210937180113916E-2</v>
      </c>
      <c r="O130" s="19"/>
      <c r="P130" s="19"/>
      <c r="Q130" s="19"/>
      <c r="R130" s="19"/>
      <c r="S130" s="19"/>
      <c r="T130" s="19"/>
      <c r="U130" s="19"/>
      <c r="V130" s="19"/>
      <c r="W130" s="19"/>
      <c r="X130" s="19"/>
      <c r="Y130" s="19"/>
      <c r="Z130" s="19"/>
      <c r="AA130" s="19"/>
    </row>
    <row r="131" spans="1:27" ht="12.75" customHeight="1" x14ac:dyDescent="0.2">
      <c r="A131" s="29">
        <f t="shared" si="4"/>
        <v>244.64999999999998</v>
      </c>
      <c r="B131" s="21">
        <v>-28.5</v>
      </c>
      <c r="C131" s="20">
        <v>13.824</v>
      </c>
      <c r="D131" s="20">
        <f t="shared" si="6"/>
        <v>200.50053120000001</v>
      </c>
      <c r="E131" s="23">
        <v>1031.98</v>
      </c>
      <c r="F131" s="24">
        <v>35.749490000000002</v>
      </c>
      <c r="G131" s="23"/>
      <c r="H131" s="23"/>
      <c r="I131" s="23"/>
      <c r="J131" s="23"/>
      <c r="K131" s="29"/>
      <c r="L131" s="29">
        <f t="shared" si="7"/>
        <v>155.14999999999998</v>
      </c>
      <c r="M131" s="21">
        <v>-118</v>
      </c>
      <c r="N131" s="20">
        <v>5.5480733550250613E-2</v>
      </c>
      <c r="O131" s="19"/>
      <c r="P131" s="19"/>
      <c r="Q131" s="19"/>
      <c r="R131" s="19"/>
      <c r="S131" s="19"/>
      <c r="T131" s="19"/>
      <c r="U131" s="19"/>
      <c r="V131" s="19"/>
      <c r="W131" s="19"/>
      <c r="X131" s="19"/>
      <c r="Y131" s="19"/>
      <c r="Z131" s="19"/>
      <c r="AA131" s="19"/>
    </row>
    <row r="132" spans="1:27" ht="12.75" customHeight="1" x14ac:dyDescent="0.2">
      <c r="A132" s="29">
        <f t="shared" si="4"/>
        <v>245.14999999999998</v>
      </c>
      <c r="B132" s="21">
        <v>-28</v>
      </c>
      <c r="C132" s="20">
        <v>14.0463</v>
      </c>
      <c r="D132" s="20">
        <f t="shared" si="6"/>
        <v>203.72472594000001</v>
      </c>
      <c r="E132" s="23">
        <v>1030.05</v>
      </c>
      <c r="F132" s="24">
        <v>36.328809999999997</v>
      </c>
      <c r="G132" s="23"/>
      <c r="H132" s="23"/>
      <c r="I132" s="23"/>
      <c r="J132" s="23"/>
      <c r="K132" s="29"/>
      <c r="L132" s="29">
        <f t="shared" si="7"/>
        <v>155.64999999999998</v>
      </c>
      <c r="M132" s="21">
        <v>-117.5</v>
      </c>
      <c r="N132" s="20">
        <v>5.8929811018084477E-2</v>
      </c>
      <c r="O132" s="19"/>
      <c r="P132" s="19"/>
      <c r="Q132" s="19"/>
      <c r="R132" s="19"/>
      <c r="S132" s="19"/>
      <c r="T132" s="19"/>
      <c r="U132" s="19"/>
      <c r="V132" s="19"/>
      <c r="W132" s="19"/>
      <c r="X132" s="19"/>
      <c r="Y132" s="19"/>
      <c r="Z132" s="19"/>
      <c r="AA132" s="19"/>
    </row>
    <row r="133" spans="1:27" ht="12.75" customHeight="1" x14ac:dyDescent="0.2">
      <c r="A133" s="29">
        <f t="shared" si="4"/>
        <v>245.64999999999998</v>
      </c>
      <c r="B133" s="21">
        <v>-27.5</v>
      </c>
      <c r="C133" s="20">
        <v>14.2713</v>
      </c>
      <c r="D133" s="20">
        <f t="shared" si="6"/>
        <v>206.98808094</v>
      </c>
      <c r="E133" s="23">
        <v>1028.1099999999999</v>
      </c>
      <c r="F133" s="24">
        <v>36.915889999999997</v>
      </c>
      <c r="G133" s="23"/>
      <c r="H133" s="23"/>
      <c r="I133" s="23"/>
      <c r="J133" s="23"/>
      <c r="K133" s="29"/>
      <c r="L133" s="29">
        <f t="shared" si="7"/>
        <v>156.14999999999998</v>
      </c>
      <c r="M133" s="21">
        <v>-117</v>
      </c>
      <c r="N133" s="20">
        <v>6.2566485433644653E-2</v>
      </c>
      <c r="O133" s="19"/>
      <c r="P133" s="19"/>
      <c r="Q133" s="19"/>
      <c r="R133" s="19"/>
      <c r="S133" s="19"/>
      <c r="T133" s="19"/>
      <c r="U133" s="19"/>
      <c r="V133" s="19"/>
      <c r="W133" s="19"/>
      <c r="X133" s="19"/>
      <c r="Y133" s="19"/>
      <c r="Z133" s="19"/>
      <c r="AA133" s="19"/>
    </row>
    <row r="134" spans="1:27" ht="12.75" customHeight="1" x14ac:dyDescent="0.2">
      <c r="A134" s="29">
        <f t="shared" ref="A134:A197" si="8">B134+273.15</f>
        <v>246.14999999999998</v>
      </c>
      <c r="B134" s="21">
        <v>-27</v>
      </c>
      <c r="C134" s="20">
        <v>14.498900000000001</v>
      </c>
      <c r="D134" s="20">
        <f t="shared" si="6"/>
        <v>210.28914582000002</v>
      </c>
      <c r="E134" s="23">
        <v>1026.1600000000001</v>
      </c>
      <c r="F134" s="24">
        <v>37.510849999999998</v>
      </c>
      <c r="G134" s="23"/>
      <c r="H134" s="23"/>
      <c r="I134" s="23"/>
      <c r="J134" s="23"/>
      <c r="K134" s="29"/>
      <c r="L134" s="29">
        <f t="shared" ref="L134:L165" si="9">M134+273.15</f>
        <v>156.64999999999998</v>
      </c>
      <c r="M134" s="21">
        <v>-116.5</v>
      </c>
      <c r="N134" s="20">
        <v>6.6399379000559006E-2</v>
      </c>
      <c r="O134" s="19"/>
      <c r="P134" s="19"/>
      <c r="Q134" s="19"/>
      <c r="R134" s="19"/>
      <c r="S134" s="19"/>
      <c r="T134" s="19"/>
      <c r="U134" s="19"/>
      <c r="V134" s="19"/>
      <c r="W134" s="19"/>
      <c r="X134" s="19"/>
      <c r="Y134" s="19"/>
      <c r="Z134" s="19"/>
      <c r="AA134" s="19"/>
    </row>
    <row r="135" spans="1:27" ht="12.75" customHeight="1" x14ac:dyDescent="0.2">
      <c r="A135" s="29">
        <f t="shared" si="8"/>
        <v>246.64999999999998</v>
      </c>
      <c r="B135" s="21">
        <v>-26.5</v>
      </c>
      <c r="C135" s="20">
        <v>14.729100000000001</v>
      </c>
      <c r="D135" s="20">
        <f t="shared" ref="D135:D198" si="10">C135*14.5038</f>
        <v>213.62792058000002</v>
      </c>
      <c r="E135" s="23">
        <v>1024.2</v>
      </c>
      <c r="F135" s="24">
        <v>38.113770000000002</v>
      </c>
      <c r="G135" s="23"/>
      <c r="H135" s="23"/>
      <c r="I135" s="23"/>
      <c r="J135" s="23"/>
      <c r="K135" s="29"/>
      <c r="L135" s="29">
        <f t="shared" si="9"/>
        <v>157.14999999999998</v>
      </c>
      <c r="M135" s="21">
        <v>-116</v>
      </c>
      <c r="N135" s="20">
        <v>7.0437427952242823E-2</v>
      </c>
      <c r="O135" s="19"/>
      <c r="P135" s="19"/>
      <c r="Q135" s="19"/>
      <c r="R135" s="19"/>
      <c r="S135" s="19"/>
      <c r="T135" s="19"/>
      <c r="U135" s="19"/>
      <c r="V135" s="19"/>
      <c r="W135" s="19"/>
      <c r="X135" s="19"/>
      <c r="Y135" s="19"/>
      <c r="Z135" s="19"/>
      <c r="AA135" s="19"/>
    </row>
    <row r="136" spans="1:27" ht="12.75" customHeight="1" x14ac:dyDescent="0.2">
      <c r="A136" s="29">
        <f t="shared" si="8"/>
        <v>247.14999999999998</v>
      </c>
      <c r="B136" s="21">
        <v>-26</v>
      </c>
      <c r="C136" s="20">
        <v>14.962</v>
      </c>
      <c r="D136" s="20">
        <f t="shared" si="10"/>
        <v>217.00585559999999</v>
      </c>
      <c r="E136" s="23">
        <v>1022.24</v>
      </c>
      <c r="F136" s="24">
        <v>38.724769999999999</v>
      </c>
      <c r="G136" s="23"/>
      <c r="H136" s="23"/>
      <c r="I136" s="23"/>
      <c r="J136" s="23"/>
      <c r="K136" s="29"/>
      <c r="L136" s="29">
        <f t="shared" si="9"/>
        <v>157.64999999999998</v>
      </c>
      <c r="M136" s="21">
        <v>-115.5</v>
      </c>
      <c r="N136" s="20">
        <v>7.4689890278822058E-2</v>
      </c>
      <c r="O136" s="19"/>
      <c r="P136" s="19"/>
      <c r="Q136" s="19"/>
      <c r="R136" s="19"/>
      <c r="S136" s="19"/>
      <c r="T136" s="19"/>
      <c r="U136" s="19"/>
      <c r="V136" s="19"/>
      <c r="W136" s="19"/>
      <c r="X136" s="19"/>
      <c r="Y136" s="19"/>
      <c r="Z136" s="19"/>
      <c r="AA136" s="19"/>
    </row>
    <row r="137" spans="1:27" ht="12.75" customHeight="1" x14ac:dyDescent="0.2">
      <c r="A137" s="29">
        <f t="shared" si="8"/>
        <v>247.64999999999998</v>
      </c>
      <c r="B137" s="21">
        <v>-25.5</v>
      </c>
      <c r="C137" s="20">
        <v>15.1975</v>
      </c>
      <c r="D137" s="20">
        <f t="shared" si="10"/>
        <v>220.42150050000001</v>
      </c>
      <c r="E137" s="23">
        <v>1020.26</v>
      </c>
      <c r="F137" s="24">
        <v>39.343960000000003</v>
      </c>
      <c r="G137" s="23"/>
      <c r="H137" s="23"/>
      <c r="I137" s="23"/>
      <c r="J137" s="23"/>
      <c r="K137" s="29"/>
      <c r="L137" s="29">
        <f t="shared" si="9"/>
        <v>158.14999999999998</v>
      </c>
      <c r="M137" s="21">
        <v>-115</v>
      </c>
      <c r="N137" s="20">
        <v>7.9166353499782613E-2</v>
      </c>
      <c r="O137" s="19"/>
      <c r="P137" s="19"/>
      <c r="Q137" s="19"/>
      <c r="R137" s="19"/>
      <c r="S137" s="19"/>
      <c r="T137" s="19"/>
      <c r="U137" s="19"/>
      <c r="V137" s="19"/>
      <c r="W137" s="19"/>
      <c r="X137" s="19"/>
      <c r="Y137" s="19"/>
      <c r="Z137" s="19"/>
      <c r="AA137" s="19"/>
    </row>
    <row r="138" spans="1:27" ht="12.75" customHeight="1" x14ac:dyDescent="0.2">
      <c r="A138" s="29">
        <f t="shared" si="8"/>
        <v>248.14999999999998</v>
      </c>
      <c r="B138" s="21">
        <v>-25</v>
      </c>
      <c r="C138" s="20">
        <v>15.4358</v>
      </c>
      <c r="D138" s="20">
        <f t="shared" si="10"/>
        <v>223.87775604000001</v>
      </c>
      <c r="E138" s="23">
        <v>1018.29</v>
      </c>
      <c r="F138" s="24">
        <v>39.971429999999998</v>
      </c>
      <c r="G138" s="23"/>
      <c r="H138" s="23"/>
      <c r="I138" s="23"/>
      <c r="J138" s="23"/>
      <c r="K138" s="29"/>
      <c r="L138" s="29">
        <f t="shared" si="9"/>
        <v>158.64999999999998</v>
      </c>
      <c r="M138" s="21">
        <v>-114.5</v>
      </c>
      <c r="N138" s="20">
        <v>8.3876742477181909E-2</v>
      </c>
      <c r="O138" s="19"/>
      <c r="P138" s="19"/>
      <c r="Q138" s="19"/>
      <c r="R138" s="19"/>
      <c r="S138" s="19"/>
      <c r="T138" s="19"/>
      <c r="U138" s="19"/>
      <c r="V138" s="19"/>
      <c r="W138" s="19"/>
      <c r="X138" s="19"/>
      <c r="Y138" s="19"/>
      <c r="Z138" s="19"/>
      <c r="AA138" s="19"/>
    </row>
    <row r="139" spans="1:27" ht="12.75" customHeight="1" x14ac:dyDescent="0.2">
      <c r="A139" s="29">
        <f t="shared" si="8"/>
        <v>248.64999999999998</v>
      </c>
      <c r="B139" s="21">
        <v>-24.5</v>
      </c>
      <c r="C139" s="20">
        <v>15.6768</v>
      </c>
      <c r="D139" s="20">
        <f t="shared" si="10"/>
        <v>227.37317184</v>
      </c>
      <c r="E139" s="23">
        <v>1016.3</v>
      </c>
      <c r="F139" s="24">
        <v>40.607300000000002</v>
      </c>
      <c r="G139" s="23"/>
      <c r="H139" s="23"/>
      <c r="I139" s="23"/>
      <c r="J139" s="23"/>
      <c r="K139" s="29"/>
      <c r="L139" s="29">
        <f t="shared" si="9"/>
        <v>159.14999999999998</v>
      </c>
      <c r="M139" s="21">
        <v>-114</v>
      </c>
      <c r="N139" s="20">
        <v>8.8831327264091611E-2</v>
      </c>
      <c r="O139" s="19"/>
      <c r="P139" s="19"/>
      <c r="Q139" s="19"/>
      <c r="R139" s="19"/>
      <c r="S139" s="19"/>
      <c r="T139" s="19"/>
      <c r="U139" s="19"/>
      <c r="V139" s="19"/>
      <c r="W139" s="19"/>
      <c r="X139" s="19"/>
      <c r="Y139" s="19"/>
      <c r="Z139" s="19"/>
      <c r="AA139" s="19"/>
    </row>
    <row r="140" spans="1:27" ht="12.75" customHeight="1" x14ac:dyDescent="0.2">
      <c r="A140" s="29">
        <f t="shared" si="8"/>
        <v>249.14999999999998</v>
      </c>
      <c r="B140" s="21">
        <v>-24</v>
      </c>
      <c r="C140" s="20">
        <v>15.920500000000001</v>
      </c>
      <c r="D140" s="20">
        <f t="shared" si="10"/>
        <v>230.9077479</v>
      </c>
      <c r="E140" s="23">
        <v>1014.31</v>
      </c>
      <c r="F140" s="24">
        <v>41.25168</v>
      </c>
      <c r="G140" s="23"/>
      <c r="H140" s="23"/>
      <c r="I140" s="23"/>
      <c r="J140" s="23"/>
      <c r="K140" s="29"/>
      <c r="L140" s="29">
        <f t="shared" si="9"/>
        <v>159.64999999999998</v>
      </c>
      <c r="M140" s="21">
        <v>-113.5</v>
      </c>
      <c r="N140" s="20">
        <v>9.4040730982787785E-2</v>
      </c>
      <c r="O140" s="19"/>
      <c r="P140" s="19"/>
      <c r="Q140" s="19"/>
      <c r="R140" s="19"/>
      <c r="S140" s="19"/>
      <c r="T140" s="19"/>
      <c r="U140" s="19"/>
      <c r="V140" s="19"/>
      <c r="W140" s="19"/>
      <c r="X140" s="19"/>
      <c r="Y140" s="19"/>
      <c r="Z140" s="19"/>
      <c r="AA140" s="19"/>
    </row>
    <row r="141" spans="1:27" ht="12.75" customHeight="1" x14ac:dyDescent="0.2">
      <c r="A141" s="29">
        <f t="shared" si="8"/>
        <v>249.64999999999998</v>
      </c>
      <c r="B141" s="21">
        <v>-23.5</v>
      </c>
      <c r="C141" s="20">
        <v>16.167000000000002</v>
      </c>
      <c r="D141" s="20">
        <f t="shared" si="10"/>
        <v>234.48293460000002</v>
      </c>
      <c r="E141" s="23">
        <v>1012.31</v>
      </c>
      <c r="F141" s="24">
        <v>41.904690000000002</v>
      </c>
      <c r="G141" s="23"/>
      <c r="H141" s="23"/>
      <c r="I141" s="23"/>
      <c r="J141" s="23"/>
      <c r="K141" s="29"/>
      <c r="L141" s="29">
        <f t="shared" si="9"/>
        <v>160.14999999999998</v>
      </c>
      <c r="M141" s="21">
        <v>-113</v>
      </c>
      <c r="N141" s="20">
        <v>9.9515937727049655E-2</v>
      </c>
      <c r="O141" s="19"/>
      <c r="P141" s="19"/>
      <c r="Q141" s="19"/>
      <c r="R141" s="19"/>
      <c r="S141" s="19"/>
      <c r="T141" s="19"/>
      <c r="U141" s="19"/>
      <c r="V141" s="19"/>
      <c r="W141" s="19"/>
      <c r="X141" s="19"/>
      <c r="Y141" s="19"/>
      <c r="Z141" s="19"/>
      <c r="AA141" s="19"/>
    </row>
    <row r="142" spans="1:27" ht="12.75" customHeight="1" x14ac:dyDescent="0.2">
      <c r="A142" s="29">
        <f t="shared" si="8"/>
        <v>250.14999999999998</v>
      </c>
      <c r="B142" s="21">
        <v>-23</v>
      </c>
      <c r="C142" s="20">
        <v>16.4162</v>
      </c>
      <c r="D142" s="20">
        <f t="shared" si="10"/>
        <v>238.09728156</v>
      </c>
      <c r="E142" s="23">
        <v>1010.3</v>
      </c>
      <c r="F142" s="24">
        <v>42.566429999999997</v>
      </c>
      <c r="G142" s="23"/>
      <c r="H142" s="23"/>
      <c r="I142" s="23"/>
      <c r="J142" s="23"/>
      <c r="K142" s="29"/>
      <c r="L142" s="29">
        <f t="shared" si="9"/>
        <v>160.64999999999998</v>
      </c>
      <c r="M142" s="21">
        <v>-112.5</v>
      </c>
      <c r="N142" s="20">
        <v>0.1052683004827661</v>
      </c>
      <c r="O142" s="19"/>
      <c r="P142" s="19"/>
      <c r="Q142" s="19"/>
      <c r="R142" s="19"/>
      <c r="S142" s="19"/>
      <c r="T142" s="19"/>
      <c r="U142" s="19"/>
      <c r="V142" s="19"/>
      <c r="W142" s="19"/>
      <c r="X142" s="19"/>
      <c r="Y142" s="19"/>
      <c r="Z142" s="19"/>
      <c r="AA142" s="19"/>
    </row>
    <row r="143" spans="1:27" ht="12.75" customHeight="1" x14ac:dyDescent="0.2">
      <c r="A143" s="29">
        <f t="shared" si="8"/>
        <v>250.64999999999998</v>
      </c>
      <c r="B143" s="21">
        <v>-22.5</v>
      </c>
      <c r="C143" s="20">
        <v>16.668299999999999</v>
      </c>
      <c r="D143" s="20">
        <f t="shared" si="10"/>
        <v>241.75368953999998</v>
      </c>
      <c r="E143" s="23">
        <v>1008.28</v>
      </c>
      <c r="F143" s="24">
        <v>43.23704</v>
      </c>
      <c r="G143" s="23"/>
      <c r="H143" s="23"/>
      <c r="I143" s="23"/>
      <c r="J143" s="23"/>
      <c r="K143" s="29"/>
      <c r="L143" s="29">
        <f t="shared" si="9"/>
        <v>161.14999999999998</v>
      </c>
      <c r="M143" s="21">
        <v>-112</v>
      </c>
      <c r="N143" s="20">
        <v>0.11130954906092481</v>
      </c>
      <c r="O143" s="19"/>
      <c r="P143" s="19"/>
      <c r="Q143" s="19"/>
      <c r="R143" s="19"/>
      <c r="S143" s="19"/>
      <c r="T143" s="19"/>
      <c r="U143" s="19"/>
      <c r="V143" s="19"/>
      <c r="W143" s="19"/>
      <c r="X143" s="19"/>
      <c r="Y143" s="19"/>
      <c r="Z143" s="19"/>
      <c r="AA143" s="19"/>
    </row>
    <row r="144" spans="1:27" ht="12.75" customHeight="1" x14ac:dyDescent="0.2">
      <c r="A144" s="29">
        <f t="shared" si="8"/>
        <v>251.14999999999998</v>
      </c>
      <c r="B144" s="21">
        <v>-22</v>
      </c>
      <c r="C144" s="20">
        <v>16.923200000000001</v>
      </c>
      <c r="D144" s="20">
        <f t="shared" si="10"/>
        <v>245.45070816000003</v>
      </c>
      <c r="E144" s="23">
        <v>1006.25</v>
      </c>
      <c r="F144" s="24">
        <v>43.916629999999998</v>
      </c>
      <c r="G144" s="23"/>
      <c r="H144" s="23"/>
      <c r="I144" s="23"/>
      <c r="J144" s="23"/>
      <c r="K144" s="29"/>
      <c r="L144" s="29">
        <f t="shared" si="9"/>
        <v>161.64999999999998</v>
      </c>
      <c r="M144" s="21">
        <v>-111.5</v>
      </c>
      <c r="N144" s="20">
        <v>0.11765179803688613</v>
      </c>
      <c r="O144" s="19"/>
      <c r="P144" s="19"/>
      <c r="Q144" s="19"/>
      <c r="R144" s="19"/>
      <c r="S144" s="19"/>
      <c r="T144" s="19"/>
      <c r="U144" s="19"/>
      <c r="V144" s="19"/>
      <c r="W144" s="19"/>
      <c r="X144" s="19"/>
      <c r="Y144" s="19"/>
      <c r="Z144" s="19"/>
      <c r="AA144" s="19"/>
    </row>
    <row r="145" spans="1:27" ht="12.75" customHeight="1" x14ac:dyDescent="0.2">
      <c r="A145" s="29">
        <f t="shared" si="8"/>
        <v>251.64999999999998</v>
      </c>
      <c r="B145" s="21">
        <v>-21.5</v>
      </c>
      <c r="C145" s="20">
        <v>17.180800000000001</v>
      </c>
      <c r="D145" s="20">
        <f t="shared" si="10"/>
        <v>249.18688704000002</v>
      </c>
      <c r="E145" s="23">
        <v>1004.22</v>
      </c>
      <c r="F145" s="24">
        <v>44.605330000000002</v>
      </c>
      <c r="G145" s="23"/>
      <c r="H145" s="23"/>
      <c r="I145" s="23"/>
      <c r="J145" s="23"/>
      <c r="K145" s="29"/>
      <c r="L145" s="29">
        <f t="shared" si="9"/>
        <v>162.14999999999998</v>
      </c>
      <c r="M145" s="21">
        <v>-111</v>
      </c>
      <c r="N145" s="20">
        <v>0.12430755468973684</v>
      </c>
      <c r="O145" s="19"/>
      <c r="P145" s="19"/>
      <c r="Q145" s="19"/>
      <c r="R145" s="19"/>
      <c r="S145" s="19"/>
      <c r="T145" s="19"/>
      <c r="U145" s="19"/>
      <c r="V145" s="19"/>
      <c r="W145" s="19"/>
      <c r="X145" s="19"/>
      <c r="Y145" s="19"/>
      <c r="Z145" s="19"/>
      <c r="AA145" s="19"/>
    </row>
    <row r="146" spans="1:27" ht="12.75" customHeight="1" x14ac:dyDescent="0.2">
      <c r="A146" s="29">
        <f t="shared" si="8"/>
        <v>252.14999999999998</v>
      </c>
      <c r="B146" s="21">
        <v>-21</v>
      </c>
      <c r="C146" s="20">
        <v>17.441400000000002</v>
      </c>
      <c r="D146" s="20">
        <f t="shared" si="10"/>
        <v>252.96657732000003</v>
      </c>
      <c r="E146" s="23">
        <v>1002.18</v>
      </c>
      <c r="F146" s="24">
        <v>45.303260000000002</v>
      </c>
      <c r="G146" s="23"/>
      <c r="H146" s="23"/>
      <c r="I146" s="23"/>
      <c r="J146" s="23"/>
      <c r="K146" s="29"/>
      <c r="L146" s="29">
        <f t="shared" si="9"/>
        <v>162.64999999999998</v>
      </c>
      <c r="M146" s="21">
        <v>-110.5</v>
      </c>
      <c r="N146" s="20">
        <v>0.1312897269353592</v>
      </c>
      <c r="O146" s="19"/>
      <c r="P146" s="19"/>
      <c r="Q146" s="19"/>
      <c r="R146" s="19"/>
      <c r="S146" s="19"/>
      <c r="T146" s="19"/>
      <c r="U146" s="19"/>
      <c r="V146" s="19"/>
      <c r="W146" s="19"/>
      <c r="X146" s="19"/>
      <c r="Y146" s="19"/>
      <c r="Z146" s="19"/>
      <c r="AA146" s="19"/>
    </row>
    <row r="147" spans="1:27" ht="12.75" customHeight="1" x14ac:dyDescent="0.2">
      <c r="A147" s="29">
        <f t="shared" si="8"/>
        <v>252.64999999999998</v>
      </c>
      <c r="B147" s="21">
        <v>-20.5</v>
      </c>
      <c r="C147" s="20">
        <v>17.704799999999999</v>
      </c>
      <c r="D147" s="20">
        <f t="shared" si="10"/>
        <v>256.78687823999996</v>
      </c>
      <c r="E147" s="23">
        <v>1000.13</v>
      </c>
      <c r="F147" s="24">
        <v>46.010550000000002</v>
      </c>
      <c r="G147" s="23"/>
      <c r="H147" s="23"/>
      <c r="I147" s="23"/>
      <c r="J147" s="23"/>
      <c r="K147" s="29"/>
      <c r="L147" s="29">
        <f t="shared" si="9"/>
        <v>163.14999999999998</v>
      </c>
      <c r="M147" s="21">
        <v>-110</v>
      </c>
      <c r="N147" s="20">
        <v>0.13861163124674564</v>
      </c>
      <c r="O147" s="19"/>
      <c r="P147" s="19"/>
      <c r="Q147" s="19"/>
      <c r="R147" s="19"/>
      <c r="S147" s="19"/>
      <c r="T147" s="19"/>
      <c r="U147" s="19"/>
      <c r="V147" s="19"/>
      <c r="W147" s="19"/>
      <c r="X147" s="19"/>
      <c r="Y147" s="19"/>
      <c r="Z147" s="19"/>
      <c r="AA147" s="19"/>
    </row>
    <row r="148" spans="1:27" ht="12.75" customHeight="1" x14ac:dyDescent="0.2">
      <c r="A148" s="29">
        <f t="shared" si="8"/>
        <v>253.14999999999998</v>
      </c>
      <c r="B148" s="21">
        <v>-20</v>
      </c>
      <c r="C148" s="20">
        <v>17.9711</v>
      </c>
      <c r="D148" s="20">
        <f t="shared" si="10"/>
        <v>260.64924017999999</v>
      </c>
      <c r="E148" s="23">
        <v>998.07299999999998</v>
      </c>
      <c r="F148" s="24">
        <v>46.727330000000002</v>
      </c>
      <c r="G148" s="23"/>
      <c r="H148" s="23"/>
      <c r="I148" s="23"/>
      <c r="J148" s="23"/>
      <c r="K148" s="29"/>
      <c r="L148" s="29">
        <f t="shared" si="9"/>
        <v>163.64999999999998</v>
      </c>
      <c r="M148" s="21">
        <v>-109.5</v>
      </c>
      <c r="N148" s="20">
        <v>0.14628700055492627</v>
      </c>
      <c r="O148" s="19"/>
      <c r="P148" s="19"/>
      <c r="Q148" s="19"/>
      <c r="R148" s="19"/>
      <c r="S148" s="19"/>
      <c r="T148" s="19"/>
      <c r="U148" s="19"/>
      <c r="V148" s="19"/>
      <c r="W148" s="19"/>
      <c r="X148" s="19"/>
      <c r="Y148" s="19"/>
      <c r="Z148" s="19"/>
      <c r="AA148" s="19"/>
    </row>
    <row r="149" spans="1:27" ht="12.75" customHeight="1" x14ac:dyDescent="0.2">
      <c r="A149" s="29">
        <f t="shared" si="8"/>
        <v>253.64999999999998</v>
      </c>
      <c r="B149" s="21">
        <v>-19.5</v>
      </c>
      <c r="C149" s="20">
        <v>18.240300000000001</v>
      </c>
      <c r="D149" s="20">
        <f t="shared" si="10"/>
        <v>264.55366314000003</v>
      </c>
      <c r="E149" s="23">
        <v>996.00599999999997</v>
      </c>
      <c r="F149" s="24">
        <v>47.453740000000003</v>
      </c>
      <c r="G149" s="23"/>
      <c r="H149" s="23"/>
      <c r="I149" s="23"/>
      <c r="J149" s="23"/>
      <c r="K149" s="29"/>
      <c r="L149" s="29">
        <f t="shared" si="9"/>
        <v>164.14999999999998</v>
      </c>
      <c r="M149" s="21">
        <v>-109</v>
      </c>
      <c r="N149" s="20">
        <v>0.15432999212382664</v>
      </c>
      <c r="O149" s="19"/>
      <c r="P149" s="19"/>
      <c r="Q149" s="19"/>
      <c r="R149" s="19"/>
      <c r="S149" s="19"/>
      <c r="T149" s="19"/>
      <c r="U149" s="19"/>
      <c r="V149" s="19"/>
      <c r="W149" s="19"/>
      <c r="X149" s="19"/>
      <c r="Y149" s="19"/>
      <c r="Z149" s="19"/>
      <c r="AA149" s="19"/>
    </row>
    <row r="150" spans="1:27" ht="12.75" customHeight="1" x14ac:dyDescent="0.2">
      <c r="A150" s="29">
        <f t="shared" si="8"/>
        <v>254.14999999999998</v>
      </c>
      <c r="B150" s="21">
        <v>-19</v>
      </c>
      <c r="C150" s="20">
        <v>18.5124</v>
      </c>
      <c r="D150" s="20">
        <f t="shared" si="10"/>
        <v>268.50014712000001</v>
      </c>
      <c r="E150" s="23">
        <v>993.93100000000004</v>
      </c>
      <c r="F150" s="24">
        <v>48.189920000000001</v>
      </c>
      <c r="G150" s="23"/>
      <c r="H150" s="23"/>
      <c r="I150" s="23"/>
      <c r="J150" s="23"/>
      <c r="K150" s="29"/>
      <c r="L150" s="29">
        <f t="shared" si="9"/>
        <v>164.64999999999998</v>
      </c>
      <c r="M150" s="21">
        <v>-108.5</v>
      </c>
      <c r="N150" s="20">
        <v>0.16275519539217012</v>
      </c>
      <c r="O150" s="19"/>
      <c r="P150" s="19"/>
      <c r="Q150" s="19"/>
      <c r="R150" s="19"/>
      <c r="S150" s="19"/>
      <c r="T150" s="19"/>
      <c r="U150" s="19"/>
      <c r="V150" s="19"/>
      <c r="W150" s="19"/>
      <c r="X150" s="19"/>
      <c r="Y150" s="19"/>
      <c r="Z150" s="19"/>
      <c r="AA150" s="19"/>
    </row>
    <row r="151" spans="1:27" ht="12.75" customHeight="1" x14ac:dyDescent="0.2">
      <c r="A151" s="29">
        <f t="shared" si="8"/>
        <v>254.64999999999998</v>
      </c>
      <c r="B151" s="21">
        <v>-18.5</v>
      </c>
      <c r="C151" s="20">
        <v>18.787500000000001</v>
      </c>
      <c r="D151" s="20">
        <f t="shared" si="10"/>
        <v>272.49014250000005</v>
      </c>
      <c r="E151" s="23">
        <v>991.84699999999998</v>
      </c>
      <c r="F151" s="24">
        <v>48.936</v>
      </c>
      <c r="G151" s="23"/>
      <c r="H151" s="23"/>
      <c r="I151" s="23"/>
      <c r="J151" s="23"/>
      <c r="K151" s="29"/>
      <c r="L151" s="29">
        <f t="shared" si="9"/>
        <v>165.14999999999998</v>
      </c>
      <c r="M151" s="21">
        <v>-108</v>
      </c>
      <c r="N151" s="20">
        <v>0.17157763977552448</v>
      </c>
      <c r="O151" s="19"/>
      <c r="P151" s="19"/>
      <c r="Q151" s="19"/>
      <c r="R151" s="19"/>
      <c r="S151" s="19"/>
      <c r="T151" s="19"/>
      <c r="U151" s="19"/>
      <c r="V151" s="19"/>
      <c r="W151" s="19"/>
      <c r="X151" s="19"/>
      <c r="Y151" s="19"/>
      <c r="Z151" s="19"/>
      <c r="AA151" s="19"/>
    </row>
    <row r="152" spans="1:27" ht="12.75" customHeight="1" x14ac:dyDescent="0.2">
      <c r="A152" s="29">
        <f t="shared" si="8"/>
        <v>255.14999999999998</v>
      </c>
      <c r="B152" s="21">
        <v>-18</v>
      </c>
      <c r="C152" s="20">
        <v>19.0655</v>
      </c>
      <c r="D152" s="20">
        <f t="shared" si="10"/>
        <v>276.52219889999998</v>
      </c>
      <c r="E152" s="23">
        <v>989.75400000000002</v>
      </c>
      <c r="F152" s="24">
        <v>49.692129999999999</v>
      </c>
      <c r="G152" s="23"/>
      <c r="H152" s="23"/>
      <c r="I152" s="23"/>
      <c r="J152" s="23"/>
      <c r="K152" s="29"/>
      <c r="L152" s="29">
        <f t="shared" si="9"/>
        <v>165.64999999999998</v>
      </c>
      <c r="M152" s="21">
        <v>-107.5</v>
      </c>
      <c r="N152" s="20">
        <v>0.18081280242141073</v>
      </c>
      <c r="O152" s="19"/>
      <c r="P152" s="19"/>
      <c r="Q152" s="19"/>
      <c r="R152" s="19"/>
      <c r="S152" s="19"/>
      <c r="T152" s="19"/>
      <c r="U152" s="19"/>
      <c r="V152" s="19"/>
      <c r="W152" s="19"/>
      <c r="X152" s="19"/>
      <c r="Y152" s="19"/>
      <c r="Z152" s="19"/>
      <c r="AA152" s="19"/>
    </row>
    <row r="153" spans="1:27" ht="12.75" customHeight="1" x14ac:dyDescent="0.2">
      <c r="A153" s="29">
        <f t="shared" si="8"/>
        <v>255.64999999999998</v>
      </c>
      <c r="B153" s="21">
        <v>-17.5</v>
      </c>
      <c r="C153" s="20">
        <v>19.346599999999999</v>
      </c>
      <c r="D153" s="20">
        <f t="shared" si="10"/>
        <v>280.59921707999996</v>
      </c>
      <c r="E153" s="23">
        <v>987.65200000000004</v>
      </c>
      <c r="F153" s="24">
        <v>50.458460000000002</v>
      </c>
      <c r="G153" s="23"/>
      <c r="H153" s="23"/>
      <c r="I153" s="23"/>
      <c r="J153" s="23"/>
      <c r="K153" s="29"/>
      <c r="L153" s="29">
        <f t="shared" si="9"/>
        <v>166.14999999999998</v>
      </c>
      <c r="M153" s="21">
        <v>-107</v>
      </c>
      <c r="N153" s="20">
        <v>0.19047661591034903</v>
      </c>
      <c r="O153" s="19"/>
      <c r="P153" s="19"/>
      <c r="Q153" s="19"/>
      <c r="R153" s="19"/>
      <c r="S153" s="19"/>
      <c r="T153" s="19"/>
      <c r="U153" s="19"/>
      <c r="V153" s="19"/>
      <c r="W153" s="19"/>
      <c r="X153" s="19"/>
      <c r="Y153" s="19"/>
      <c r="Z153" s="19"/>
      <c r="AA153" s="19"/>
    </row>
    <row r="154" spans="1:27" ht="12.75" customHeight="1" x14ac:dyDescent="0.2">
      <c r="A154" s="29">
        <f t="shared" si="8"/>
        <v>256.14999999999998</v>
      </c>
      <c r="B154" s="21">
        <v>-17</v>
      </c>
      <c r="C154" s="20">
        <v>19.630600000000001</v>
      </c>
      <c r="D154" s="20">
        <f t="shared" si="10"/>
        <v>284.71829628</v>
      </c>
      <c r="E154" s="23">
        <v>985.54100000000005</v>
      </c>
      <c r="F154" s="24">
        <v>51.235140000000001</v>
      </c>
      <c r="G154" s="23"/>
      <c r="H154" s="23"/>
      <c r="I154" s="23"/>
      <c r="J154" s="23"/>
      <c r="K154" s="29"/>
      <c r="L154" s="29">
        <f t="shared" si="9"/>
        <v>166.64999999999998</v>
      </c>
      <c r="M154" s="21">
        <v>-106.5</v>
      </c>
      <c r="N154" s="20">
        <v>0.2005854758956172</v>
      </c>
      <c r="O154" s="19"/>
      <c r="P154" s="19"/>
      <c r="Q154" s="19"/>
      <c r="R154" s="19"/>
      <c r="S154" s="19"/>
      <c r="T154" s="19"/>
      <c r="U154" s="19"/>
      <c r="V154" s="19"/>
      <c r="W154" s="19"/>
      <c r="X154" s="19"/>
      <c r="Y154" s="19"/>
      <c r="Z154" s="19"/>
      <c r="AA154" s="19"/>
    </row>
    <row r="155" spans="1:27" ht="12.75" customHeight="1" x14ac:dyDescent="0.2">
      <c r="A155" s="29">
        <f t="shared" si="8"/>
        <v>256.64999999999998</v>
      </c>
      <c r="B155" s="21">
        <v>-16.5</v>
      </c>
      <c r="C155" s="20">
        <v>19.9177</v>
      </c>
      <c r="D155" s="20">
        <f t="shared" si="10"/>
        <v>288.88233725999999</v>
      </c>
      <c r="E155" s="23">
        <v>983.42</v>
      </c>
      <c r="F155" s="24">
        <v>52.022320000000001</v>
      </c>
      <c r="G155" s="23"/>
      <c r="H155" s="23"/>
      <c r="I155" s="23"/>
      <c r="J155" s="23"/>
      <c r="K155" s="29"/>
      <c r="L155" s="29">
        <f t="shared" si="9"/>
        <v>167.14999999999998</v>
      </c>
      <c r="M155" s="21">
        <v>-106</v>
      </c>
      <c r="N155" s="20">
        <v>0.21115624867439273</v>
      </c>
      <c r="O155" s="19"/>
      <c r="P155" s="19"/>
      <c r="Q155" s="19"/>
      <c r="R155" s="19"/>
      <c r="S155" s="19"/>
      <c r="T155" s="19"/>
      <c r="U155" s="19"/>
      <c r="V155" s="19"/>
      <c r="W155" s="19"/>
      <c r="X155" s="19"/>
      <c r="Y155" s="19"/>
      <c r="Z155" s="19"/>
      <c r="AA155" s="19"/>
    </row>
    <row r="156" spans="1:27" ht="12.75" customHeight="1" x14ac:dyDescent="0.2">
      <c r="A156" s="29">
        <f t="shared" si="8"/>
        <v>257.14999999999998</v>
      </c>
      <c r="B156" s="21">
        <v>-16</v>
      </c>
      <c r="C156" s="20">
        <v>20.207799999999999</v>
      </c>
      <c r="D156" s="20">
        <f t="shared" si="10"/>
        <v>293.08988963999997</v>
      </c>
      <c r="E156" s="23">
        <v>981.29</v>
      </c>
      <c r="F156" s="24">
        <v>52.820149999999998</v>
      </c>
      <c r="G156" s="23"/>
      <c r="H156" s="23"/>
      <c r="I156" s="23"/>
      <c r="J156" s="23"/>
      <c r="K156" s="29"/>
      <c r="L156" s="29">
        <f t="shared" si="9"/>
        <v>167.64999999999998</v>
      </c>
      <c r="M156" s="21">
        <v>-105.5</v>
      </c>
      <c r="N156" s="20">
        <v>0.2222062786828862</v>
      </c>
      <c r="O156" s="19"/>
      <c r="P156" s="19"/>
      <c r="Q156" s="19"/>
      <c r="R156" s="19"/>
      <c r="S156" s="19"/>
      <c r="T156" s="19"/>
      <c r="U156" s="19"/>
      <c r="V156" s="19"/>
      <c r="W156" s="19"/>
      <c r="X156" s="19"/>
      <c r="Y156" s="19"/>
      <c r="Z156" s="19"/>
      <c r="AA156" s="19"/>
    </row>
    <row r="157" spans="1:27" ht="12.75" customHeight="1" x14ac:dyDescent="0.2">
      <c r="A157" s="29">
        <f t="shared" si="8"/>
        <v>257.64999999999998</v>
      </c>
      <c r="B157" s="21">
        <v>-15.5</v>
      </c>
      <c r="C157" s="20">
        <v>20.500900000000001</v>
      </c>
      <c r="D157" s="20">
        <f t="shared" si="10"/>
        <v>297.34095342000001</v>
      </c>
      <c r="E157" s="23">
        <v>979.15</v>
      </c>
      <c r="F157" s="24">
        <v>53.628810000000001</v>
      </c>
      <c r="G157" s="23"/>
      <c r="H157" s="23"/>
      <c r="I157" s="23"/>
      <c r="J157" s="23"/>
      <c r="K157" s="29"/>
      <c r="L157" s="29">
        <f t="shared" si="9"/>
        <v>168.14999999999998</v>
      </c>
      <c r="M157" s="21">
        <v>-105</v>
      </c>
      <c r="N157" s="20">
        <v>0.2337533959080432</v>
      </c>
      <c r="O157" s="19"/>
      <c r="P157" s="19"/>
      <c r="Q157" s="19"/>
      <c r="R157" s="19"/>
      <c r="S157" s="19"/>
      <c r="T157" s="19"/>
      <c r="U157" s="19"/>
      <c r="V157" s="19"/>
      <c r="W157" s="19"/>
      <c r="X157" s="19"/>
      <c r="Y157" s="19"/>
      <c r="Z157" s="19"/>
      <c r="AA157" s="19"/>
    </row>
    <row r="158" spans="1:27" ht="12.75" customHeight="1" x14ac:dyDescent="0.2">
      <c r="A158" s="29">
        <f t="shared" si="8"/>
        <v>258.14999999999998</v>
      </c>
      <c r="B158" s="21">
        <v>-15</v>
      </c>
      <c r="C158" s="20">
        <v>20.7972</v>
      </c>
      <c r="D158" s="20">
        <f t="shared" si="10"/>
        <v>301.63842935999998</v>
      </c>
      <c r="E158" s="23">
        <v>977.00099999999998</v>
      </c>
      <c r="F158" s="24">
        <v>54.448450000000001</v>
      </c>
      <c r="G158" s="23"/>
      <c r="H158" s="23"/>
      <c r="I158" s="23"/>
      <c r="J158" s="23"/>
      <c r="K158" s="29"/>
      <c r="L158" s="29">
        <f t="shared" si="9"/>
        <v>168.64999999999998</v>
      </c>
      <c r="M158" s="21">
        <v>-104.5</v>
      </c>
      <c r="N158" s="20">
        <v>0.24581592320822776</v>
      </c>
      <c r="O158" s="19"/>
      <c r="P158" s="19"/>
      <c r="Q158" s="19"/>
      <c r="R158" s="19"/>
      <c r="S158" s="19"/>
      <c r="T158" s="19"/>
      <c r="U158" s="19"/>
      <c r="V158" s="19"/>
      <c r="W158" s="19"/>
      <c r="X158" s="19"/>
      <c r="Y158" s="19"/>
      <c r="Z158" s="19"/>
      <c r="AA158" s="19"/>
    </row>
    <row r="159" spans="1:27" ht="12.75" customHeight="1" x14ac:dyDescent="0.2">
      <c r="A159" s="29">
        <f t="shared" si="8"/>
        <v>258.64999999999998</v>
      </c>
      <c r="B159" s="21">
        <v>-14.5</v>
      </c>
      <c r="C159" s="20">
        <v>21.096499999999999</v>
      </c>
      <c r="D159" s="20">
        <f t="shared" si="10"/>
        <v>305.9794167</v>
      </c>
      <c r="E159" s="23">
        <v>974.84100000000001</v>
      </c>
      <c r="F159" s="24">
        <v>55.279249999999998</v>
      </c>
      <c r="G159" s="23"/>
      <c r="H159" s="23"/>
      <c r="I159" s="23"/>
      <c r="J159" s="23"/>
      <c r="K159" s="29"/>
      <c r="L159" s="29">
        <f t="shared" si="9"/>
        <v>169.14999999999998</v>
      </c>
      <c r="M159" s="21">
        <v>-104</v>
      </c>
      <c r="N159" s="20">
        <v>0.25841268353537356</v>
      </c>
      <c r="O159" s="19"/>
      <c r="P159" s="19"/>
      <c r="Q159" s="19"/>
      <c r="R159" s="19"/>
      <c r="S159" s="19"/>
      <c r="T159" s="19"/>
      <c r="U159" s="19"/>
      <c r="V159" s="19"/>
      <c r="W159" s="19"/>
      <c r="X159" s="19"/>
      <c r="Y159" s="19"/>
      <c r="Z159" s="19"/>
      <c r="AA159" s="19"/>
    </row>
    <row r="160" spans="1:27" ht="12.75" customHeight="1" x14ac:dyDescent="0.2">
      <c r="A160" s="29">
        <f t="shared" si="8"/>
        <v>259.14999999999998</v>
      </c>
      <c r="B160" s="21">
        <v>-14</v>
      </c>
      <c r="C160" s="20">
        <v>21.399000000000001</v>
      </c>
      <c r="D160" s="20">
        <f t="shared" si="10"/>
        <v>310.36681620000002</v>
      </c>
      <c r="E160" s="23">
        <v>972.67200000000003</v>
      </c>
      <c r="F160" s="24">
        <v>56.121369999999999</v>
      </c>
      <c r="G160" s="23"/>
      <c r="H160" s="23"/>
      <c r="I160" s="23"/>
      <c r="J160" s="23"/>
      <c r="K160" s="29"/>
      <c r="L160" s="29">
        <f t="shared" si="9"/>
        <v>169.64999999999998</v>
      </c>
      <c r="M160" s="21">
        <v>-103.5</v>
      </c>
      <c r="N160" s="20">
        <v>0.27156300705094549</v>
      </c>
      <c r="O160" s="19"/>
      <c r="P160" s="19"/>
      <c r="Q160" s="19"/>
      <c r="R160" s="19"/>
      <c r="S160" s="19"/>
      <c r="T160" s="19"/>
      <c r="U160" s="19"/>
      <c r="V160" s="19"/>
      <c r="W160" s="19"/>
      <c r="X160" s="19"/>
      <c r="Y160" s="19"/>
      <c r="Z160" s="19"/>
      <c r="AA160" s="19"/>
    </row>
    <row r="161" spans="1:27" ht="12.75" customHeight="1" x14ac:dyDescent="0.2">
      <c r="A161" s="29">
        <f t="shared" si="8"/>
        <v>259.64999999999998</v>
      </c>
      <c r="B161" s="21">
        <v>-13.5</v>
      </c>
      <c r="C161" s="20">
        <v>21.704599999999999</v>
      </c>
      <c r="D161" s="20">
        <f t="shared" si="10"/>
        <v>314.79917747999997</v>
      </c>
      <c r="E161" s="23">
        <v>970.49199999999996</v>
      </c>
      <c r="F161" s="24">
        <v>56.975000000000001</v>
      </c>
      <c r="G161" s="23"/>
      <c r="H161" s="23"/>
      <c r="I161" s="23"/>
      <c r="J161" s="23"/>
      <c r="K161" s="29"/>
      <c r="L161" s="29">
        <f t="shared" si="9"/>
        <v>170.14999999999998</v>
      </c>
      <c r="M161" s="21">
        <v>-103</v>
      </c>
      <c r="N161" s="20">
        <v>0.2852867381280399</v>
      </c>
      <c r="O161" s="19"/>
      <c r="P161" s="19"/>
      <c r="Q161" s="19"/>
      <c r="R161" s="19"/>
      <c r="S161" s="19"/>
      <c r="T161" s="19"/>
      <c r="U161" s="19"/>
      <c r="V161" s="19"/>
      <c r="W161" s="19"/>
      <c r="X161" s="19"/>
      <c r="Y161" s="19"/>
      <c r="Z161" s="19"/>
      <c r="AA161" s="19"/>
    </row>
    <row r="162" spans="1:27" ht="12.75" customHeight="1" x14ac:dyDescent="0.2">
      <c r="A162" s="29">
        <f t="shared" si="8"/>
        <v>260.14999999999998</v>
      </c>
      <c r="B162" s="21">
        <v>-13</v>
      </c>
      <c r="C162" s="20">
        <v>22.013400000000001</v>
      </c>
      <c r="D162" s="20">
        <f t="shared" si="10"/>
        <v>319.27795092000002</v>
      </c>
      <c r="E162" s="23">
        <v>968.30200000000002</v>
      </c>
      <c r="F162" s="24">
        <v>57.840319999999998</v>
      </c>
      <c r="G162" s="23"/>
      <c r="H162" s="23"/>
      <c r="I162" s="23"/>
      <c r="J162" s="23"/>
      <c r="K162" s="29"/>
      <c r="L162" s="29">
        <f t="shared" si="9"/>
        <v>170.64999999999998</v>
      </c>
      <c r="M162" s="21">
        <v>-102.5</v>
      </c>
      <c r="N162" s="20">
        <v>0.29960424223192345</v>
      </c>
      <c r="O162" s="19"/>
      <c r="P162" s="19"/>
      <c r="Q162" s="19"/>
      <c r="R162" s="19"/>
      <c r="S162" s="19"/>
      <c r="T162" s="19"/>
      <c r="U162" s="19"/>
      <c r="V162" s="19"/>
      <c r="W162" s="19"/>
      <c r="X162" s="19"/>
      <c r="Y162" s="19"/>
      <c r="Z162" s="19"/>
      <c r="AA162" s="19"/>
    </row>
    <row r="163" spans="1:27" ht="12.75" customHeight="1" x14ac:dyDescent="0.2">
      <c r="A163" s="29">
        <f t="shared" si="8"/>
        <v>260.64999999999998</v>
      </c>
      <c r="B163" s="21">
        <v>-12.5</v>
      </c>
      <c r="C163" s="20">
        <v>22.325399999999998</v>
      </c>
      <c r="D163" s="20">
        <f t="shared" si="10"/>
        <v>323.80313651999995</v>
      </c>
      <c r="E163" s="23">
        <v>966.10199999999998</v>
      </c>
      <c r="F163" s="24">
        <v>58.717509999999997</v>
      </c>
      <c r="G163" s="23"/>
      <c r="H163" s="23"/>
      <c r="I163" s="23"/>
      <c r="J163" s="23"/>
      <c r="K163" s="29"/>
      <c r="L163" s="29">
        <f t="shared" si="9"/>
        <v>171.14999999999998</v>
      </c>
      <c r="M163" s="21">
        <v>-102</v>
      </c>
      <c r="N163" s="20">
        <v>0.31453641267131094</v>
      </c>
      <c r="O163" s="19"/>
      <c r="P163" s="19"/>
      <c r="Q163" s="19"/>
      <c r="R163" s="19"/>
      <c r="S163" s="19"/>
      <c r="T163" s="19"/>
      <c r="U163" s="19"/>
      <c r="V163" s="19"/>
      <c r="W163" s="19"/>
      <c r="X163" s="19"/>
      <c r="Y163" s="19"/>
      <c r="Z163" s="19"/>
      <c r="AA163" s="19"/>
    </row>
    <row r="164" spans="1:27" ht="12.75" customHeight="1" x14ac:dyDescent="0.2">
      <c r="A164" s="29">
        <f t="shared" si="8"/>
        <v>261.14999999999998</v>
      </c>
      <c r="B164" s="21">
        <v>-12</v>
      </c>
      <c r="C164" s="20">
        <v>22.640499999999999</v>
      </c>
      <c r="D164" s="20">
        <f t="shared" si="10"/>
        <v>328.37328389999999</v>
      </c>
      <c r="E164" s="23">
        <v>963.89099999999996</v>
      </c>
      <c r="F164" s="24">
        <v>59.606760000000001</v>
      </c>
      <c r="G164" s="23"/>
      <c r="H164" s="23"/>
      <c r="I164" s="23"/>
      <c r="J164" s="23"/>
      <c r="K164" s="29"/>
      <c r="L164" s="29">
        <f t="shared" si="9"/>
        <v>171.64999999999998</v>
      </c>
      <c r="M164" s="21">
        <v>-101.5</v>
      </c>
      <c r="N164" s="20">
        <v>0.33010467721259645</v>
      </c>
      <c r="O164" s="19"/>
      <c r="P164" s="19"/>
      <c r="Q164" s="19"/>
      <c r="R164" s="19"/>
      <c r="S164" s="19"/>
      <c r="T164" s="19"/>
      <c r="U164" s="19"/>
      <c r="V164" s="19"/>
      <c r="W164" s="19"/>
      <c r="X164" s="19"/>
      <c r="Y164" s="19"/>
      <c r="Z164" s="19"/>
      <c r="AA164" s="19"/>
    </row>
    <row r="165" spans="1:27" ht="12.75" customHeight="1" x14ac:dyDescent="0.2">
      <c r="A165" s="29">
        <f t="shared" si="8"/>
        <v>261.64999999999998</v>
      </c>
      <c r="B165" s="21">
        <v>-11.5</v>
      </c>
      <c r="C165" s="20">
        <v>22.9589</v>
      </c>
      <c r="D165" s="20">
        <f t="shared" si="10"/>
        <v>332.99129382000001</v>
      </c>
      <c r="E165" s="23">
        <v>961.66800000000001</v>
      </c>
      <c r="F165" s="24">
        <v>60.508270000000003</v>
      </c>
      <c r="G165" s="23"/>
      <c r="H165" s="23"/>
      <c r="I165" s="23"/>
      <c r="J165" s="23"/>
      <c r="K165" s="29"/>
      <c r="L165" s="29">
        <f t="shared" si="9"/>
        <v>172.14999999999998</v>
      </c>
      <c r="M165" s="21">
        <v>-101</v>
      </c>
      <c r="N165" s="20">
        <v>0.346331004549285</v>
      </c>
      <c r="O165" s="19"/>
      <c r="P165" s="19"/>
      <c r="Q165" s="19"/>
      <c r="R165" s="19"/>
      <c r="S165" s="19"/>
      <c r="T165" s="19"/>
      <c r="U165" s="19"/>
      <c r="V165" s="19"/>
      <c r="W165" s="19"/>
      <c r="X165" s="19"/>
      <c r="Y165" s="19"/>
      <c r="Z165" s="19"/>
      <c r="AA165" s="19"/>
    </row>
    <row r="166" spans="1:27" ht="12.75" customHeight="1" x14ac:dyDescent="0.2">
      <c r="A166" s="29">
        <f t="shared" si="8"/>
        <v>262.14999999999998</v>
      </c>
      <c r="B166" s="21">
        <v>-11</v>
      </c>
      <c r="C166" s="20">
        <v>23.2806</v>
      </c>
      <c r="D166" s="20">
        <f t="shared" si="10"/>
        <v>337.65716628000001</v>
      </c>
      <c r="E166" s="23">
        <v>959.43499999999995</v>
      </c>
      <c r="F166" s="24">
        <v>61.422249999999998</v>
      </c>
      <c r="G166" s="23"/>
      <c r="H166" s="23"/>
      <c r="I166" s="23"/>
      <c r="J166" s="23"/>
      <c r="K166" s="29"/>
      <c r="L166" s="29">
        <f t="shared" ref="L166:L186" si="11">M166+273.15</f>
        <v>172.64999999999998</v>
      </c>
      <c r="M166" s="21">
        <v>-100.5</v>
      </c>
      <c r="N166" s="20">
        <v>0.36323791061888799</v>
      </c>
      <c r="O166" s="19"/>
      <c r="P166" s="19"/>
      <c r="Q166" s="19"/>
      <c r="R166" s="19"/>
      <c r="S166" s="19"/>
      <c r="T166" s="19"/>
      <c r="U166" s="19"/>
      <c r="V166" s="19"/>
      <c r="W166" s="19"/>
      <c r="X166" s="19"/>
      <c r="Y166" s="19"/>
      <c r="Z166" s="19"/>
      <c r="AA166" s="19"/>
    </row>
    <row r="167" spans="1:27" ht="12.75" customHeight="1" x14ac:dyDescent="0.2">
      <c r="A167" s="29">
        <f t="shared" si="8"/>
        <v>262.64999999999998</v>
      </c>
      <c r="B167" s="21">
        <v>-10.5</v>
      </c>
      <c r="C167" s="20">
        <v>23.605499999999999</v>
      </c>
      <c r="D167" s="20">
        <f t="shared" si="10"/>
        <v>342.3694509</v>
      </c>
      <c r="E167" s="23">
        <v>957.19100000000003</v>
      </c>
      <c r="F167" s="24">
        <v>62.348889999999997</v>
      </c>
      <c r="G167" s="23"/>
      <c r="H167" s="23"/>
      <c r="I167" s="23"/>
      <c r="J167" s="23"/>
      <c r="K167" s="29"/>
      <c r="L167" s="29">
        <f t="shared" si="11"/>
        <v>173.14999999999998</v>
      </c>
      <c r="M167" s="21">
        <v>-100</v>
      </c>
      <c r="N167" s="20">
        <v>0.3808484647594948</v>
      </c>
      <c r="O167" s="19"/>
      <c r="P167" s="19"/>
      <c r="Q167" s="19"/>
      <c r="R167" s="19"/>
      <c r="S167" s="19"/>
      <c r="T167" s="19"/>
      <c r="U167" s="19"/>
      <c r="V167" s="19"/>
      <c r="W167" s="19"/>
      <c r="X167" s="19"/>
      <c r="Y167" s="19"/>
      <c r="Z167" s="19"/>
      <c r="AA167" s="19"/>
    </row>
    <row r="168" spans="1:27" ht="12.75" customHeight="1" x14ac:dyDescent="0.2">
      <c r="A168" s="29">
        <f t="shared" si="8"/>
        <v>263.14999999999998</v>
      </c>
      <c r="B168" s="21">
        <v>-10</v>
      </c>
      <c r="C168" s="20">
        <v>23.933700000000002</v>
      </c>
      <c r="D168" s="20">
        <f t="shared" si="10"/>
        <v>347.12959806000003</v>
      </c>
      <c r="E168" s="23">
        <v>954.93499999999995</v>
      </c>
      <c r="F168" s="24">
        <v>63.288409999999999</v>
      </c>
      <c r="G168" s="23"/>
      <c r="H168" s="23"/>
      <c r="I168" s="23"/>
      <c r="J168" s="23"/>
      <c r="K168" s="29"/>
      <c r="L168" s="29">
        <f t="shared" si="11"/>
        <v>173.64999999999998</v>
      </c>
      <c r="M168" s="21">
        <v>-99.5</v>
      </c>
      <c r="N168" s="20">
        <v>0.39918629569827929</v>
      </c>
      <c r="O168" s="19"/>
      <c r="P168" s="19"/>
      <c r="Q168" s="19"/>
      <c r="R168" s="19"/>
      <c r="S168" s="19"/>
      <c r="T168" s="19"/>
      <c r="U168" s="19"/>
      <c r="V168" s="19"/>
      <c r="W168" s="19"/>
      <c r="X168" s="19"/>
      <c r="Y168" s="19"/>
      <c r="Z168" s="19"/>
      <c r="AA168" s="19"/>
    </row>
    <row r="169" spans="1:27" ht="12.75" customHeight="1" x14ac:dyDescent="0.2">
      <c r="A169" s="29">
        <f t="shared" si="8"/>
        <v>263.64999999999998</v>
      </c>
      <c r="B169" s="21">
        <v>-9.5</v>
      </c>
      <c r="C169" s="20">
        <v>24.2652</v>
      </c>
      <c r="D169" s="20">
        <f t="shared" si="10"/>
        <v>351.93760775999999</v>
      </c>
      <c r="E169" s="23">
        <v>952.66700000000003</v>
      </c>
      <c r="F169" s="24">
        <v>64.241039999999998</v>
      </c>
      <c r="G169" s="23"/>
      <c r="H169" s="23"/>
      <c r="I169" s="23"/>
      <c r="J169" s="23"/>
      <c r="K169" s="29"/>
      <c r="L169" s="29">
        <f t="shared" si="11"/>
        <v>174.14999999999998</v>
      </c>
      <c r="M169" s="21">
        <v>-99</v>
      </c>
      <c r="N169" s="20">
        <v>0.41827559736422959</v>
      </c>
      <c r="O169" s="19"/>
      <c r="P169" s="19"/>
      <c r="Q169" s="19"/>
      <c r="R169" s="19"/>
      <c r="S169" s="19"/>
      <c r="T169" s="19"/>
      <c r="U169" s="19"/>
      <c r="V169" s="19"/>
      <c r="W169" s="19"/>
      <c r="X169" s="19"/>
      <c r="Y169" s="19"/>
      <c r="Z169" s="19"/>
      <c r="AA169" s="19"/>
    </row>
    <row r="170" spans="1:27" ht="12.75" customHeight="1" x14ac:dyDescent="0.2">
      <c r="A170" s="29">
        <f t="shared" si="8"/>
        <v>264.14999999999998</v>
      </c>
      <c r="B170" s="21">
        <v>-9</v>
      </c>
      <c r="C170" s="20">
        <v>24.6</v>
      </c>
      <c r="D170" s="20">
        <f t="shared" si="10"/>
        <v>356.79348000000005</v>
      </c>
      <c r="E170" s="23">
        <v>950.38800000000003</v>
      </c>
      <c r="F170" s="24">
        <v>65.206980000000001</v>
      </c>
      <c r="G170" s="23"/>
      <c r="H170" s="23"/>
      <c r="I170" s="23"/>
      <c r="J170" s="23"/>
      <c r="K170" s="29"/>
      <c r="L170" s="29">
        <f t="shared" si="11"/>
        <v>174.64999999999998</v>
      </c>
      <c r="M170" s="21">
        <v>-98.5</v>
      </c>
      <c r="N170" s="20">
        <v>0.43814113451736419</v>
      </c>
      <c r="O170" s="19"/>
      <c r="P170" s="19"/>
      <c r="Q170" s="19"/>
      <c r="R170" s="19"/>
      <c r="S170" s="19"/>
      <c r="T170" s="19"/>
      <c r="U170" s="19"/>
      <c r="V170" s="19"/>
      <c r="W170" s="19"/>
      <c r="X170" s="19"/>
      <c r="Y170" s="19"/>
      <c r="Z170" s="19"/>
      <c r="AA170" s="19"/>
    </row>
    <row r="171" spans="1:27" ht="12.75" customHeight="1" x14ac:dyDescent="0.2">
      <c r="A171" s="29">
        <f t="shared" si="8"/>
        <v>264.64999999999998</v>
      </c>
      <c r="B171" s="21">
        <v>-8.5</v>
      </c>
      <c r="C171" s="20">
        <v>24.938199999999998</v>
      </c>
      <c r="D171" s="20">
        <f t="shared" si="10"/>
        <v>361.69866515999996</v>
      </c>
      <c r="E171" s="23">
        <v>948.096</v>
      </c>
      <c r="F171" s="24">
        <v>66.186480000000003</v>
      </c>
      <c r="G171" s="23"/>
      <c r="H171" s="23"/>
      <c r="I171" s="23"/>
      <c r="J171" s="23"/>
      <c r="K171" s="29"/>
      <c r="L171" s="29">
        <f t="shared" si="11"/>
        <v>175.14999999999998</v>
      </c>
      <c r="M171" s="21">
        <v>-98</v>
      </c>
      <c r="N171" s="20">
        <v>0.45880824818680288</v>
      </c>
      <c r="O171" s="19"/>
      <c r="P171" s="19"/>
      <c r="Q171" s="19"/>
      <c r="R171" s="19"/>
      <c r="S171" s="19"/>
      <c r="T171" s="19"/>
      <c r="U171" s="19"/>
      <c r="V171" s="19"/>
      <c r="W171" s="19"/>
      <c r="X171" s="19"/>
      <c r="Y171" s="19"/>
      <c r="Z171" s="19"/>
      <c r="AA171" s="19"/>
    </row>
    <row r="172" spans="1:27" ht="12.75" customHeight="1" x14ac:dyDescent="0.2">
      <c r="A172" s="29">
        <f t="shared" si="8"/>
        <v>265.14999999999998</v>
      </c>
      <c r="B172" s="21">
        <v>-8</v>
      </c>
      <c r="C172" s="20">
        <v>25.279699999999998</v>
      </c>
      <c r="D172" s="20">
        <f t="shared" si="10"/>
        <v>366.65171285999998</v>
      </c>
      <c r="E172" s="23">
        <v>945.79300000000001</v>
      </c>
      <c r="F172" s="24">
        <v>67.179770000000005</v>
      </c>
      <c r="G172" s="23"/>
      <c r="H172" s="23"/>
      <c r="I172" s="23"/>
      <c r="J172" s="23"/>
      <c r="K172" s="29"/>
      <c r="L172" s="29">
        <f t="shared" si="11"/>
        <v>175.64999999999998</v>
      </c>
      <c r="M172" s="21">
        <v>-97.5</v>
      </c>
      <c r="N172" s="20">
        <v>0.48030286091005625</v>
      </c>
      <c r="O172" s="19"/>
      <c r="P172" s="19"/>
      <c r="Q172" s="19"/>
      <c r="R172" s="19"/>
      <c r="S172" s="19"/>
      <c r="T172" s="19"/>
      <c r="U172" s="19"/>
      <c r="V172" s="19"/>
      <c r="W172" s="19"/>
      <c r="X172" s="19"/>
      <c r="Y172" s="19"/>
      <c r="Z172" s="19"/>
      <c r="AA172" s="19"/>
    </row>
    <row r="173" spans="1:27" ht="12.75" customHeight="1" x14ac:dyDescent="0.2">
      <c r="A173" s="29">
        <f t="shared" si="8"/>
        <v>265.64999999999998</v>
      </c>
      <c r="B173" s="21">
        <v>-7.5</v>
      </c>
      <c r="C173" s="20">
        <v>25.624700000000001</v>
      </c>
      <c r="D173" s="20">
        <f t="shared" si="10"/>
        <v>371.65552386000002</v>
      </c>
      <c r="E173" s="23">
        <v>943.47699999999998</v>
      </c>
      <c r="F173" s="24">
        <v>68.187089999999998</v>
      </c>
      <c r="G173" s="23"/>
      <c r="H173" s="23"/>
      <c r="I173" s="23"/>
      <c r="J173" s="23"/>
      <c r="K173" s="29"/>
      <c r="L173" s="29">
        <f t="shared" si="11"/>
        <v>176.14999999999998</v>
      </c>
      <c r="M173" s="21">
        <v>-97</v>
      </c>
      <c r="N173" s="20">
        <v>0.50265148176594532</v>
      </c>
      <c r="O173" s="19"/>
      <c r="P173" s="19"/>
      <c r="Q173" s="19"/>
      <c r="R173" s="19"/>
      <c r="S173" s="19"/>
      <c r="T173" s="19"/>
      <c r="U173" s="19"/>
      <c r="V173" s="19"/>
      <c r="W173" s="19"/>
      <c r="X173" s="19"/>
      <c r="Y173" s="19"/>
      <c r="Z173" s="19"/>
      <c r="AA173" s="19"/>
    </row>
    <row r="174" spans="1:27" ht="12.75" customHeight="1" x14ac:dyDescent="0.2">
      <c r="A174" s="29">
        <f t="shared" si="8"/>
        <v>266.14999999999998</v>
      </c>
      <c r="B174" s="21">
        <v>-7</v>
      </c>
      <c r="C174" s="20">
        <v>25.972999999999999</v>
      </c>
      <c r="D174" s="20">
        <f t="shared" si="10"/>
        <v>376.70719739999998</v>
      </c>
      <c r="E174" s="23">
        <v>941.14800000000002</v>
      </c>
      <c r="F174" s="24">
        <v>69.208690000000004</v>
      </c>
      <c r="G174" s="23"/>
      <c r="H174" s="23"/>
      <c r="I174" s="23"/>
      <c r="J174" s="23"/>
      <c r="K174" s="29"/>
      <c r="L174" s="29">
        <f t="shared" si="11"/>
        <v>176.64999999999998</v>
      </c>
      <c r="M174" s="21">
        <v>-96.5</v>
      </c>
      <c r="N174" s="20">
        <v>0.52588121119364517</v>
      </c>
      <c r="O174" s="19"/>
      <c r="P174" s="19"/>
      <c r="Q174" s="19"/>
      <c r="R174" s="19"/>
      <c r="S174" s="19"/>
      <c r="T174" s="19"/>
      <c r="U174" s="19"/>
      <c r="V174" s="19"/>
      <c r="W174" s="19"/>
      <c r="X174" s="19"/>
      <c r="Y174" s="19"/>
      <c r="Z174" s="19"/>
      <c r="AA174" s="19"/>
    </row>
    <row r="175" spans="1:27" ht="12.75" customHeight="1" x14ac:dyDescent="0.2">
      <c r="A175" s="29">
        <f t="shared" si="8"/>
        <v>266.64999999999998</v>
      </c>
      <c r="B175" s="21">
        <v>-6.5</v>
      </c>
      <c r="C175" s="20">
        <v>26.3248</v>
      </c>
      <c r="D175" s="20">
        <f t="shared" si="10"/>
        <v>381.80963423999998</v>
      </c>
      <c r="E175" s="23">
        <v>938.80600000000004</v>
      </c>
      <c r="F175" s="24">
        <v>70.244829999999993</v>
      </c>
      <c r="G175" s="23"/>
      <c r="H175" s="23"/>
      <c r="I175" s="23"/>
      <c r="J175" s="23"/>
      <c r="K175" s="29"/>
      <c r="L175" s="29">
        <f t="shared" si="11"/>
        <v>177.14999999999998</v>
      </c>
      <c r="M175" s="21">
        <v>-96</v>
      </c>
      <c r="N175" s="20">
        <v>0.5500197455904472</v>
      </c>
      <c r="O175" s="19"/>
      <c r="P175" s="19"/>
      <c r="Q175" s="19"/>
      <c r="R175" s="19"/>
      <c r="S175" s="19"/>
      <c r="T175" s="19"/>
      <c r="U175" s="19"/>
      <c r="V175" s="19"/>
      <c r="W175" s="19"/>
      <c r="X175" s="19"/>
      <c r="Y175" s="19"/>
      <c r="Z175" s="19"/>
      <c r="AA175" s="19"/>
    </row>
    <row r="176" spans="1:27" ht="12.75" customHeight="1" x14ac:dyDescent="0.2">
      <c r="A176" s="29">
        <f t="shared" si="8"/>
        <v>267.14999999999998</v>
      </c>
      <c r="B176" s="21">
        <v>-6</v>
      </c>
      <c r="C176" s="20">
        <v>26.680099999999999</v>
      </c>
      <c r="D176" s="20">
        <f t="shared" si="10"/>
        <v>386.96283438</v>
      </c>
      <c r="E176" s="23">
        <v>936.45100000000002</v>
      </c>
      <c r="F176" s="24">
        <v>71.295779999999993</v>
      </c>
      <c r="G176" s="23"/>
      <c r="H176" s="23"/>
      <c r="I176" s="23"/>
      <c r="J176" s="23"/>
      <c r="K176" s="29"/>
      <c r="L176" s="29">
        <f t="shared" si="11"/>
        <v>177.64999999999998</v>
      </c>
      <c r="M176" s="21">
        <v>-95.5</v>
      </c>
      <c r="N176" s="20">
        <v>0.57509538168074359</v>
      </c>
      <c r="O176" s="19"/>
      <c r="P176" s="19"/>
      <c r="Q176" s="19"/>
      <c r="R176" s="19"/>
      <c r="S176" s="19"/>
      <c r="T176" s="19"/>
      <c r="U176" s="19"/>
      <c r="V176" s="19"/>
      <c r="W176" s="19"/>
      <c r="X176" s="19"/>
      <c r="Y176" s="19"/>
      <c r="Z176" s="19"/>
      <c r="AA176" s="19"/>
    </row>
    <row r="177" spans="1:27" ht="12.75" customHeight="1" x14ac:dyDescent="0.2">
      <c r="A177" s="29">
        <f t="shared" si="8"/>
        <v>267.64999999999998</v>
      </c>
      <c r="B177" s="21">
        <v>-5.5</v>
      </c>
      <c r="C177" s="20">
        <v>27.038799999999998</v>
      </c>
      <c r="D177" s="20">
        <f t="shared" si="10"/>
        <v>392.16534744000001</v>
      </c>
      <c r="E177" s="23">
        <v>934.08299999999997</v>
      </c>
      <c r="F177" s="24">
        <v>72.361810000000006</v>
      </c>
      <c r="G177" s="23"/>
      <c r="H177" s="23"/>
      <c r="I177" s="23"/>
      <c r="J177" s="23"/>
      <c r="K177" s="29"/>
      <c r="L177" s="29">
        <f t="shared" si="11"/>
        <v>178.14999999999998</v>
      </c>
      <c r="M177" s="21">
        <v>-95</v>
      </c>
      <c r="N177" s="20">
        <v>0.60113702064910179</v>
      </c>
      <c r="O177" s="19"/>
      <c r="P177" s="19"/>
      <c r="Q177" s="19"/>
      <c r="R177" s="19"/>
      <c r="S177" s="19"/>
      <c r="T177" s="19"/>
      <c r="U177" s="19"/>
      <c r="V177" s="19"/>
      <c r="W177" s="19"/>
      <c r="X177" s="19"/>
      <c r="Y177" s="19"/>
      <c r="Z177" s="19"/>
      <c r="AA177" s="19"/>
    </row>
    <row r="178" spans="1:27" ht="12.75" customHeight="1" x14ac:dyDescent="0.2">
      <c r="A178" s="29">
        <f t="shared" si="8"/>
        <v>268.14999999999998</v>
      </c>
      <c r="B178" s="21">
        <v>-5</v>
      </c>
      <c r="C178" s="20">
        <v>27.401</v>
      </c>
      <c r="D178" s="20">
        <f t="shared" si="10"/>
        <v>397.41862379999998</v>
      </c>
      <c r="E178" s="23">
        <v>931.70100000000002</v>
      </c>
      <c r="F178" s="24">
        <v>73.443200000000004</v>
      </c>
      <c r="G178" s="23"/>
      <c r="H178" s="23"/>
      <c r="I178" s="23"/>
      <c r="J178" s="23"/>
      <c r="K178" s="29"/>
      <c r="L178" s="29">
        <f t="shared" si="11"/>
        <v>178.64999999999998</v>
      </c>
      <c r="M178" s="21">
        <v>-94.5</v>
      </c>
      <c r="N178" s="20">
        <v>0.6281741720300944</v>
      </c>
      <c r="O178" s="19"/>
      <c r="P178" s="19"/>
      <c r="Q178" s="19"/>
      <c r="R178" s="19"/>
      <c r="S178" s="19"/>
      <c r="T178" s="19"/>
      <c r="U178" s="19"/>
      <c r="V178" s="19"/>
      <c r="W178" s="19"/>
      <c r="X178" s="19"/>
      <c r="Y178" s="19"/>
      <c r="Z178" s="19"/>
      <c r="AA178" s="19"/>
    </row>
    <row r="179" spans="1:27" ht="12.75" customHeight="1" x14ac:dyDescent="0.2">
      <c r="A179" s="29">
        <f t="shared" si="8"/>
        <v>268.64999999999998</v>
      </c>
      <c r="B179" s="21">
        <v>-4.5</v>
      </c>
      <c r="C179" s="20">
        <v>27.7668</v>
      </c>
      <c r="D179" s="20">
        <f t="shared" si="10"/>
        <v>402.72411383999997</v>
      </c>
      <c r="E179" s="23">
        <v>929.30499999999995</v>
      </c>
      <c r="F179" s="24">
        <v>74.54025</v>
      </c>
      <c r="G179" s="23"/>
      <c r="H179" s="23"/>
      <c r="I179" s="23"/>
      <c r="J179" s="23"/>
      <c r="K179" s="29"/>
      <c r="L179" s="29">
        <f t="shared" si="11"/>
        <v>179.14999999999998</v>
      </c>
      <c r="M179" s="21">
        <v>-94</v>
      </c>
      <c r="N179" s="20">
        <v>0.65623695734783427</v>
      </c>
      <c r="O179" s="19"/>
      <c r="P179" s="19"/>
      <c r="Q179" s="19"/>
      <c r="R179" s="19"/>
      <c r="S179" s="19"/>
      <c r="T179" s="19"/>
      <c r="U179" s="19"/>
      <c r="V179" s="19"/>
      <c r="W179" s="19"/>
      <c r="X179" s="19"/>
      <c r="Y179" s="19"/>
      <c r="Z179" s="19"/>
      <c r="AA179" s="19"/>
    </row>
    <row r="180" spans="1:27" ht="12.75" customHeight="1" x14ac:dyDescent="0.2">
      <c r="A180" s="29">
        <f t="shared" si="8"/>
        <v>269.14999999999998</v>
      </c>
      <c r="B180" s="21">
        <v>-4</v>
      </c>
      <c r="C180" s="20">
        <v>28.136099999999999</v>
      </c>
      <c r="D180" s="20">
        <f t="shared" si="10"/>
        <v>408.08036718</v>
      </c>
      <c r="E180" s="23">
        <v>926.89499999999998</v>
      </c>
      <c r="F180" s="24">
        <v>75.653239999999997</v>
      </c>
      <c r="G180" s="23"/>
      <c r="H180" s="23"/>
      <c r="I180" s="23"/>
      <c r="J180" s="23"/>
      <c r="K180" s="29"/>
      <c r="L180" s="29">
        <f t="shared" si="11"/>
        <v>179.64999999999998</v>
      </c>
      <c r="M180" s="21">
        <v>-93.5</v>
      </c>
      <c r="N180" s="20">
        <v>0.68535611349821657</v>
      </c>
      <c r="O180" s="19"/>
      <c r="P180" s="19"/>
      <c r="Q180" s="19"/>
      <c r="R180" s="19"/>
      <c r="S180" s="19"/>
      <c r="T180" s="19"/>
      <c r="U180" s="19"/>
      <c r="V180" s="19"/>
      <c r="W180" s="19"/>
      <c r="X180" s="19"/>
      <c r="Y180" s="19"/>
      <c r="Z180" s="19"/>
      <c r="AA180" s="19"/>
    </row>
    <row r="181" spans="1:27" ht="12.75" customHeight="1" x14ac:dyDescent="0.2">
      <c r="A181" s="29">
        <f t="shared" si="8"/>
        <v>269.64999999999998</v>
      </c>
      <c r="B181" s="21">
        <v>-3.5</v>
      </c>
      <c r="C181" s="20">
        <v>28.509</v>
      </c>
      <c r="D181" s="20">
        <f t="shared" si="10"/>
        <v>413.48883419999999</v>
      </c>
      <c r="E181" s="23">
        <v>924.47</v>
      </c>
      <c r="F181" s="24">
        <v>76.782499999999999</v>
      </c>
      <c r="G181" s="23"/>
      <c r="H181" s="23"/>
      <c r="I181" s="23"/>
      <c r="J181" s="23"/>
      <c r="K181" s="29"/>
      <c r="L181" s="29">
        <f t="shared" si="11"/>
        <v>180.14999999999998</v>
      </c>
      <c r="M181" s="21">
        <v>-93</v>
      </c>
      <c r="N181" s="20">
        <v>0.71556299586693717</v>
      </c>
      <c r="O181" s="19"/>
      <c r="P181" s="19"/>
      <c r="Q181" s="19"/>
      <c r="R181" s="19"/>
      <c r="S181" s="19"/>
      <c r="T181" s="19"/>
      <c r="U181" s="19"/>
      <c r="V181" s="19"/>
      <c r="W181" s="19"/>
      <c r="X181" s="19"/>
      <c r="Y181" s="19"/>
      <c r="Z181" s="19"/>
      <c r="AA181" s="19"/>
    </row>
    <row r="182" spans="1:27" ht="12.75" customHeight="1" x14ac:dyDescent="0.2">
      <c r="A182" s="29">
        <f t="shared" si="8"/>
        <v>270.14999999999998</v>
      </c>
      <c r="B182" s="21">
        <v>-3</v>
      </c>
      <c r="C182" s="20">
        <v>28.885400000000001</v>
      </c>
      <c r="D182" s="20">
        <f t="shared" si="10"/>
        <v>418.94806452</v>
      </c>
      <c r="E182" s="23">
        <v>922.03099999999995</v>
      </c>
      <c r="F182" s="24">
        <v>77.928340000000006</v>
      </c>
      <c r="G182" s="23"/>
      <c r="H182" s="23"/>
      <c r="I182" s="23"/>
      <c r="J182" s="23"/>
      <c r="K182" s="29"/>
      <c r="L182" s="29">
        <f t="shared" si="11"/>
        <v>180.64999999999998</v>
      </c>
      <c r="M182" s="21">
        <v>-92.5</v>
      </c>
      <c r="N182" s="20">
        <v>0.74688958117655513</v>
      </c>
      <c r="O182" s="19"/>
      <c r="P182" s="19"/>
      <c r="Q182" s="19"/>
      <c r="R182" s="19"/>
      <c r="S182" s="19"/>
      <c r="T182" s="19"/>
      <c r="U182" s="19"/>
      <c r="V182" s="19"/>
      <c r="W182" s="19"/>
      <c r="X182" s="19"/>
      <c r="Y182" s="19"/>
      <c r="Z182" s="19"/>
      <c r="AA182" s="19"/>
    </row>
    <row r="183" spans="1:27" ht="12.75" customHeight="1" x14ac:dyDescent="0.2">
      <c r="A183" s="29">
        <f t="shared" si="8"/>
        <v>270.64999999999998</v>
      </c>
      <c r="B183" s="21">
        <v>-2.5</v>
      </c>
      <c r="C183" s="20">
        <v>29.265499999999999</v>
      </c>
      <c r="D183" s="20">
        <f t="shared" si="10"/>
        <v>424.46095889999998</v>
      </c>
      <c r="E183" s="23">
        <v>919.57600000000002</v>
      </c>
      <c r="F183" s="24">
        <v>79.091080000000005</v>
      </c>
      <c r="G183" s="23"/>
      <c r="H183" s="23"/>
      <c r="I183" s="23"/>
      <c r="J183" s="23"/>
      <c r="K183" s="29"/>
      <c r="L183" s="29">
        <f t="shared" si="11"/>
        <v>181.14999999999998</v>
      </c>
      <c r="M183" s="21">
        <v>-92</v>
      </c>
      <c r="N183" s="20">
        <v>0.77936847005593413</v>
      </c>
      <c r="O183" s="19"/>
      <c r="P183" s="19"/>
      <c r="Q183" s="19"/>
      <c r="R183" s="19"/>
      <c r="S183" s="19"/>
      <c r="T183" s="19"/>
      <c r="U183" s="19"/>
      <c r="V183" s="19"/>
      <c r="W183" s="19"/>
      <c r="X183" s="19"/>
      <c r="Y183" s="19"/>
      <c r="Z183" s="19"/>
      <c r="AA183" s="19"/>
    </row>
    <row r="184" spans="1:27" ht="12.75" customHeight="1" x14ac:dyDescent="0.2">
      <c r="A184" s="29">
        <f t="shared" si="8"/>
        <v>271.14999999999998</v>
      </c>
      <c r="B184" s="21">
        <v>-2</v>
      </c>
      <c r="C184" s="20">
        <v>29.6492</v>
      </c>
      <c r="D184" s="20">
        <f t="shared" si="10"/>
        <v>430.02606695999998</v>
      </c>
      <c r="E184" s="23">
        <v>917.10599999999999</v>
      </c>
      <c r="F184" s="24">
        <v>80.271079999999998</v>
      </c>
      <c r="G184" s="23"/>
      <c r="H184" s="23"/>
      <c r="I184" s="23"/>
      <c r="J184" s="23"/>
      <c r="K184" s="29"/>
      <c r="L184" s="29">
        <f t="shared" si="11"/>
        <v>181.64999999999998</v>
      </c>
      <c r="M184" s="21">
        <v>-91.5</v>
      </c>
      <c r="N184" s="20">
        <v>0.81303288932556494</v>
      </c>
      <c r="O184" s="19"/>
      <c r="P184" s="19"/>
      <c r="Q184" s="19"/>
      <c r="R184" s="19"/>
      <c r="S184" s="19"/>
      <c r="T184" s="19"/>
      <c r="U184" s="19"/>
      <c r="V184" s="19"/>
      <c r="W184" s="19"/>
      <c r="X184" s="19"/>
      <c r="Y184" s="19"/>
      <c r="Z184" s="19"/>
      <c r="AA184" s="19"/>
    </row>
    <row r="185" spans="1:27" ht="12.75" customHeight="1" x14ac:dyDescent="0.2">
      <c r="A185" s="29">
        <f t="shared" si="8"/>
        <v>271.64999999999998</v>
      </c>
      <c r="B185" s="21">
        <v>-1.5</v>
      </c>
      <c r="C185" s="20">
        <v>30.0365</v>
      </c>
      <c r="D185" s="20">
        <f t="shared" si="10"/>
        <v>435.6433887</v>
      </c>
      <c r="E185" s="23">
        <v>914.62099999999998</v>
      </c>
      <c r="F185" s="24">
        <v>81.468670000000003</v>
      </c>
      <c r="G185" s="23"/>
      <c r="H185" s="23"/>
      <c r="I185" s="23"/>
      <c r="J185" s="23"/>
      <c r="K185" s="29"/>
      <c r="L185" s="29">
        <f t="shared" si="11"/>
        <v>182.14999999999998</v>
      </c>
      <c r="M185" s="21">
        <v>-91</v>
      </c>
      <c r="N185" s="20">
        <v>0.84791669399235281</v>
      </c>
      <c r="O185" s="19"/>
      <c r="P185" s="19"/>
      <c r="Q185" s="19"/>
      <c r="R185" s="19"/>
      <c r="S185" s="19"/>
      <c r="T185" s="19"/>
      <c r="U185" s="19"/>
      <c r="V185" s="19"/>
      <c r="W185" s="19"/>
      <c r="X185" s="19"/>
      <c r="Y185" s="19"/>
      <c r="Z185" s="19"/>
      <c r="AA185" s="19"/>
    </row>
    <row r="186" spans="1:27" ht="12.75" customHeight="1" x14ac:dyDescent="0.2">
      <c r="A186" s="29">
        <f t="shared" si="8"/>
        <v>272.14999999999998</v>
      </c>
      <c r="B186" s="21">
        <v>-1</v>
      </c>
      <c r="C186" s="20">
        <v>30.427600000000002</v>
      </c>
      <c r="D186" s="20">
        <f t="shared" si="10"/>
        <v>441.31582488000004</v>
      </c>
      <c r="E186" s="23">
        <v>912.11900000000003</v>
      </c>
      <c r="F186" s="24">
        <v>82.684229999999999</v>
      </c>
      <c r="G186" s="23"/>
      <c r="H186" s="23"/>
      <c r="I186" s="23"/>
      <c r="J186" s="23"/>
      <c r="K186" s="29"/>
      <c r="L186" s="29">
        <f t="shared" si="11"/>
        <v>182.32999999999998</v>
      </c>
      <c r="M186" s="21">
        <v>-90.82</v>
      </c>
      <c r="N186" s="20">
        <v>0.87849999999999995</v>
      </c>
      <c r="O186" s="19"/>
      <c r="P186" s="19"/>
      <c r="Q186" s="19"/>
      <c r="R186" s="19"/>
      <c r="S186" s="19"/>
      <c r="T186" s="19"/>
      <c r="U186" s="19"/>
      <c r="V186" s="19"/>
      <c r="W186" s="19"/>
      <c r="X186" s="19"/>
      <c r="Y186" s="19"/>
      <c r="Z186" s="19"/>
      <c r="AA186" s="19"/>
    </row>
    <row r="187" spans="1:27" ht="12.75" customHeight="1" x14ac:dyDescent="0.2">
      <c r="A187" s="29">
        <f t="shared" si="8"/>
        <v>272.64999999999998</v>
      </c>
      <c r="B187" s="21">
        <v>-0.5</v>
      </c>
      <c r="C187" s="20">
        <v>30.822299999999998</v>
      </c>
      <c r="D187" s="20">
        <f t="shared" si="10"/>
        <v>447.04047473999998</v>
      </c>
      <c r="E187" s="23">
        <v>909.601</v>
      </c>
      <c r="F187" s="24">
        <v>83.918130000000005</v>
      </c>
      <c r="G187" s="23"/>
      <c r="H187" s="23"/>
      <c r="I187" s="23"/>
      <c r="J187" s="23"/>
      <c r="K187" s="28"/>
      <c r="L187" s="28"/>
      <c r="M187" s="21"/>
      <c r="N187" s="20"/>
      <c r="O187" s="19"/>
      <c r="P187" s="19"/>
      <c r="Q187" s="19"/>
      <c r="R187" s="19"/>
      <c r="S187" s="19"/>
      <c r="T187" s="19"/>
      <c r="U187" s="19"/>
      <c r="V187" s="19"/>
      <c r="W187" s="19"/>
      <c r="X187" s="19"/>
      <c r="Y187" s="19"/>
      <c r="Z187" s="19"/>
      <c r="AA187" s="19"/>
    </row>
    <row r="188" spans="1:27" ht="12.75" customHeight="1" x14ac:dyDescent="0.2">
      <c r="A188" s="29">
        <f t="shared" si="8"/>
        <v>273.14999999999998</v>
      </c>
      <c r="B188" s="21">
        <v>0</v>
      </c>
      <c r="C188" s="20">
        <v>31.220800000000001</v>
      </c>
      <c r="D188" s="20">
        <f t="shared" si="10"/>
        <v>452.82023903999999</v>
      </c>
      <c r="E188" s="23">
        <v>907.06600000000003</v>
      </c>
      <c r="F188" s="24">
        <v>85.170760000000001</v>
      </c>
      <c r="G188" s="23"/>
      <c r="H188" s="23"/>
      <c r="I188" s="23"/>
      <c r="J188" s="23"/>
      <c r="K188" s="28"/>
      <c r="L188" s="28"/>
      <c r="M188" s="21"/>
      <c r="N188" s="20"/>
      <c r="O188" s="19"/>
      <c r="P188" s="19"/>
      <c r="Q188" s="19"/>
      <c r="R188" s="19"/>
      <c r="S188" s="19"/>
      <c r="T188" s="19"/>
      <c r="U188" s="19"/>
      <c r="V188" s="19"/>
      <c r="W188" s="19"/>
      <c r="X188" s="19"/>
      <c r="Y188" s="19"/>
      <c r="Z188" s="19"/>
      <c r="AA188" s="19"/>
    </row>
    <row r="189" spans="1:27" ht="12.75" customHeight="1" x14ac:dyDescent="0.2">
      <c r="A189" s="29">
        <f t="shared" si="8"/>
        <v>273.64999999999998</v>
      </c>
      <c r="B189" s="21">
        <v>0.5</v>
      </c>
      <c r="C189" s="20">
        <v>31.623000000000001</v>
      </c>
      <c r="D189" s="20">
        <f t="shared" si="10"/>
        <v>458.65366740000002</v>
      </c>
      <c r="E189" s="23">
        <v>904.51499999999999</v>
      </c>
      <c r="F189" s="24">
        <v>86.442520000000002</v>
      </c>
      <c r="G189" s="23"/>
      <c r="H189" s="23"/>
      <c r="I189" s="23"/>
      <c r="J189" s="23"/>
      <c r="K189" s="28"/>
      <c r="L189" s="28"/>
      <c r="M189" s="21"/>
      <c r="N189" s="20"/>
      <c r="O189" s="19"/>
      <c r="P189" s="19"/>
      <c r="Q189" s="19"/>
      <c r="R189" s="19"/>
      <c r="S189" s="19"/>
      <c r="T189" s="19"/>
      <c r="U189" s="19"/>
      <c r="V189" s="19"/>
      <c r="W189" s="19"/>
      <c r="X189" s="19"/>
      <c r="Y189" s="19"/>
      <c r="Z189" s="19"/>
      <c r="AA189" s="19"/>
    </row>
    <row r="190" spans="1:27" ht="12.75" customHeight="1" x14ac:dyDescent="0.2">
      <c r="A190" s="29">
        <f t="shared" si="8"/>
        <v>274.14999999999998</v>
      </c>
      <c r="B190" s="21">
        <v>1</v>
      </c>
      <c r="C190" s="20">
        <v>32.0291</v>
      </c>
      <c r="D190" s="20">
        <f t="shared" si="10"/>
        <v>464.54366057999999</v>
      </c>
      <c r="E190" s="23">
        <v>901.94500000000005</v>
      </c>
      <c r="F190" s="24">
        <v>87.733840000000001</v>
      </c>
      <c r="G190" s="23"/>
      <c r="H190" s="23"/>
      <c r="I190" s="23"/>
      <c r="J190" s="23"/>
      <c r="K190" s="28"/>
      <c r="L190" s="28"/>
      <c r="M190" s="21"/>
      <c r="N190" s="20"/>
      <c r="O190" s="19"/>
      <c r="P190" s="19"/>
      <c r="Q190" s="19"/>
      <c r="R190" s="19"/>
      <c r="S190" s="19"/>
      <c r="T190" s="19"/>
      <c r="U190" s="19"/>
      <c r="V190" s="19"/>
      <c r="W190" s="19"/>
      <c r="X190" s="19"/>
      <c r="Y190" s="19"/>
      <c r="Z190" s="19"/>
      <c r="AA190" s="19"/>
    </row>
    <row r="191" spans="1:27" ht="12.75" customHeight="1" x14ac:dyDescent="0.2">
      <c r="A191" s="29">
        <f t="shared" si="8"/>
        <v>274.64999999999998</v>
      </c>
      <c r="B191" s="21">
        <v>1.5</v>
      </c>
      <c r="C191" s="20">
        <v>32.438899999999997</v>
      </c>
      <c r="D191" s="20">
        <f t="shared" si="10"/>
        <v>470.48731781999993</v>
      </c>
      <c r="E191" s="23">
        <v>899.35799999999995</v>
      </c>
      <c r="F191" s="24">
        <v>89.04513</v>
      </c>
      <c r="G191" s="23"/>
      <c r="H191" s="23"/>
      <c r="I191" s="23"/>
      <c r="J191" s="23"/>
      <c r="K191" s="28"/>
      <c r="L191" s="28"/>
      <c r="M191" s="21"/>
      <c r="N191" s="20"/>
      <c r="O191" s="19"/>
      <c r="P191" s="19"/>
      <c r="Q191" s="19"/>
      <c r="R191" s="19"/>
      <c r="S191" s="19"/>
      <c r="T191" s="19"/>
      <c r="U191" s="19"/>
      <c r="V191" s="19"/>
      <c r="W191" s="19"/>
      <c r="X191" s="19"/>
      <c r="Y191" s="19"/>
      <c r="Z191" s="19"/>
      <c r="AA191" s="19"/>
    </row>
    <row r="192" spans="1:27" ht="12.75" customHeight="1" x14ac:dyDescent="0.2">
      <c r="A192" s="29">
        <f t="shared" si="8"/>
        <v>275.14999999999998</v>
      </c>
      <c r="B192" s="21">
        <v>2</v>
      </c>
      <c r="C192" s="20">
        <v>32.852499999999999</v>
      </c>
      <c r="D192" s="20">
        <f t="shared" si="10"/>
        <v>476.48608949999999</v>
      </c>
      <c r="E192" s="23">
        <v>896.75300000000004</v>
      </c>
      <c r="F192" s="24">
        <v>90.376859999999994</v>
      </c>
      <c r="G192" s="23"/>
      <c r="H192" s="23"/>
      <c r="I192" s="23"/>
      <c r="J192" s="23"/>
      <c r="K192" s="28"/>
      <c r="L192" s="28"/>
      <c r="M192" s="21"/>
      <c r="N192" s="20"/>
      <c r="O192" s="19"/>
      <c r="P192" s="19"/>
      <c r="Q192" s="19"/>
      <c r="R192" s="19"/>
      <c r="S192" s="19"/>
      <c r="T192" s="19"/>
      <c r="U192" s="19"/>
      <c r="V192" s="19"/>
      <c r="W192" s="19"/>
      <c r="X192" s="19"/>
      <c r="Y192" s="19"/>
      <c r="Z192" s="19"/>
      <c r="AA192" s="19"/>
    </row>
    <row r="193" spans="1:27" ht="12.75" customHeight="1" x14ac:dyDescent="0.2">
      <c r="A193" s="29">
        <f t="shared" si="8"/>
        <v>275.64999999999998</v>
      </c>
      <c r="B193" s="21">
        <v>2.5</v>
      </c>
      <c r="C193" s="20">
        <v>33.270000000000003</v>
      </c>
      <c r="D193" s="20">
        <f t="shared" si="10"/>
        <v>482.54142600000006</v>
      </c>
      <c r="E193" s="23">
        <v>894.12900000000002</v>
      </c>
      <c r="F193" s="24">
        <v>91.729489999999998</v>
      </c>
      <c r="G193" s="23"/>
      <c r="H193" s="23"/>
      <c r="I193" s="23"/>
      <c r="J193" s="23"/>
      <c r="K193" s="28"/>
      <c r="L193" s="28"/>
      <c r="M193" s="21"/>
      <c r="N193" s="20"/>
      <c r="O193" s="19"/>
      <c r="P193" s="19"/>
      <c r="Q193" s="19"/>
      <c r="R193" s="19"/>
      <c r="S193" s="19"/>
      <c r="T193" s="19"/>
      <c r="U193" s="19"/>
      <c r="V193" s="19"/>
      <c r="W193" s="19"/>
      <c r="X193" s="19"/>
      <c r="Y193" s="19"/>
      <c r="Z193" s="19"/>
      <c r="AA193" s="19"/>
    </row>
    <row r="194" spans="1:27" ht="12.75" customHeight="1" x14ac:dyDescent="0.2">
      <c r="A194" s="29">
        <f t="shared" si="8"/>
        <v>276.14999999999998</v>
      </c>
      <c r="B194" s="21">
        <v>3</v>
      </c>
      <c r="C194" s="20">
        <v>33.691299999999998</v>
      </c>
      <c r="D194" s="20">
        <f t="shared" si="10"/>
        <v>488.65187693999997</v>
      </c>
      <c r="E194" s="23">
        <v>891.48500000000001</v>
      </c>
      <c r="F194" s="24">
        <v>93.103489999999994</v>
      </c>
      <c r="G194" s="23"/>
      <c r="H194" s="23"/>
      <c r="I194" s="23"/>
      <c r="J194" s="23"/>
      <c r="K194" s="28"/>
      <c r="L194" s="28"/>
      <c r="M194" s="21"/>
      <c r="N194" s="20"/>
      <c r="O194" s="19"/>
      <c r="P194" s="19"/>
      <c r="Q194" s="19"/>
      <c r="R194" s="19"/>
      <c r="S194" s="19"/>
      <c r="T194" s="19"/>
      <c r="U194" s="19"/>
      <c r="V194" s="19"/>
      <c r="W194" s="19"/>
      <c r="X194" s="19"/>
      <c r="Y194" s="19"/>
      <c r="Z194" s="19"/>
      <c r="AA194" s="19"/>
    </row>
    <row r="195" spans="1:27" ht="12.75" customHeight="1" x14ac:dyDescent="0.2">
      <c r="A195" s="29">
        <f t="shared" si="8"/>
        <v>276.64999999999998</v>
      </c>
      <c r="B195" s="21">
        <v>3.5</v>
      </c>
      <c r="C195" s="20">
        <v>34.116599999999998</v>
      </c>
      <c r="D195" s="20">
        <f t="shared" si="10"/>
        <v>494.82034307999999</v>
      </c>
      <c r="E195" s="23">
        <v>888.82299999999998</v>
      </c>
      <c r="F195" s="24">
        <v>94.499390000000005</v>
      </c>
      <c r="G195" s="23"/>
      <c r="H195" s="23"/>
      <c r="I195" s="23"/>
      <c r="J195" s="23"/>
      <c r="K195" s="28"/>
      <c r="L195" s="28"/>
      <c r="M195" s="21"/>
      <c r="N195" s="20"/>
      <c r="O195" s="19"/>
      <c r="P195" s="19"/>
      <c r="Q195" s="19"/>
      <c r="R195" s="19"/>
      <c r="S195" s="19"/>
      <c r="T195" s="19"/>
      <c r="U195" s="19"/>
      <c r="V195" s="19"/>
      <c r="W195" s="19"/>
      <c r="X195" s="19"/>
      <c r="Y195" s="19"/>
      <c r="Z195" s="19"/>
      <c r="AA195" s="19"/>
    </row>
    <row r="196" spans="1:27" ht="12.75" customHeight="1" x14ac:dyDescent="0.2">
      <c r="A196" s="29">
        <f t="shared" si="8"/>
        <v>277.14999999999998</v>
      </c>
      <c r="B196" s="21">
        <v>4</v>
      </c>
      <c r="C196" s="20">
        <v>34.5458</v>
      </c>
      <c r="D196" s="20">
        <f t="shared" si="10"/>
        <v>501.04537404000001</v>
      </c>
      <c r="E196" s="23">
        <v>886.13900000000001</v>
      </c>
      <c r="F196" s="24">
        <v>95.917680000000004</v>
      </c>
      <c r="G196" s="23"/>
      <c r="H196" s="23"/>
      <c r="I196" s="23"/>
      <c r="J196" s="23"/>
      <c r="K196" s="28"/>
      <c r="L196" s="28"/>
      <c r="M196" s="21"/>
      <c r="N196" s="20"/>
      <c r="O196" s="19"/>
      <c r="P196" s="19"/>
      <c r="Q196" s="19"/>
      <c r="R196" s="19"/>
      <c r="S196" s="19"/>
      <c r="T196" s="19"/>
      <c r="U196" s="19"/>
      <c r="V196" s="19"/>
      <c r="W196" s="19"/>
      <c r="X196" s="19"/>
      <c r="Y196" s="19"/>
      <c r="Z196" s="19"/>
      <c r="AA196" s="19"/>
    </row>
    <row r="197" spans="1:27" ht="12.75" customHeight="1" x14ac:dyDescent="0.2">
      <c r="A197" s="29">
        <f t="shared" si="8"/>
        <v>277.64999999999998</v>
      </c>
      <c r="B197" s="21">
        <v>4.5</v>
      </c>
      <c r="C197" s="20">
        <v>34.978900000000003</v>
      </c>
      <c r="D197" s="20">
        <f t="shared" si="10"/>
        <v>507.32696982000004</v>
      </c>
      <c r="E197" s="23">
        <v>883.43600000000004</v>
      </c>
      <c r="F197" s="24">
        <v>97.358930000000001</v>
      </c>
      <c r="G197" s="23"/>
      <c r="H197" s="23"/>
      <c r="I197" s="23"/>
      <c r="J197" s="23"/>
      <c r="K197" s="28"/>
      <c r="L197" s="28"/>
      <c r="M197" s="21"/>
      <c r="N197" s="20"/>
      <c r="O197" s="19"/>
      <c r="P197" s="19"/>
      <c r="Q197" s="19"/>
      <c r="R197" s="19"/>
      <c r="S197" s="19"/>
      <c r="T197" s="19"/>
      <c r="U197" s="19"/>
      <c r="V197" s="19"/>
      <c r="W197" s="19"/>
      <c r="X197" s="19"/>
      <c r="Y197" s="19"/>
      <c r="Z197" s="19"/>
      <c r="AA197" s="19"/>
    </row>
    <row r="198" spans="1:27" ht="12.75" customHeight="1" x14ac:dyDescent="0.2">
      <c r="A198" s="29">
        <f t="shared" ref="A198:A261" si="12">B198+273.15</f>
        <v>278.14999999999998</v>
      </c>
      <c r="B198" s="21">
        <v>5</v>
      </c>
      <c r="C198" s="20">
        <v>35.4161</v>
      </c>
      <c r="D198" s="20">
        <f t="shared" si="10"/>
        <v>513.66803117999996</v>
      </c>
      <c r="E198" s="23">
        <v>880.71100000000001</v>
      </c>
      <c r="F198" s="24">
        <v>98.823689999999999</v>
      </c>
      <c r="G198" s="23"/>
      <c r="H198" s="23"/>
      <c r="I198" s="23"/>
      <c r="J198" s="23"/>
      <c r="K198" s="28"/>
      <c r="L198" s="28"/>
      <c r="M198" s="21"/>
      <c r="N198" s="20"/>
      <c r="O198" s="19"/>
      <c r="P198" s="19"/>
      <c r="Q198" s="19"/>
      <c r="R198" s="19"/>
      <c r="S198" s="19"/>
      <c r="T198" s="19"/>
      <c r="U198" s="19"/>
      <c r="V198" s="19"/>
      <c r="W198" s="19"/>
      <c r="X198" s="19"/>
      <c r="Y198" s="19"/>
      <c r="Z198" s="19"/>
      <c r="AA198" s="19"/>
    </row>
    <row r="199" spans="1:27" ht="12.75" customHeight="1" x14ac:dyDescent="0.2">
      <c r="A199" s="29">
        <f t="shared" si="12"/>
        <v>278.64999999999998</v>
      </c>
      <c r="B199" s="21">
        <v>5.5</v>
      </c>
      <c r="C199" s="20">
        <v>35.857199999999999</v>
      </c>
      <c r="D199" s="20">
        <f t="shared" ref="D199:D261" si="13">C199*14.5038</f>
        <v>520.06565735999993</v>
      </c>
      <c r="E199" s="23">
        <v>877.96500000000003</v>
      </c>
      <c r="F199" s="24">
        <v>100.31256</v>
      </c>
      <c r="G199" s="23"/>
      <c r="H199" s="23"/>
      <c r="I199" s="23"/>
      <c r="J199" s="23"/>
      <c r="K199" s="28"/>
      <c r="L199" s="28"/>
      <c r="M199" s="21"/>
      <c r="N199" s="20"/>
      <c r="O199" s="19"/>
      <c r="P199" s="19"/>
      <c r="Q199" s="19"/>
      <c r="R199" s="19"/>
      <c r="S199" s="19"/>
      <c r="T199" s="19"/>
      <c r="U199" s="19"/>
      <c r="V199" s="19"/>
      <c r="W199" s="19"/>
      <c r="X199" s="19"/>
      <c r="Y199" s="19"/>
      <c r="Z199" s="19"/>
      <c r="AA199" s="19"/>
    </row>
    <row r="200" spans="1:27" ht="12.75" customHeight="1" x14ac:dyDescent="0.2">
      <c r="A200" s="29">
        <f t="shared" si="12"/>
        <v>279.14999999999998</v>
      </c>
      <c r="B200" s="21">
        <v>6</v>
      </c>
      <c r="C200" s="20">
        <v>36.302300000000002</v>
      </c>
      <c r="D200" s="20">
        <f t="shared" si="13"/>
        <v>526.52129874000002</v>
      </c>
      <c r="E200" s="23">
        <v>875.19600000000003</v>
      </c>
      <c r="F200" s="24">
        <v>101.82615</v>
      </c>
      <c r="G200" s="23"/>
      <c r="H200" s="23"/>
      <c r="I200" s="23"/>
      <c r="J200" s="23"/>
      <c r="K200" s="28"/>
      <c r="L200" s="28"/>
      <c r="M200" s="21"/>
      <c r="N200" s="20"/>
      <c r="O200" s="19"/>
      <c r="P200" s="19"/>
      <c r="Q200" s="19"/>
      <c r="R200" s="19"/>
      <c r="S200" s="19"/>
      <c r="T200" s="19"/>
      <c r="U200" s="19"/>
      <c r="V200" s="19"/>
      <c r="W200" s="19"/>
      <c r="X200" s="19"/>
      <c r="Y200" s="19"/>
      <c r="Z200" s="19"/>
      <c r="AA200" s="19"/>
    </row>
    <row r="201" spans="1:27" ht="12.75" customHeight="1" x14ac:dyDescent="0.2">
      <c r="A201" s="29">
        <f t="shared" si="12"/>
        <v>279.64999999999998</v>
      </c>
      <c r="B201" s="21">
        <v>6.5</v>
      </c>
      <c r="C201" s="20">
        <v>36.7515</v>
      </c>
      <c r="D201" s="20">
        <f t="shared" si="13"/>
        <v>533.03640570000005</v>
      </c>
      <c r="E201" s="23">
        <v>872.404</v>
      </c>
      <c r="F201" s="24">
        <v>103.36509</v>
      </c>
      <c r="G201" s="23"/>
      <c r="H201" s="23"/>
      <c r="I201" s="23"/>
      <c r="J201" s="23"/>
      <c r="K201" s="28"/>
      <c r="L201" s="28"/>
      <c r="M201" s="21"/>
      <c r="N201" s="20"/>
      <c r="O201" s="19"/>
      <c r="P201" s="19"/>
      <c r="Q201" s="19"/>
      <c r="R201" s="19"/>
      <c r="S201" s="19"/>
      <c r="T201" s="19"/>
      <c r="U201" s="19"/>
      <c r="V201" s="19"/>
      <c r="W201" s="19"/>
      <c r="X201" s="19"/>
      <c r="Y201" s="19"/>
      <c r="Z201" s="19"/>
      <c r="AA201" s="19"/>
    </row>
    <row r="202" spans="1:27" ht="12.75" customHeight="1" x14ac:dyDescent="0.2">
      <c r="A202" s="29">
        <f t="shared" si="12"/>
        <v>280.14999999999998</v>
      </c>
      <c r="B202" s="21">
        <v>7</v>
      </c>
      <c r="C202" s="20">
        <v>37.204799999999999</v>
      </c>
      <c r="D202" s="20">
        <f t="shared" si="13"/>
        <v>539.61097824000001</v>
      </c>
      <c r="E202" s="23">
        <v>869.58900000000006</v>
      </c>
      <c r="F202" s="24">
        <v>104.93006</v>
      </c>
      <c r="G202" s="23"/>
      <c r="H202" s="23"/>
      <c r="I202" s="23"/>
      <c r="J202" s="23"/>
      <c r="K202" s="28"/>
      <c r="L202" s="28"/>
      <c r="M202" s="21"/>
      <c r="N202" s="20"/>
      <c r="O202" s="19"/>
      <c r="P202" s="19"/>
      <c r="Q202" s="19"/>
      <c r="R202" s="19"/>
      <c r="S202" s="19"/>
      <c r="T202" s="19"/>
      <c r="U202" s="19"/>
      <c r="V202" s="19"/>
      <c r="W202" s="19"/>
      <c r="X202" s="19"/>
      <c r="Y202" s="19"/>
      <c r="Z202" s="19"/>
      <c r="AA202" s="19"/>
    </row>
    <row r="203" spans="1:27" ht="12.75" customHeight="1" x14ac:dyDescent="0.2">
      <c r="A203" s="29">
        <f t="shared" si="12"/>
        <v>280.64999999999998</v>
      </c>
      <c r="B203" s="21">
        <v>7.5</v>
      </c>
      <c r="C203" s="20">
        <v>37.662300000000002</v>
      </c>
      <c r="D203" s="20">
        <f t="shared" si="13"/>
        <v>546.24646674000007</v>
      </c>
      <c r="E203" s="23">
        <v>866.75</v>
      </c>
      <c r="F203" s="24">
        <v>106.52176</v>
      </c>
      <c r="G203" s="23"/>
      <c r="H203" s="23"/>
      <c r="I203" s="23"/>
      <c r="J203" s="23"/>
      <c r="K203" s="28"/>
      <c r="L203" s="28"/>
      <c r="M203" s="21"/>
      <c r="N203" s="20"/>
      <c r="O203" s="19"/>
      <c r="P203" s="19"/>
      <c r="Q203" s="19"/>
      <c r="R203" s="19"/>
      <c r="S203" s="19"/>
      <c r="T203" s="19"/>
      <c r="U203" s="19"/>
      <c r="V203" s="19"/>
      <c r="W203" s="19"/>
      <c r="X203" s="19"/>
      <c r="Y203" s="19"/>
      <c r="Z203" s="19"/>
      <c r="AA203" s="19"/>
    </row>
    <row r="204" spans="1:27" ht="12.75" customHeight="1" x14ac:dyDescent="0.2">
      <c r="A204" s="29">
        <f t="shared" si="12"/>
        <v>281.14999999999998</v>
      </c>
      <c r="B204" s="21">
        <v>8</v>
      </c>
      <c r="C204" s="20">
        <v>38.123800000000003</v>
      </c>
      <c r="D204" s="20">
        <f t="shared" si="13"/>
        <v>552.93997044000002</v>
      </c>
      <c r="E204" s="23">
        <v>863.88599999999997</v>
      </c>
      <c r="F204" s="24">
        <v>108.14091000000001</v>
      </c>
      <c r="G204" s="23"/>
      <c r="H204" s="23"/>
      <c r="I204" s="23"/>
      <c r="J204" s="23"/>
      <c r="K204" s="28"/>
      <c r="L204" s="28"/>
      <c r="M204" s="21"/>
      <c r="N204" s="20"/>
      <c r="O204" s="19"/>
      <c r="P204" s="19"/>
      <c r="Q204" s="19"/>
      <c r="R204" s="19"/>
      <c r="S204" s="19"/>
      <c r="T204" s="19"/>
      <c r="U204" s="19"/>
      <c r="V204" s="19"/>
      <c r="W204" s="19"/>
      <c r="X204" s="19"/>
      <c r="Y204" s="19"/>
      <c r="Z204" s="19"/>
      <c r="AA204" s="19"/>
    </row>
    <row r="205" spans="1:27" ht="12.75" customHeight="1" x14ac:dyDescent="0.2">
      <c r="A205" s="29">
        <f t="shared" si="12"/>
        <v>281.64999999999998</v>
      </c>
      <c r="B205" s="21">
        <v>8.5</v>
      </c>
      <c r="C205" s="20">
        <v>38.589500000000001</v>
      </c>
      <c r="D205" s="20">
        <f t="shared" si="13"/>
        <v>559.69439009999996</v>
      </c>
      <c r="E205" s="23">
        <v>860.99699999999996</v>
      </c>
      <c r="F205" s="24">
        <v>109.78827</v>
      </c>
      <c r="G205" s="23"/>
      <c r="H205" s="23"/>
      <c r="I205" s="23"/>
      <c r="J205" s="23"/>
      <c r="K205" s="28"/>
      <c r="L205" s="28"/>
      <c r="M205" s="21"/>
      <c r="N205" s="20"/>
      <c r="O205" s="19"/>
      <c r="P205" s="19"/>
      <c r="Q205" s="19"/>
      <c r="R205" s="19"/>
      <c r="S205" s="19"/>
      <c r="T205" s="19"/>
      <c r="U205" s="19"/>
      <c r="V205" s="19"/>
      <c r="W205" s="19"/>
      <c r="X205" s="19"/>
      <c r="Y205" s="19"/>
      <c r="Z205" s="19"/>
      <c r="AA205" s="19"/>
    </row>
    <row r="206" spans="1:27" ht="12.75" customHeight="1" x14ac:dyDescent="0.2">
      <c r="A206" s="29">
        <f t="shared" si="12"/>
        <v>282.14999999999998</v>
      </c>
      <c r="B206" s="21">
        <v>9</v>
      </c>
      <c r="C206" s="20">
        <v>39.0595</v>
      </c>
      <c r="D206" s="20">
        <f t="shared" si="13"/>
        <v>566.51117609999994</v>
      </c>
      <c r="E206" s="23">
        <v>858.08100000000002</v>
      </c>
      <c r="F206" s="24">
        <v>111.46465999999999</v>
      </c>
      <c r="G206" s="23"/>
      <c r="H206" s="23"/>
      <c r="I206" s="23"/>
      <c r="J206" s="23"/>
      <c r="K206" s="28"/>
      <c r="L206" s="28"/>
      <c r="M206" s="21"/>
      <c r="N206" s="20"/>
      <c r="O206" s="19"/>
      <c r="P206" s="19"/>
      <c r="Q206" s="19"/>
      <c r="R206" s="19"/>
      <c r="S206" s="19"/>
      <c r="T206" s="19"/>
      <c r="U206" s="19"/>
      <c r="V206" s="19"/>
      <c r="W206" s="19"/>
      <c r="X206" s="19"/>
      <c r="Y206" s="19"/>
      <c r="Z206" s="19"/>
      <c r="AA206" s="19"/>
    </row>
    <row r="207" spans="1:27" ht="12.75" customHeight="1" x14ac:dyDescent="0.2">
      <c r="A207" s="29">
        <f t="shared" si="12"/>
        <v>282.64999999999998</v>
      </c>
      <c r="B207" s="21">
        <v>9.5</v>
      </c>
      <c r="C207" s="20">
        <v>39.5336</v>
      </c>
      <c r="D207" s="20">
        <f t="shared" si="13"/>
        <v>573.38742767999997</v>
      </c>
      <c r="E207" s="23">
        <v>855.13800000000003</v>
      </c>
      <c r="F207" s="24">
        <v>113.17089</v>
      </c>
      <c r="G207" s="23"/>
      <c r="H207" s="23"/>
      <c r="I207" s="23"/>
      <c r="J207" s="23"/>
      <c r="K207" s="28"/>
      <c r="L207" s="28"/>
      <c r="M207" s="21"/>
      <c r="N207" s="20"/>
      <c r="O207" s="19"/>
      <c r="P207" s="19"/>
      <c r="Q207" s="19"/>
      <c r="R207" s="19"/>
      <c r="S207" s="19"/>
      <c r="T207" s="19"/>
      <c r="U207" s="19"/>
      <c r="V207" s="19"/>
      <c r="W207" s="19"/>
      <c r="X207" s="19"/>
      <c r="Y207" s="19"/>
      <c r="Z207" s="19"/>
      <c r="AA207" s="19"/>
    </row>
    <row r="208" spans="1:27" ht="12.75" customHeight="1" x14ac:dyDescent="0.2">
      <c r="A208" s="29">
        <f t="shared" si="12"/>
        <v>283.14999999999998</v>
      </c>
      <c r="B208" s="21">
        <v>10</v>
      </c>
      <c r="C208" s="20">
        <v>40.012</v>
      </c>
      <c r="D208" s="20">
        <f t="shared" si="13"/>
        <v>580.32604560000004</v>
      </c>
      <c r="E208" s="23">
        <v>852.16700000000003</v>
      </c>
      <c r="F208" s="24">
        <v>114.90786</v>
      </c>
      <c r="G208" s="23"/>
      <c r="H208" s="23"/>
      <c r="I208" s="23"/>
      <c r="J208" s="23"/>
      <c r="K208" s="28"/>
      <c r="L208" s="28"/>
      <c r="M208" s="21"/>
      <c r="N208" s="20"/>
      <c r="O208" s="19"/>
      <c r="P208" s="19"/>
      <c r="Q208" s="19"/>
      <c r="R208" s="19"/>
      <c r="S208" s="19"/>
      <c r="T208" s="19"/>
      <c r="U208" s="19"/>
      <c r="V208" s="19"/>
      <c r="W208" s="19"/>
      <c r="X208" s="19"/>
      <c r="Y208" s="19"/>
      <c r="Z208" s="19"/>
      <c r="AA208" s="19"/>
    </row>
    <row r="209" spans="1:27" ht="12.75" customHeight="1" x14ac:dyDescent="0.2">
      <c r="A209" s="29">
        <f t="shared" si="12"/>
        <v>283.64999999999998</v>
      </c>
      <c r="B209" s="21">
        <v>10.5</v>
      </c>
      <c r="C209" s="20">
        <v>40.494700000000002</v>
      </c>
      <c r="D209" s="20">
        <f t="shared" si="13"/>
        <v>587.32702986000004</v>
      </c>
      <c r="E209" s="23">
        <v>849.16800000000001</v>
      </c>
      <c r="F209" s="24">
        <v>116.67648</v>
      </c>
      <c r="G209" s="23"/>
      <c r="H209" s="23"/>
      <c r="I209" s="23"/>
      <c r="J209" s="23"/>
      <c r="K209" s="28"/>
      <c r="L209" s="28"/>
      <c r="M209" s="21"/>
      <c r="N209" s="20"/>
      <c r="O209" s="19"/>
      <c r="P209" s="19"/>
      <c r="Q209" s="19"/>
      <c r="R209" s="19"/>
      <c r="S209" s="19"/>
      <c r="T209" s="19"/>
      <c r="U209" s="19"/>
      <c r="V209" s="19"/>
      <c r="W209" s="19"/>
      <c r="X209" s="19"/>
      <c r="Y209" s="19"/>
      <c r="Z209" s="19"/>
      <c r="AA209" s="19"/>
    </row>
    <row r="210" spans="1:27" ht="12.75" customHeight="1" x14ac:dyDescent="0.2">
      <c r="A210" s="29">
        <f t="shared" si="12"/>
        <v>284.14999999999998</v>
      </c>
      <c r="B210" s="21">
        <v>11</v>
      </c>
      <c r="C210" s="20">
        <v>40.981699999999996</v>
      </c>
      <c r="D210" s="20">
        <f t="shared" si="13"/>
        <v>594.39038045999996</v>
      </c>
      <c r="E210" s="23">
        <v>846.13900000000001</v>
      </c>
      <c r="F210" s="24">
        <v>118.47772999999999</v>
      </c>
      <c r="G210" s="23"/>
      <c r="H210" s="23"/>
      <c r="I210" s="23"/>
      <c r="J210" s="23"/>
      <c r="K210" s="28"/>
      <c r="L210" s="28"/>
      <c r="M210" s="21"/>
      <c r="N210" s="20"/>
      <c r="O210" s="19"/>
      <c r="P210" s="19"/>
      <c r="Q210" s="19"/>
      <c r="R210" s="19"/>
      <c r="S210" s="19"/>
      <c r="T210" s="19"/>
      <c r="U210" s="19"/>
      <c r="V210" s="19"/>
      <c r="W210" s="19"/>
      <c r="X210" s="19"/>
      <c r="Y210" s="19"/>
      <c r="Z210" s="19"/>
      <c r="AA210" s="19"/>
    </row>
    <row r="211" spans="1:27" ht="12.75" customHeight="1" x14ac:dyDescent="0.2">
      <c r="A211" s="29">
        <f t="shared" si="12"/>
        <v>284.64999999999998</v>
      </c>
      <c r="B211" s="21">
        <v>11.5</v>
      </c>
      <c r="C211" s="20">
        <v>41.473100000000002</v>
      </c>
      <c r="D211" s="20">
        <f t="shared" si="13"/>
        <v>601.51754778000009</v>
      </c>
      <c r="E211" s="23">
        <v>843.07899999999995</v>
      </c>
      <c r="F211" s="24">
        <v>120.31262</v>
      </c>
      <c r="G211" s="23"/>
      <c r="H211" s="23"/>
      <c r="I211" s="23"/>
      <c r="J211" s="23"/>
      <c r="K211" s="28"/>
      <c r="L211" s="28"/>
      <c r="M211" s="21"/>
      <c r="N211" s="20"/>
      <c r="O211" s="19"/>
      <c r="P211" s="19"/>
      <c r="Q211" s="19"/>
      <c r="R211" s="19"/>
      <c r="S211" s="19"/>
      <c r="T211" s="19"/>
      <c r="U211" s="19"/>
      <c r="V211" s="19"/>
      <c r="W211" s="19"/>
      <c r="X211" s="19"/>
      <c r="Y211" s="19"/>
      <c r="Z211" s="19"/>
      <c r="AA211" s="19"/>
    </row>
    <row r="212" spans="1:27" ht="12.75" customHeight="1" x14ac:dyDescent="0.2">
      <c r="A212" s="29">
        <f t="shared" si="12"/>
        <v>285.14999999999998</v>
      </c>
      <c r="B212" s="21">
        <v>12</v>
      </c>
      <c r="C212" s="20">
        <v>41.968800000000002</v>
      </c>
      <c r="D212" s="20">
        <f t="shared" si="13"/>
        <v>608.70708144000002</v>
      </c>
      <c r="E212" s="23">
        <v>839.98800000000006</v>
      </c>
      <c r="F212" s="24">
        <v>122.18223</v>
      </c>
      <c r="G212" s="23"/>
      <c r="H212" s="23"/>
      <c r="I212" s="23"/>
      <c r="J212" s="23"/>
      <c r="K212" s="28"/>
      <c r="L212" s="28"/>
      <c r="M212" s="21"/>
      <c r="N212" s="20"/>
      <c r="O212" s="19"/>
      <c r="P212" s="19"/>
      <c r="Q212" s="19"/>
      <c r="R212" s="19"/>
      <c r="S212" s="19"/>
      <c r="T212" s="19"/>
      <c r="U212" s="19"/>
      <c r="V212" s="19"/>
      <c r="W212" s="19"/>
      <c r="X212" s="19"/>
      <c r="Y212" s="19"/>
      <c r="Z212" s="19"/>
      <c r="AA212" s="19"/>
    </row>
    <row r="213" spans="1:27" ht="12.75" customHeight="1" x14ac:dyDescent="0.2">
      <c r="A213" s="29">
        <f t="shared" si="12"/>
        <v>285.64999999999998</v>
      </c>
      <c r="B213" s="21">
        <v>12.5</v>
      </c>
      <c r="C213" s="20">
        <v>42.469000000000001</v>
      </c>
      <c r="D213" s="20">
        <f t="shared" si="13"/>
        <v>615.96188219999999</v>
      </c>
      <c r="E213" s="23">
        <v>836.86300000000006</v>
      </c>
      <c r="F213" s="24">
        <v>124.08768000000001</v>
      </c>
      <c r="G213" s="23"/>
      <c r="H213" s="23"/>
      <c r="I213" s="23"/>
      <c r="J213" s="23"/>
      <c r="K213" s="28"/>
      <c r="L213" s="28"/>
      <c r="M213" s="21"/>
      <c r="N213" s="20"/>
      <c r="O213" s="19"/>
      <c r="P213" s="19"/>
      <c r="Q213" s="19"/>
      <c r="R213" s="19"/>
      <c r="S213" s="19"/>
      <c r="T213" s="19"/>
      <c r="U213" s="19"/>
      <c r="V213" s="19"/>
      <c r="W213" s="19"/>
      <c r="X213" s="19"/>
      <c r="Y213" s="19"/>
      <c r="Z213" s="19"/>
      <c r="AA213" s="19"/>
    </row>
    <row r="214" spans="1:27" ht="12.75" customHeight="1" x14ac:dyDescent="0.2">
      <c r="A214" s="29">
        <f t="shared" si="12"/>
        <v>286.14999999999998</v>
      </c>
      <c r="B214" s="21">
        <v>13</v>
      </c>
      <c r="C214" s="20">
        <v>42.973599999999998</v>
      </c>
      <c r="D214" s="20">
        <f t="shared" si="13"/>
        <v>623.28049967999993</v>
      </c>
      <c r="E214" s="23">
        <v>833.70500000000004</v>
      </c>
      <c r="F214" s="24">
        <v>126.03017</v>
      </c>
      <c r="G214" s="23"/>
      <c r="H214" s="23"/>
      <c r="I214" s="23"/>
      <c r="J214" s="23"/>
      <c r="K214" s="28"/>
      <c r="L214" s="28"/>
      <c r="M214" s="21"/>
      <c r="N214" s="20"/>
      <c r="O214" s="19"/>
      <c r="P214" s="19"/>
      <c r="Q214" s="19"/>
      <c r="R214" s="19"/>
      <c r="S214" s="19"/>
      <c r="T214" s="19"/>
      <c r="U214" s="19"/>
      <c r="V214" s="19"/>
      <c r="W214" s="19"/>
      <c r="X214" s="19"/>
      <c r="Y214" s="19"/>
      <c r="Z214" s="19"/>
      <c r="AA214" s="19"/>
    </row>
    <row r="215" spans="1:27" ht="12.75" customHeight="1" x14ac:dyDescent="0.2">
      <c r="A215" s="29">
        <f t="shared" si="12"/>
        <v>286.64999999999998</v>
      </c>
      <c r="B215" s="21">
        <v>13.5</v>
      </c>
      <c r="C215" s="20">
        <v>43.482700000000001</v>
      </c>
      <c r="D215" s="20">
        <f t="shared" si="13"/>
        <v>630.66438426000002</v>
      </c>
      <c r="E215" s="23">
        <v>830.51199999999994</v>
      </c>
      <c r="F215" s="24">
        <v>128.01096000000001</v>
      </c>
      <c r="G215" s="23"/>
      <c r="H215" s="23"/>
      <c r="I215" s="23"/>
      <c r="J215" s="23"/>
      <c r="K215" s="28"/>
      <c r="L215" s="28"/>
      <c r="M215" s="21"/>
      <c r="N215" s="20"/>
      <c r="O215" s="19"/>
      <c r="P215" s="19"/>
      <c r="Q215" s="19"/>
      <c r="R215" s="19"/>
      <c r="S215" s="19"/>
      <c r="T215" s="19"/>
      <c r="U215" s="19"/>
      <c r="V215" s="19"/>
      <c r="W215" s="19"/>
      <c r="X215" s="19"/>
      <c r="Y215" s="19"/>
      <c r="Z215" s="19"/>
      <c r="AA215" s="19"/>
    </row>
    <row r="216" spans="1:27" ht="12.75" customHeight="1" x14ac:dyDescent="0.2">
      <c r="A216" s="29">
        <f t="shared" si="12"/>
        <v>287.14999999999998</v>
      </c>
      <c r="B216" s="21">
        <v>14</v>
      </c>
      <c r="C216" s="20">
        <v>43.996299999999998</v>
      </c>
      <c r="D216" s="20">
        <f t="shared" si="13"/>
        <v>638.11353594000002</v>
      </c>
      <c r="E216" s="23">
        <v>827.28300000000002</v>
      </c>
      <c r="F216" s="24">
        <v>130.03138999999999</v>
      </c>
      <c r="G216" s="23"/>
      <c r="H216" s="23"/>
      <c r="I216" s="23"/>
      <c r="J216" s="23"/>
      <c r="K216" s="28"/>
      <c r="L216" s="28"/>
      <c r="M216" s="21"/>
      <c r="N216" s="20"/>
      <c r="O216" s="19"/>
      <c r="P216" s="19"/>
      <c r="Q216" s="19"/>
      <c r="R216" s="19"/>
      <c r="S216" s="19"/>
      <c r="T216" s="19"/>
      <c r="U216" s="19"/>
      <c r="V216" s="19"/>
      <c r="W216" s="19"/>
      <c r="X216" s="19"/>
      <c r="Y216" s="19"/>
      <c r="Z216" s="19"/>
      <c r="AA216" s="19"/>
    </row>
    <row r="217" spans="1:27" ht="12.75" customHeight="1" x14ac:dyDescent="0.2">
      <c r="A217" s="29">
        <f t="shared" si="12"/>
        <v>287.64999999999998</v>
      </c>
      <c r="B217" s="21">
        <v>14.5</v>
      </c>
      <c r="C217" s="20">
        <v>44.514400000000002</v>
      </c>
      <c r="D217" s="20">
        <f t="shared" si="13"/>
        <v>645.62795472000005</v>
      </c>
      <c r="E217" s="23">
        <v>824.01599999999996</v>
      </c>
      <c r="F217" s="24">
        <v>132.09287</v>
      </c>
      <c r="G217" s="23"/>
      <c r="H217" s="23"/>
      <c r="I217" s="23"/>
      <c r="J217" s="23"/>
      <c r="K217" s="28"/>
      <c r="L217" s="28"/>
      <c r="M217" s="21"/>
      <c r="N217" s="20"/>
      <c r="O217" s="19"/>
      <c r="P217" s="19"/>
      <c r="Q217" s="19"/>
      <c r="R217" s="19"/>
      <c r="S217" s="19"/>
      <c r="T217" s="19"/>
      <c r="U217" s="19"/>
      <c r="V217" s="19"/>
      <c r="W217" s="19"/>
      <c r="X217" s="19"/>
      <c r="Y217" s="19"/>
      <c r="Z217" s="19"/>
      <c r="AA217" s="19"/>
    </row>
    <row r="218" spans="1:27" ht="12.75" customHeight="1" x14ac:dyDescent="0.2">
      <c r="A218" s="29">
        <f t="shared" si="12"/>
        <v>288.14999999999998</v>
      </c>
      <c r="B218" s="21">
        <v>15</v>
      </c>
      <c r="C218" s="20">
        <v>45.037199999999999</v>
      </c>
      <c r="D218" s="20">
        <f t="shared" si="13"/>
        <v>653.21054135999998</v>
      </c>
      <c r="E218" s="23">
        <v>820.71</v>
      </c>
      <c r="F218" s="24">
        <v>134.19689</v>
      </c>
      <c r="G218" s="23"/>
      <c r="H218" s="23"/>
      <c r="I218" s="23"/>
      <c r="J218" s="23"/>
      <c r="K218" s="28"/>
      <c r="L218" s="28"/>
      <c r="M218" s="21"/>
      <c r="N218" s="20"/>
      <c r="O218" s="19"/>
      <c r="P218" s="19"/>
      <c r="Q218" s="19"/>
      <c r="R218" s="19"/>
      <c r="S218" s="19"/>
      <c r="T218" s="19"/>
      <c r="U218" s="19"/>
      <c r="V218" s="19"/>
      <c r="W218" s="19"/>
      <c r="X218" s="19"/>
      <c r="Y218" s="19"/>
      <c r="Z218" s="19"/>
      <c r="AA218" s="19"/>
    </row>
    <row r="219" spans="1:27" ht="12.75" customHeight="1" x14ac:dyDescent="0.2">
      <c r="A219" s="29">
        <f t="shared" si="12"/>
        <v>288.64999999999998</v>
      </c>
      <c r="B219" s="21">
        <v>15.5</v>
      </c>
      <c r="C219" s="20">
        <v>45.564500000000002</v>
      </c>
      <c r="D219" s="20">
        <f t="shared" si="13"/>
        <v>660.85839510000005</v>
      </c>
      <c r="E219" s="23">
        <v>817.36300000000006</v>
      </c>
      <c r="F219" s="24">
        <v>136.34504999999999</v>
      </c>
      <c r="G219" s="23"/>
      <c r="H219" s="23"/>
      <c r="I219" s="23"/>
      <c r="J219" s="23"/>
      <c r="K219" s="28"/>
      <c r="L219" s="28"/>
      <c r="M219" s="21"/>
      <c r="N219" s="20"/>
      <c r="O219" s="19"/>
      <c r="P219" s="19"/>
      <c r="Q219" s="19"/>
      <c r="R219" s="19"/>
      <c r="S219" s="19"/>
      <c r="T219" s="19"/>
      <c r="U219" s="19"/>
      <c r="V219" s="19"/>
      <c r="W219" s="19"/>
      <c r="X219" s="19"/>
      <c r="Y219" s="19"/>
      <c r="Z219" s="19"/>
      <c r="AA219" s="19"/>
    </row>
    <row r="220" spans="1:27" ht="12.75" customHeight="1" x14ac:dyDescent="0.2">
      <c r="A220" s="29">
        <f t="shared" si="12"/>
        <v>289.14999999999998</v>
      </c>
      <c r="B220" s="21">
        <v>16</v>
      </c>
      <c r="C220" s="20">
        <v>46.096600000000002</v>
      </c>
      <c r="D220" s="20">
        <f t="shared" si="13"/>
        <v>668.57586708000008</v>
      </c>
      <c r="E220" s="23">
        <v>813.97400000000005</v>
      </c>
      <c r="F220" s="24">
        <v>138.53904</v>
      </c>
      <c r="G220" s="23"/>
      <c r="H220" s="23"/>
      <c r="I220" s="23"/>
      <c r="J220" s="23"/>
      <c r="K220" s="28"/>
      <c r="L220" s="28"/>
      <c r="M220" s="21"/>
      <c r="N220" s="20"/>
      <c r="O220" s="19"/>
      <c r="P220" s="19"/>
      <c r="Q220" s="19"/>
      <c r="R220" s="19"/>
      <c r="S220" s="19"/>
      <c r="T220" s="19"/>
      <c r="U220" s="19"/>
      <c r="V220" s="19"/>
      <c r="W220" s="19"/>
      <c r="X220" s="19"/>
      <c r="Y220" s="19"/>
      <c r="Z220" s="19"/>
      <c r="AA220" s="19"/>
    </row>
    <row r="221" spans="1:27" ht="12.75" customHeight="1" x14ac:dyDescent="0.2">
      <c r="A221" s="29">
        <f t="shared" si="12"/>
        <v>289.64999999999998</v>
      </c>
      <c r="B221" s="21">
        <v>16.5</v>
      </c>
      <c r="C221" s="20">
        <v>46.633299999999998</v>
      </c>
      <c r="D221" s="20">
        <f t="shared" si="13"/>
        <v>676.36005653999996</v>
      </c>
      <c r="E221" s="23">
        <v>810.54100000000005</v>
      </c>
      <c r="F221" s="24">
        <v>140.78066000000001</v>
      </c>
      <c r="G221" s="23"/>
      <c r="H221" s="23"/>
      <c r="I221" s="23"/>
      <c r="J221" s="23"/>
      <c r="K221" s="28"/>
      <c r="L221" s="28"/>
      <c r="M221" s="21"/>
      <c r="N221" s="20"/>
      <c r="O221" s="19"/>
      <c r="P221" s="19"/>
      <c r="Q221" s="19"/>
      <c r="R221" s="19"/>
      <c r="S221" s="19"/>
      <c r="T221" s="19"/>
      <c r="U221" s="19"/>
      <c r="V221" s="19"/>
      <c r="W221" s="19"/>
      <c r="X221" s="19"/>
      <c r="Y221" s="19"/>
      <c r="Z221" s="19"/>
      <c r="AA221" s="19"/>
    </row>
    <row r="222" spans="1:27" ht="12.75" customHeight="1" x14ac:dyDescent="0.2">
      <c r="A222" s="29">
        <f t="shared" si="12"/>
        <v>290.14999999999998</v>
      </c>
      <c r="B222" s="21">
        <v>17</v>
      </c>
      <c r="C222" s="20">
        <v>47.174700000000001</v>
      </c>
      <c r="D222" s="20">
        <f t="shared" si="13"/>
        <v>684.21241385999997</v>
      </c>
      <c r="E222" s="23">
        <v>807.06200000000001</v>
      </c>
      <c r="F222" s="24">
        <v>143.07184000000001</v>
      </c>
      <c r="G222" s="23"/>
      <c r="H222" s="23"/>
      <c r="I222" s="23"/>
      <c r="J222" s="23"/>
      <c r="K222" s="28"/>
      <c r="L222" s="28"/>
      <c r="M222" s="21"/>
      <c r="N222" s="20"/>
      <c r="O222" s="19"/>
      <c r="P222" s="19"/>
      <c r="Q222" s="19"/>
      <c r="R222" s="19"/>
      <c r="S222" s="19"/>
      <c r="T222" s="19"/>
      <c r="U222" s="19"/>
      <c r="V222" s="19"/>
      <c r="W222" s="19"/>
      <c r="X222" s="19"/>
      <c r="Y222" s="19"/>
      <c r="Z222" s="19"/>
      <c r="AA222" s="19"/>
    </row>
    <row r="223" spans="1:27" ht="12.75" customHeight="1" x14ac:dyDescent="0.2">
      <c r="A223" s="29">
        <f t="shared" si="12"/>
        <v>290.64999999999998</v>
      </c>
      <c r="B223" s="21">
        <v>17.5</v>
      </c>
      <c r="C223" s="20">
        <v>47.7209</v>
      </c>
      <c r="D223" s="20">
        <f t="shared" si="13"/>
        <v>692.13438942000005</v>
      </c>
      <c r="E223" s="23">
        <v>803.53499999999997</v>
      </c>
      <c r="F223" s="24">
        <v>145.41462999999999</v>
      </c>
      <c r="G223" s="23"/>
      <c r="H223" s="23"/>
      <c r="I223" s="23"/>
      <c r="J223" s="23"/>
      <c r="K223" s="28"/>
      <c r="L223" s="28"/>
      <c r="M223" s="21"/>
      <c r="N223" s="20"/>
      <c r="O223" s="19"/>
      <c r="P223" s="19"/>
      <c r="Q223" s="19"/>
      <c r="R223" s="19"/>
      <c r="S223" s="19"/>
      <c r="T223" s="19"/>
      <c r="U223" s="19"/>
      <c r="V223" s="19"/>
      <c r="W223" s="19"/>
      <c r="X223" s="19"/>
      <c r="Y223" s="19"/>
      <c r="Z223" s="19"/>
      <c r="AA223" s="19"/>
    </row>
    <row r="224" spans="1:27" ht="12.75" customHeight="1" x14ac:dyDescent="0.2">
      <c r="A224" s="29">
        <f t="shared" si="12"/>
        <v>291.14999999999998</v>
      </c>
      <c r="B224" s="21">
        <v>18</v>
      </c>
      <c r="C224" s="20">
        <v>48.271999999999998</v>
      </c>
      <c r="D224" s="20">
        <f t="shared" si="13"/>
        <v>700.12743360000002</v>
      </c>
      <c r="E224" s="23">
        <v>799.95899999999995</v>
      </c>
      <c r="F224" s="24">
        <v>147.81121999999999</v>
      </c>
      <c r="G224" s="23"/>
      <c r="H224" s="23"/>
      <c r="I224" s="23"/>
      <c r="J224" s="23"/>
      <c r="K224" s="28"/>
      <c r="L224" s="28"/>
      <c r="M224" s="21"/>
      <c r="N224" s="20"/>
      <c r="O224" s="19"/>
      <c r="P224" s="19"/>
      <c r="Q224" s="19"/>
      <c r="R224" s="19"/>
      <c r="S224" s="19"/>
      <c r="T224" s="19"/>
      <c r="U224" s="19"/>
      <c r="V224" s="19"/>
      <c r="W224" s="19"/>
      <c r="X224" s="19"/>
      <c r="Y224" s="19"/>
      <c r="Z224" s="19"/>
      <c r="AA224" s="19"/>
    </row>
    <row r="225" spans="1:27" ht="12.75" customHeight="1" x14ac:dyDescent="0.2">
      <c r="A225" s="29">
        <f t="shared" si="12"/>
        <v>291.64999999999998</v>
      </c>
      <c r="B225" s="21">
        <v>18.5</v>
      </c>
      <c r="C225" s="20">
        <v>48.827800000000003</v>
      </c>
      <c r="D225" s="20">
        <f t="shared" si="13"/>
        <v>708.18864564</v>
      </c>
      <c r="E225" s="23">
        <v>796.33</v>
      </c>
      <c r="F225" s="24">
        <v>150.26398</v>
      </c>
      <c r="G225" s="23"/>
      <c r="H225" s="23"/>
      <c r="I225" s="23"/>
      <c r="J225" s="23"/>
      <c r="K225" s="28"/>
      <c r="L225" s="28"/>
      <c r="M225" s="21"/>
      <c r="N225" s="20"/>
      <c r="O225" s="19"/>
      <c r="P225" s="19"/>
      <c r="Q225" s="19"/>
      <c r="R225" s="19"/>
      <c r="S225" s="19"/>
      <c r="T225" s="19"/>
      <c r="U225" s="19"/>
      <c r="V225" s="19"/>
      <c r="W225" s="19"/>
      <c r="X225" s="19"/>
      <c r="Y225" s="19"/>
      <c r="Z225" s="19"/>
      <c r="AA225" s="19"/>
    </row>
    <row r="226" spans="1:27" ht="12.75" customHeight="1" x14ac:dyDescent="0.2">
      <c r="A226" s="29">
        <f t="shared" si="12"/>
        <v>292.14999999999998</v>
      </c>
      <c r="B226" s="21">
        <v>19</v>
      </c>
      <c r="C226" s="20">
        <v>49.388599999999997</v>
      </c>
      <c r="D226" s="20">
        <f t="shared" si="13"/>
        <v>716.32237667999993</v>
      </c>
      <c r="E226" s="23">
        <v>792.64599999999996</v>
      </c>
      <c r="F226" s="24">
        <v>152.77545000000001</v>
      </c>
      <c r="G226" s="23"/>
      <c r="H226" s="23"/>
      <c r="I226" s="23"/>
      <c r="J226" s="23"/>
      <c r="K226" s="28"/>
      <c r="L226" s="28"/>
      <c r="M226" s="21"/>
      <c r="N226" s="20"/>
      <c r="O226" s="19"/>
      <c r="P226" s="19"/>
      <c r="Q226" s="19"/>
      <c r="R226" s="19"/>
      <c r="S226" s="19"/>
      <c r="T226" s="19"/>
      <c r="U226" s="19"/>
      <c r="V226" s="19"/>
      <c r="W226" s="19"/>
      <c r="X226" s="19"/>
      <c r="Y226" s="19"/>
      <c r="Z226" s="19"/>
      <c r="AA226" s="19"/>
    </row>
    <row r="227" spans="1:27" ht="12.75" customHeight="1" x14ac:dyDescent="0.2">
      <c r="A227" s="29">
        <f t="shared" si="12"/>
        <v>292.64999999999998</v>
      </c>
      <c r="B227" s="21">
        <v>19.5</v>
      </c>
      <c r="C227" s="20">
        <v>49.9544</v>
      </c>
      <c r="D227" s="20">
        <f t="shared" si="13"/>
        <v>724.52862672000003</v>
      </c>
      <c r="E227" s="23">
        <v>788.90499999999997</v>
      </c>
      <c r="F227" s="24">
        <v>155.34835000000001</v>
      </c>
      <c r="G227" s="23"/>
      <c r="H227" s="23"/>
      <c r="I227" s="23"/>
      <c r="J227" s="23"/>
      <c r="K227" s="28"/>
      <c r="L227" s="28"/>
      <c r="M227" s="21"/>
      <c r="N227" s="20"/>
      <c r="O227" s="19"/>
      <c r="P227" s="19"/>
      <c r="Q227" s="19"/>
      <c r="R227" s="19"/>
      <c r="S227" s="19"/>
      <c r="T227" s="19"/>
      <c r="U227" s="19"/>
      <c r="V227" s="19"/>
      <c r="W227" s="19"/>
      <c r="X227" s="19"/>
      <c r="Y227" s="19"/>
      <c r="Z227" s="19"/>
      <c r="AA227" s="19"/>
    </row>
    <row r="228" spans="1:27" ht="12.75" customHeight="1" x14ac:dyDescent="0.2">
      <c r="A228" s="29">
        <f t="shared" si="12"/>
        <v>293.14999999999998</v>
      </c>
      <c r="B228" s="21">
        <v>20</v>
      </c>
      <c r="C228" s="20">
        <v>50.525100000000002</v>
      </c>
      <c r="D228" s="20">
        <f t="shared" si="13"/>
        <v>732.80594538000003</v>
      </c>
      <c r="E228" s="23">
        <v>785.10400000000004</v>
      </c>
      <c r="F228" s="24">
        <v>157.98562000000001</v>
      </c>
      <c r="G228" s="23"/>
      <c r="H228" s="23"/>
      <c r="I228" s="23"/>
      <c r="J228" s="23"/>
      <c r="K228" s="28"/>
      <c r="L228" s="28"/>
      <c r="M228" s="21"/>
      <c r="N228" s="20"/>
      <c r="O228" s="19"/>
      <c r="P228" s="19"/>
      <c r="Q228" s="19"/>
      <c r="R228" s="19"/>
      <c r="S228" s="19"/>
      <c r="T228" s="19"/>
      <c r="U228" s="19"/>
      <c r="V228" s="19"/>
      <c r="W228" s="19"/>
      <c r="X228" s="19"/>
      <c r="Y228" s="19"/>
      <c r="Z228" s="19"/>
      <c r="AA228" s="19"/>
    </row>
    <row r="229" spans="1:27" ht="12.75" customHeight="1" x14ac:dyDescent="0.2">
      <c r="A229" s="29">
        <f t="shared" si="12"/>
        <v>293.64999999999998</v>
      </c>
      <c r="B229" s="21">
        <v>20.5</v>
      </c>
      <c r="C229" s="20">
        <v>51.100900000000003</v>
      </c>
      <c r="D229" s="20">
        <f t="shared" si="13"/>
        <v>741.15723342000001</v>
      </c>
      <c r="E229" s="23">
        <v>781.23900000000003</v>
      </c>
      <c r="F229" s="24">
        <v>160.69047</v>
      </c>
      <c r="G229" s="23"/>
      <c r="H229" s="23"/>
      <c r="I229" s="23"/>
      <c r="J229" s="23"/>
      <c r="K229" s="28"/>
      <c r="L229" s="28"/>
      <c r="M229" s="21"/>
      <c r="N229" s="20"/>
      <c r="O229" s="19"/>
      <c r="P229" s="19"/>
      <c r="Q229" s="19"/>
      <c r="R229" s="19"/>
      <c r="S229" s="19"/>
      <c r="T229" s="19"/>
      <c r="U229" s="19"/>
      <c r="V229" s="19"/>
      <c r="W229" s="19"/>
      <c r="X229" s="19"/>
      <c r="Y229" s="19"/>
      <c r="Z229" s="19"/>
      <c r="AA229" s="19"/>
    </row>
    <row r="230" spans="1:27" ht="12.75" customHeight="1" x14ac:dyDescent="0.2">
      <c r="A230" s="29">
        <f t="shared" si="12"/>
        <v>294.14999999999998</v>
      </c>
      <c r="B230" s="21">
        <v>21</v>
      </c>
      <c r="C230" s="20">
        <v>51.681699999999999</v>
      </c>
      <c r="D230" s="20">
        <f t="shared" si="13"/>
        <v>749.58104045999994</v>
      </c>
      <c r="E230" s="23">
        <v>777.30799999999999</v>
      </c>
      <c r="F230" s="24">
        <v>163.46633</v>
      </c>
      <c r="G230" s="23"/>
      <c r="H230" s="23"/>
      <c r="I230" s="23"/>
      <c r="J230" s="23"/>
      <c r="K230" s="28"/>
      <c r="L230" s="28"/>
      <c r="M230" s="21"/>
      <c r="N230" s="20"/>
      <c r="O230" s="19"/>
      <c r="P230" s="19"/>
      <c r="Q230" s="19"/>
      <c r="R230" s="19"/>
      <c r="S230" s="19"/>
      <c r="T230" s="19"/>
      <c r="U230" s="19"/>
      <c r="V230" s="19"/>
      <c r="W230" s="19"/>
      <c r="X230" s="19"/>
      <c r="Y230" s="19"/>
      <c r="Z230" s="19"/>
      <c r="AA230" s="19"/>
    </row>
    <row r="231" spans="1:27" ht="12.75" customHeight="1" x14ac:dyDescent="0.2">
      <c r="A231" s="29">
        <f t="shared" si="12"/>
        <v>294.64999999999998</v>
      </c>
      <c r="B231" s="21">
        <v>21.5</v>
      </c>
      <c r="C231" s="20">
        <v>52.267699999999998</v>
      </c>
      <c r="D231" s="20">
        <f t="shared" si="13"/>
        <v>758.08026725999991</v>
      </c>
      <c r="E231" s="23">
        <v>773.30700000000002</v>
      </c>
      <c r="F231" s="24">
        <v>166.31698</v>
      </c>
      <c r="G231" s="23"/>
      <c r="H231" s="23"/>
      <c r="I231" s="23"/>
      <c r="J231" s="23"/>
      <c r="K231" s="28"/>
      <c r="L231" s="28"/>
      <c r="M231" s="21"/>
      <c r="N231" s="20"/>
      <c r="O231" s="19"/>
      <c r="P231" s="19"/>
      <c r="Q231" s="19"/>
      <c r="R231" s="19"/>
      <c r="S231" s="19"/>
      <c r="T231" s="19"/>
      <c r="U231" s="19"/>
      <c r="V231" s="19"/>
      <c r="W231" s="19"/>
      <c r="X231" s="19"/>
      <c r="Y231" s="19"/>
      <c r="Z231" s="19"/>
      <c r="AA231" s="19"/>
    </row>
    <row r="232" spans="1:27" ht="12.75" customHeight="1" x14ac:dyDescent="0.2">
      <c r="A232" s="29">
        <f t="shared" si="12"/>
        <v>295.14999999999998</v>
      </c>
      <c r="B232" s="21">
        <v>22</v>
      </c>
      <c r="C232" s="20">
        <v>52.858899999999998</v>
      </c>
      <c r="D232" s="20">
        <f t="shared" si="13"/>
        <v>766.65491381999993</v>
      </c>
      <c r="E232" s="23">
        <v>769.23099999999999</v>
      </c>
      <c r="F232" s="24">
        <v>169.2465</v>
      </c>
      <c r="G232" s="23"/>
      <c r="H232" s="23"/>
      <c r="I232" s="23"/>
      <c r="J232" s="23"/>
      <c r="K232" s="28"/>
      <c r="L232" s="28"/>
      <c r="M232" s="21"/>
      <c r="N232" s="20"/>
      <c r="O232" s="19"/>
      <c r="P232" s="19"/>
      <c r="Q232" s="19"/>
      <c r="R232" s="19"/>
      <c r="S232" s="19"/>
      <c r="T232" s="19"/>
      <c r="U232" s="19"/>
      <c r="V232" s="19"/>
      <c r="W232" s="19"/>
      <c r="X232" s="19"/>
      <c r="Y232" s="19"/>
      <c r="Z232" s="19"/>
      <c r="AA232" s="19"/>
    </row>
    <row r="233" spans="1:27" ht="12.75" customHeight="1" x14ac:dyDescent="0.2">
      <c r="A233" s="29">
        <f t="shared" si="12"/>
        <v>295.64999999999998</v>
      </c>
      <c r="B233" s="21">
        <v>22.5</v>
      </c>
      <c r="C233" s="20">
        <v>53.455300000000001</v>
      </c>
      <c r="D233" s="20">
        <f t="shared" si="13"/>
        <v>775.30498014</v>
      </c>
      <c r="E233" s="23">
        <v>765.07600000000002</v>
      </c>
      <c r="F233" s="24">
        <v>172.25936999999999</v>
      </c>
      <c r="G233" s="23"/>
      <c r="H233" s="23"/>
      <c r="I233" s="23"/>
      <c r="J233" s="23"/>
      <c r="K233" s="28"/>
      <c r="L233" s="28"/>
      <c r="M233" s="21"/>
      <c r="N233" s="20"/>
      <c r="O233" s="19"/>
      <c r="P233" s="19"/>
      <c r="Q233" s="19"/>
      <c r="R233" s="19"/>
      <c r="S233" s="19"/>
      <c r="T233" s="19"/>
      <c r="U233" s="19"/>
      <c r="V233" s="19"/>
      <c r="W233" s="19"/>
      <c r="X233" s="19"/>
      <c r="Y233" s="19"/>
      <c r="Z233" s="19"/>
      <c r="AA233" s="19"/>
    </row>
    <row r="234" spans="1:27" ht="12.75" customHeight="1" x14ac:dyDescent="0.2">
      <c r="A234" s="29">
        <f t="shared" si="12"/>
        <v>296.14999999999998</v>
      </c>
      <c r="B234" s="21">
        <v>23</v>
      </c>
      <c r="C234" s="20">
        <v>54.057000000000002</v>
      </c>
      <c r="D234" s="20">
        <f t="shared" si="13"/>
        <v>784.03191660000005</v>
      </c>
      <c r="E234" s="23">
        <v>760.83799999999997</v>
      </c>
      <c r="F234" s="24">
        <v>175.36052000000001</v>
      </c>
      <c r="G234" s="23"/>
      <c r="H234" s="23"/>
      <c r="I234" s="23"/>
      <c r="J234" s="23"/>
      <c r="K234" s="28"/>
      <c r="L234" s="28"/>
      <c r="M234" s="21"/>
      <c r="N234" s="20"/>
      <c r="O234" s="19"/>
      <c r="P234" s="19"/>
      <c r="Q234" s="19"/>
      <c r="R234" s="19"/>
      <c r="S234" s="19"/>
      <c r="T234" s="19"/>
      <c r="U234" s="19"/>
      <c r="V234" s="19"/>
      <c r="W234" s="19"/>
      <c r="X234" s="19"/>
      <c r="Y234" s="19"/>
      <c r="Z234" s="19"/>
      <c r="AA234" s="19"/>
    </row>
    <row r="235" spans="1:27" ht="12.75" customHeight="1" x14ac:dyDescent="0.2">
      <c r="A235" s="29">
        <f t="shared" si="12"/>
        <v>296.64999999999998</v>
      </c>
      <c r="B235" s="21">
        <v>23.5</v>
      </c>
      <c r="C235" s="20">
        <v>54.664000000000001</v>
      </c>
      <c r="D235" s="20">
        <f t="shared" si="13"/>
        <v>792.83572320000007</v>
      </c>
      <c r="E235" s="23">
        <v>756.51099999999997</v>
      </c>
      <c r="F235" s="24">
        <v>178.55534</v>
      </c>
      <c r="G235" s="23"/>
      <c r="H235" s="23"/>
      <c r="I235" s="23"/>
      <c r="J235" s="23"/>
      <c r="K235" s="28"/>
      <c r="L235" s="28"/>
      <c r="M235" s="21"/>
      <c r="N235" s="20"/>
      <c r="O235" s="19"/>
      <c r="P235" s="19"/>
      <c r="Q235" s="19"/>
      <c r="R235" s="19"/>
      <c r="S235" s="19"/>
      <c r="T235" s="19"/>
      <c r="U235" s="19"/>
      <c r="V235" s="19"/>
      <c r="W235" s="19"/>
      <c r="X235" s="19"/>
      <c r="Y235" s="19"/>
      <c r="Z235" s="19"/>
      <c r="AA235" s="19"/>
    </row>
    <row r="236" spans="1:27" ht="12.75" customHeight="1" x14ac:dyDescent="0.2">
      <c r="A236" s="29">
        <f t="shared" si="12"/>
        <v>297.14999999999998</v>
      </c>
      <c r="B236" s="21">
        <v>24</v>
      </c>
      <c r="C236" s="20">
        <v>55.276499999999999</v>
      </c>
      <c r="D236" s="20">
        <f t="shared" si="13"/>
        <v>801.71930069999996</v>
      </c>
      <c r="E236" s="23">
        <v>752.08900000000006</v>
      </c>
      <c r="F236" s="24">
        <v>181.84981999999999</v>
      </c>
      <c r="G236" s="23"/>
      <c r="H236" s="23"/>
      <c r="I236" s="23"/>
      <c r="J236" s="23"/>
      <c r="K236" s="28"/>
      <c r="L236" s="28"/>
      <c r="M236" s="21"/>
      <c r="N236" s="20"/>
      <c r="O236" s="19"/>
      <c r="P236" s="19"/>
      <c r="Q236" s="19"/>
      <c r="R236" s="19"/>
      <c r="S236" s="19"/>
      <c r="T236" s="19"/>
      <c r="U236" s="19"/>
      <c r="V236" s="19"/>
      <c r="W236" s="19"/>
      <c r="X236" s="19"/>
      <c r="Y236" s="19"/>
      <c r="Z236" s="19"/>
      <c r="AA236" s="19"/>
    </row>
    <row r="237" spans="1:27" ht="12.75" customHeight="1" x14ac:dyDescent="0.2">
      <c r="A237" s="29">
        <f t="shared" si="12"/>
        <v>297.64999999999998</v>
      </c>
      <c r="B237" s="21">
        <v>24.5</v>
      </c>
      <c r="C237" s="20">
        <v>55.894500000000001</v>
      </c>
      <c r="D237" s="20">
        <f t="shared" si="13"/>
        <v>810.68264910000005</v>
      </c>
      <c r="E237" s="23">
        <v>747.56500000000005</v>
      </c>
      <c r="F237" s="24">
        <v>185.25058999999999</v>
      </c>
      <c r="G237" s="23"/>
      <c r="H237" s="23"/>
      <c r="I237" s="23"/>
      <c r="J237" s="23"/>
      <c r="K237" s="28"/>
      <c r="L237" s="28"/>
      <c r="M237" s="21"/>
      <c r="N237" s="20"/>
      <c r="O237" s="19"/>
      <c r="P237" s="19"/>
      <c r="Q237" s="19"/>
      <c r="R237" s="19"/>
      <c r="S237" s="19"/>
      <c r="T237" s="19"/>
      <c r="U237" s="19"/>
      <c r="V237" s="19"/>
      <c r="W237" s="19"/>
      <c r="X237" s="19"/>
      <c r="Y237" s="19"/>
      <c r="Z237" s="19"/>
      <c r="AA237" s="19"/>
    </row>
    <row r="238" spans="1:27" ht="12.75" customHeight="1" x14ac:dyDescent="0.2">
      <c r="A238" s="29">
        <f t="shared" si="12"/>
        <v>298.14999999999998</v>
      </c>
      <c r="B238" s="21">
        <v>25</v>
      </c>
      <c r="C238" s="20">
        <v>56.518000000000001</v>
      </c>
      <c r="D238" s="20">
        <f t="shared" si="13"/>
        <v>819.72576839999999</v>
      </c>
      <c r="E238" s="23">
        <v>742.93299999999999</v>
      </c>
      <c r="F238" s="24">
        <v>188.76504</v>
      </c>
      <c r="G238" s="23"/>
      <c r="H238" s="23"/>
      <c r="I238" s="23"/>
      <c r="J238" s="23"/>
      <c r="K238" s="28"/>
      <c r="L238" s="28"/>
      <c r="M238" s="21"/>
      <c r="N238" s="20"/>
      <c r="O238" s="19"/>
      <c r="P238" s="19"/>
      <c r="Q238" s="19"/>
      <c r="R238" s="19"/>
      <c r="S238" s="19"/>
      <c r="T238" s="19"/>
      <c r="U238" s="19"/>
      <c r="V238" s="19"/>
      <c r="W238" s="19"/>
      <c r="X238" s="19"/>
      <c r="Y238" s="19"/>
      <c r="Z238" s="19"/>
      <c r="AA238" s="19"/>
    </row>
    <row r="239" spans="1:27" ht="12.75" customHeight="1" x14ac:dyDescent="0.2">
      <c r="A239" s="29">
        <f t="shared" si="12"/>
        <v>298.64999999999998</v>
      </c>
      <c r="B239" s="21">
        <v>25.5</v>
      </c>
      <c r="C239" s="20">
        <v>57.147100000000002</v>
      </c>
      <c r="D239" s="20">
        <f t="shared" si="13"/>
        <v>828.85010898000007</v>
      </c>
      <c r="E239" s="23">
        <v>738.18399999999997</v>
      </c>
      <c r="F239" s="24">
        <v>192.40144000000001</v>
      </c>
      <c r="G239" s="23"/>
      <c r="H239" s="23"/>
      <c r="I239" s="23"/>
      <c r="J239" s="23"/>
      <c r="K239" s="28"/>
      <c r="L239" s="28"/>
      <c r="M239" s="21"/>
      <c r="N239" s="20"/>
      <c r="O239" s="19"/>
      <c r="P239" s="19"/>
      <c r="Q239" s="19"/>
      <c r="R239" s="19"/>
      <c r="S239" s="19"/>
      <c r="T239" s="19"/>
      <c r="U239" s="19"/>
      <c r="V239" s="19"/>
      <c r="W239" s="19"/>
      <c r="X239" s="19"/>
      <c r="Y239" s="19"/>
      <c r="Z239" s="19"/>
      <c r="AA239" s="19"/>
    </row>
    <row r="240" spans="1:27" ht="12.75" customHeight="1" x14ac:dyDescent="0.2">
      <c r="A240" s="29">
        <f t="shared" si="12"/>
        <v>299.14999999999998</v>
      </c>
      <c r="B240" s="21">
        <v>26</v>
      </c>
      <c r="C240" s="20">
        <v>57.7819</v>
      </c>
      <c r="D240" s="20">
        <f t="shared" si="13"/>
        <v>838.05712122</v>
      </c>
      <c r="E240" s="23">
        <v>733.30899999999997</v>
      </c>
      <c r="F240" s="24">
        <v>196.16909000000001</v>
      </c>
      <c r="G240" s="23"/>
      <c r="H240" s="23"/>
      <c r="I240" s="23"/>
      <c r="J240" s="23"/>
      <c r="K240" s="28"/>
      <c r="L240" s="28"/>
      <c r="M240" s="21"/>
      <c r="N240" s="20"/>
      <c r="O240" s="19"/>
      <c r="P240" s="19"/>
      <c r="Q240" s="19"/>
      <c r="R240" s="19"/>
      <c r="S240" s="19"/>
      <c r="T240" s="19"/>
      <c r="U240" s="19"/>
      <c r="V240" s="19"/>
      <c r="W240" s="19"/>
      <c r="X240" s="19"/>
      <c r="Y240" s="19"/>
      <c r="Z240" s="19"/>
      <c r="AA240" s="19"/>
    </row>
    <row r="241" spans="1:27" ht="12.75" customHeight="1" x14ac:dyDescent="0.2">
      <c r="A241" s="29">
        <f t="shared" si="12"/>
        <v>299.64999999999998</v>
      </c>
      <c r="B241" s="21">
        <v>26.5</v>
      </c>
      <c r="C241" s="20">
        <v>58.422499999999999</v>
      </c>
      <c r="D241" s="20">
        <f t="shared" si="13"/>
        <v>847.34825549999994</v>
      </c>
      <c r="E241" s="23">
        <v>728.29700000000003</v>
      </c>
      <c r="F241" s="24">
        <v>200.07853</v>
      </c>
      <c r="G241" s="23"/>
      <c r="H241" s="23"/>
      <c r="I241" s="23"/>
      <c r="J241" s="23"/>
      <c r="K241" s="28"/>
      <c r="L241" s="28"/>
      <c r="M241" s="21"/>
      <c r="N241" s="20"/>
      <c r="O241" s="19"/>
      <c r="P241" s="19"/>
      <c r="Q241" s="19"/>
      <c r="R241" s="19"/>
      <c r="S241" s="19"/>
      <c r="T241" s="19"/>
      <c r="U241" s="19"/>
      <c r="V241" s="19"/>
      <c r="W241" s="19"/>
      <c r="X241" s="19"/>
      <c r="Y241" s="19"/>
      <c r="Z241" s="19"/>
      <c r="AA241" s="19"/>
    </row>
    <row r="242" spans="1:27" ht="12.75" customHeight="1" x14ac:dyDescent="0.2">
      <c r="A242" s="29">
        <f t="shared" si="12"/>
        <v>300.14999999999998</v>
      </c>
      <c r="B242" s="21">
        <v>27</v>
      </c>
      <c r="C242" s="20">
        <v>59.068899999999999</v>
      </c>
      <c r="D242" s="20">
        <f t="shared" si="13"/>
        <v>856.72351182</v>
      </c>
      <c r="E242" s="23">
        <v>723.13699999999994</v>
      </c>
      <c r="F242" s="24">
        <v>204.14173</v>
      </c>
      <c r="G242" s="23"/>
      <c r="H242" s="23"/>
      <c r="I242" s="23"/>
      <c r="J242" s="23"/>
      <c r="K242" s="28"/>
      <c r="L242" s="28"/>
      <c r="M242" s="21"/>
      <c r="N242" s="20"/>
      <c r="O242" s="19"/>
      <c r="P242" s="19"/>
      <c r="Q242" s="19"/>
      <c r="R242" s="19"/>
      <c r="S242" s="19"/>
      <c r="T242" s="19"/>
      <c r="U242" s="19"/>
      <c r="V242" s="19"/>
      <c r="W242" s="19"/>
      <c r="X242" s="19"/>
      <c r="Y242" s="19"/>
      <c r="Z242" s="19"/>
      <c r="AA242" s="19"/>
    </row>
    <row r="243" spans="1:27" ht="12.75" customHeight="1" x14ac:dyDescent="0.2">
      <c r="A243" s="29">
        <f t="shared" si="12"/>
        <v>300.64999999999998</v>
      </c>
      <c r="B243" s="21">
        <v>27.5</v>
      </c>
      <c r="C243" s="20">
        <v>59.721299999999999</v>
      </c>
      <c r="D243" s="20">
        <f t="shared" si="13"/>
        <v>866.18579093999995</v>
      </c>
      <c r="E243" s="23">
        <v>717.81399999999996</v>
      </c>
      <c r="F243" s="24">
        <v>208.37243000000001</v>
      </c>
      <c r="G243" s="23"/>
      <c r="H243" s="23"/>
      <c r="I243" s="23"/>
      <c r="J243" s="23"/>
      <c r="K243" s="28"/>
      <c r="L243" s="28"/>
      <c r="M243" s="21"/>
      <c r="N243" s="20"/>
      <c r="O243" s="19"/>
      <c r="P243" s="19"/>
      <c r="Q243" s="19"/>
      <c r="R243" s="19"/>
      <c r="S243" s="19"/>
      <c r="T243" s="19"/>
      <c r="U243" s="19"/>
      <c r="V243" s="19"/>
      <c r="W243" s="19"/>
      <c r="X243" s="19"/>
      <c r="Y243" s="19"/>
      <c r="Z243" s="19"/>
      <c r="AA243" s="19"/>
    </row>
    <row r="244" spans="1:27" ht="12.75" customHeight="1" x14ac:dyDescent="0.2">
      <c r="A244" s="29">
        <f t="shared" si="12"/>
        <v>301.14999999999998</v>
      </c>
      <c r="B244" s="21">
        <v>28</v>
      </c>
      <c r="C244" s="20">
        <v>60.379600000000003</v>
      </c>
      <c r="D244" s="20">
        <f t="shared" si="13"/>
        <v>875.73364248000007</v>
      </c>
      <c r="E244" s="23">
        <v>712.31399999999996</v>
      </c>
      <c r="F244" s="24">
        <v>212.78649999999999</v>
      </c>
      <c r="G244" s="23"/>
      <c r="H244" s="23"/>
      <c r="I244" s="23"/>
      <c r="J244" s="23"/>
      <c r="K244" s="28"/>
      <c r="L244" s="28"/>
      <c r="M244" s="21"/>
      <c r="N244" s="20"/>
      <c r="O244" s="19"/>
      <c r="P244" s="19"/>
      <c r="Q244" s="19"/>
      <c r="R244" s="19"/>
      <c r="S244" s="19"/>
      <c r="T244" s="19"/>
      <c r="U244" s="19"/>
      <c r="V244" s="19"/>
      <c r="W244" s="19"/>
      <c r="X244" s="19"/>
      <c r="Y244" s="19"/>
      <c r="Z244" s="19"/>
      <c r="AA244" s="19"/>
    </row>
    <row r="245" spans="1:27" ht="12.75" customHeight="1" x14ac:dyDescent="0.2">
      <c r="A245" s="29">
        <f t="shared" si="12"/>
        <v>301.64999999999998</v>
      </c>
      <c r="B245" s="21">
        <v>28.5</v>
      </c>
      <c r="C245" s="20">
        <v>61.0441</v>
      </c>
      <c r="D245" s="20">
        <f t="shared" si="13"/>
        <v>885.37141757999996</v>
      </c>
      <c r="E245" s="23">
        <v>706.61699999999996</v>
      </c>
      <c r="F245" s="24">
        <v>217.40241</v>
      </c>
      <c r="G245" s="23"/>
      <c r="H245" s="23"/>
      <c r="I245" s="23"/>
      <c r="J245" s="23"/>
      <c r="K245" s="28"/>
      <c r="L245" s="28"/>
      <c r="M245" s="21"/>
      <c r="N245" s="20"/>
      <c r="O245" s="19"/>
      <c r="P245" s="19"/>
      <c r="Q245" s="19"/>
      <c r="R245" s="19"/>
      <c r="S245" s="19"/>
      <c r="T245" s="19"/>
      <c r="U245" s="19"/>
      <c r="V245" s="19"/>
      <c r="W245" s="19"/>
      <c r="X245" s="19"/>
      <c r="Y245" s="19"/>
      <c r="Z245" s="19"/>
      <c r="AA245" s="19"/>
    </row>
    <row r="246" spans="1:27" ht="12.75" customHeight="1" x14ac:dyDescent="0.2">
      <c r="A246" s="29">
        <f t="shared" si="12"/>
        <v>302.14999999999998</v>
      </c>
      <c r="B246" s="21">
        <v>29</v>
      </c>
      <c r="C246" s="20">
        <v>61.7149</v>
      </c>
      <c r="D246" s="20">
        <f t="shared" si="13"/>
        <v>895.10056662</v>
      </c>
      <c r="E246" s="23">
        <v>700.70100000000002</v>
      </c>
      <c r="F246" s="24">
        <v>222.24187000000001</v>
      </c>
      <c r="G246" s="23"/>
      <c r="H246" s="23"/>
      <c r="I246" s="23"/>
      <c r="J246" s="23"/>
      <c r="K246" s="28"/>
      <c r="L246" s="28"/>
      <c r="M246" s="21"/>
      <c r="N246" s="20"/>
      <c r="O246" s="19"/>
      <c r="P246" s="19"/>
      <c r="Q246" s="19"/>
      <c r="R246" s="19"/>
      <c r="S246" s="19"/>
      <c r="T246" s="19"/>
      <c r="U246" s="19"/>
      <c r="V246" s="19"/>
      <c r="W246" s="19"/>
      <c r="X246" s="19"/>
      <c r="Y246" s="19"/>
      <c r="Z246" s="19"/>
      <c r="AA246" s="19"/>
    </row>
    <row r="247" spans="1:27" ht="12.75" customHeight="1" x14ac:dyDescent="0.2">
      <c r="A247" s="29">
        <f t="shared" si="12"/>
        <v>302.64999999999998</v>
      </c>
      <c r="B247" s="21">
        <v>29.5</v>
      </c>
      <c r="C247" s="20">
        <v>62.3919</v>
      </c>
      <c r="D247" s="20">
        <f t="shared" si="13"/>
        <v>904.91963922000002</v>
      </c>
      <c r="E247" s="23">
        <v>694.54100000000005</v>
      </c>
      <c r="F247" s="24">
        <v>227.33067</v>
      </c>
      <c r="G247" s="23"/>
      <c r="H247" s="23"/>
      <c r="I247" s="23"/>
      <c r="J247" s="23"/>
      <c r="K247" s="28"/>
      <c r="L247" s="28"/>
      <c r="M247" s="21"/>
      <c r="N247" s="20"/>
      <c r="O247" s="19"/>
      <c r="P247" s="19"/>
      <c r="Q247" s="19"/>
      <c r="R247" s="19"/>
      <c r="S247" s="19"/>
      <c r="T247" s="19"/>
      <c r="U247" s="19"/>
      <c r="V247" s="19"/>
      <c r="W247" s="19"/>
      <c r="X247" s="19"/>
      <c r="Y247" s="19"/>
      <c r="Z247" s="19"/>
      <c r="AA247" s="19"/>
    </row>
    <row r="248" spans="1:27" ht="12.75" customHeight="1" x14ac:dyDescent="0.2">
      <c r="A248" s="29">
        <f t="shared" si="12"/>
        <v>303.14999999999998</v>
      </c>
      <c r="B248" s="21">
        <v>30</v>
      </c>
      <c r="C248" s="20">
        <v>63.075499999999998</v>
      </c>
      <c r="D248" s="20">
        <f t="shared" si="13"/>
        <v>914.83443690000001</v>
      </c>
      <c r="E248" s="23">
        <v>688.10599999999999</v>
      </c>
      <c r="F248" s="24">
        <v>232.69981999999999</v>
      </c>
      <c r="G248" s="23"/>
      <c r="H248" s="23"/>
      <c r="I248" s="23"/>
      <c r="J248" s="23"/>
      <c r="K248" s="28"/>
      <c r="L248" s="28"/>
      <c r="M248" s="21"/>
      <c r="N248" s="20"/>
      <c r="O248" s="19"/>
      <c r="P248" s="19"/>
      <c r="Q248" s="19"/>
      <c r="R248" s="19"/>
      <c r="S248" s="19"/>
      <c r="T248" s="19"/>
      <c r="U248" s="19"/>
      <c r="V248" s="19"/>
      <c r="W248" s="19"/>
      <c r="X248" s="19"/>
      <c r="Y248" s="19"/>
      <c r="Z248" s="19"/>
      <c r="AA248" s="19"/>
    </row>
    <row r="249" spans="1:27" ht="12.75" customHeight="1" x14ac:dyDescent="0.2">
      <c r="A249" s="29">
        <f t="shared" si="12"/>
        <v>303.64999999999998</v>
      </c>
      <c r="B249" s="21">
        <v>30.5</v>
      </c>
      <c r="C249" s="20">
        <v>63.765599999999999</v>
      </c>
      <c r="D249" s="20">
        <f t="shared" si="13"/>
        <v>924.84350928000003</v>
      </c>
      <c r="E249" s="23">
        <v>681.35699999999997</v>
      </c>
      <c r="F249" s="24">
        <v>238.38712000000001</v>
      </c>
      <c r="G249" s="23"/>
      <c r="H249" s="23"/>
      <c r="I249" s="23"/>
      <c r="J249" s="23"/>
      <c r="K249" s="28"/>
      <c r="L249" s="28"/>
      <c r="M249" s="21"/>
      <c r="N249" s="20"/>
      <c r="O249" s="19"/>
      <c r="P249" s="19"/>
      <c r="Q249" s="19"/>
      <c r="R249" s="19"/>
      <c r="S249" s="19"/>
      <c r="T249" s="19"/>
      <c r="U249" s="19"/>
      <c r="V249" s="19"/>
      <c r="W249" s="19"/>
      <c r="X249" s="19"/>
      <c r="Y249" s="19"/>
      <c r="Z249" s="19"/>
      <c r="AA249" s="19"/>
    </row>
    <row r="250" spans="1:27" ht="12.75" customHeight="1" x14ac:dyDescent="0.2">
      <c r="A250" s="29">
        <f t="shared" si="12"/>
        <v>304.14999999999998</v>
      </c>
      <c r="B250" s="21">
        <v>31</v>
      </c>
      <c r="C250" s="20">
        <v>64.462500000000006</v>
      </c>
      <c r="D250" s="20">
        <f t="shared" si="13"/>
        <v>934.95120750000012</v>
      </c>
      <c r="E250" s="23">
        <v>674.24800000000005</v>
      </c>
      <c r="F250" s="24">
        <v>244.43940000000001</v>
      </c>
      <c r="G250" s="23"/>
      <c r="H250" s="23"/>
      <c r="I250" s="23"/>
      <c r="J250" s="23"/>
      <c r="K250" s="28"/>
      <c r="L250" s="28"/>
      <c r="M250" s="21"/>
      <c r="N250" s="20"/>
      <c r="O250" s="19"/>
      <c r="P250" s="19"/>
      <c r="Q250" s="19"/>
      <c r="R250" s="19"/>
      <c r="S250" s="19"/>
      <c r="T250" s="19"/>
      <c r="U250" s="19"/>
      <c r="V250" s="19"/>
      <c r="W250" s="19"/>
      <c r="X250" s="19"/>
      <c r="Y250" s="19"/>
      <c r="Z250" s="19"/>
      <c r="AA250" s="19"/>
    </row>
    <row r="251" spans="1:27" ht="12.75" customHeight="1" x14ac:dyDescent="0.2">
      <c r="A251" s="29">
        <f t="shared" si="12"/>
        <v>304.64999999999998</v>
      </c>
      <c r="B251" s="21">
        <v>31.5</v>
      </c>
      <c r="C251" s="20">
        <v>65.166399999999996</v>
      </c>
      <c r="D251" s="20">
        <f t="shared" si="13"/>
        <v>945.16043231999993</v>
      </c>
      <c r="E251" s="23">
        <v>666.71799999999996</v>
      </c>
      <c r="F251" s="24">
        <v>250.91578000000001</v>
      </c>
      <c r="G251" s="23"/>
      <c r="H251" s="23"/>
      <c r="I251" s="23"/>
      <c r="J251" s="23"/>
      <c r="K251" s="28"/>
      <c r="L251" s="28"/>
      <c r="M251" s="21"/>
      <c r="N251" s="20"/>
      <c r="O251" s="19"/>
      <c r="P251" s="19"/>
      <c r="Q251" s="19"/>
      <c r="R251" s="19"/>
      <c r="S251" s="19"/>
      <c r="T251" s="19"/>
      <c r="U251" s="19"/>
      <c r="V251" s="19"/>
      <c r="W251" s="19"/>
      <c r="X251" s="19"/>
      <c r="Y251" s="19"/>
      <c r="Z251" s="19"/>
      <c r="AA251" s="19"/>
    </row>
    <row r="252" spans="1:27" ht="12.75" customHeight="1" x14ac:dyDescent="0.2">
      <c r="A252" s="29">
        <f t="shared" si="12"/>
        <v>305.14999999999998</v>
      </c>
      <c r="B252" s="21">
        <v>32</v>
      </c>
      <c r="C252" s="20">
        <v>65.877300000000005</v>
      </c>
      <c r="D252" s="20">
        <f t="shared" si="13"/>
        <v>955.47118374000013</v>
      </c>
      <c r="E252" s="23">
        <v>658.69</v>
      </c>
      <c r="F252" s="24">
        <v>257.89258999999998</v>
      </c>
      <c r="G252" s="23"/>
      <c r="H252" s="23"/>
      <c r="I252" s="23"/>
      <c r="J252" s="23"/>
      <c r="K252" s="28"/>
      <c r="L252" s="28"/>
      <c r="M252" s="21"/>
      <c r="N252" s="20"/>
      <c r="O252" s="19"/>
      <c r="P252" s="19"/>
      <c r="Q252" s="19"/>
      <c r="R252" s="19"/>
      <c r="S252" s="19"/>
      <c r="T252" s="19"/>
      <c r="U252" s="19"/>
      <c r="V252" s="19"/>
      <c r="W252" s="19"/>
      <c r="X252" s="19"/>
      <c r="Y252" s="19"/>
      <c r="Z252" s="19"/>
      <c r="AA252" s="19"/>
    </row>
    <row r="253" spans="1:27" ht="12.75" customHeight="1" x14ac:dyDescent="0.2">
      <c r="A253" s="29">
        <f t="shared" si="12"/>
        <v>305.64999999999998</v>
      </c>
      <c r="B253" s="21">
        <v>32.5</v>
      </c>
      <c r="C253" s="20">
        <v>66.595500000000001</v>
      </c>
      <c r="D253" s="20">
        <f t="shared" si="13"/>
        <v>965.88781289999997</v>
      </c>
      <c r="E253" s="23">
        <v>650.06299999999999</v>
      </c>
      <c r="F253" s="24">
        <v>265.47109</v>
      </c>
      <c r="G253" s="23"/>
      <c r="H253" s="23"/>
      <c r="I253" s="23"/>
      <c r="J253" s="23"/>
      <c r="K253" s="28"/>
      <c r="L253" s="28"/>
      <c r="M253" s="21"/>
      <c r="N253" s="20"/>
      <c r="O253" s="19"/>
      <c r="P253" s="19"/>
      <c r="Q253" s="19"/>
      <c r="R253" s="19"/>
      <c r="S253" s="19"/>
      <c r="T253" s="19"/>
      <c r="U253" s="19"/>
      <c r="V253" s="19"/>
      <c r="W253" s="19"/>
      <c r="X253" s="19"/>
      <c r="Y253" s="19"/>
      <c r="Z253" s="19"/>
      <c r="AA253" s="19"/>
    </row>
    <row r="254" spans="1:27" ht="12.75" customHeight="1" x14ac:dyDescent="0.2">
      <c r="A254" s="29">
        <f t="shared" si="12"/>
        <v>306.14999999999998</v>
      </c>
      <c r="B254" s="21">
        <v>33</v>
      </c>
      <c r="C254" s="20">
        <v>67.321399999999997</v>
      </c>
      <c r="D254" s="20">
        <f t="shared" si="13"/>
        <v>976.41612132</v>
      </c>
      <c r="E254" s="23">
        <v>640.69399999999996</v>
      </c>
      <c r="F254" s="24">
        <v>273.79023000000001</v>
      </c>
      <c r="G254" s="23"/>
      <c r="H254" s="23"/>
      <c r="I254" s="23"/>
      <c r="J254" s="23"/>
      <c r="K254" s="28"/>
      <c r="L254" s="28"/>
      <c r="M254" s="21"/>
      <c r="N254" s="20"/>
      <c r="O254" s="19"/>
      <c r="P254" s="19"/>
      <c r="Q254" s="19"/>
      <c r="R254" s="19"/>
      <c r="S254" s="19"/>
      <c r="T254" s="19"/>
      <c r="U254" s="19"/>
      <c r="V254" s="19"/>
      <c r="W254" s="19"/>
      <c r="X254" s="19"/>
      <c r="Y254" s="19"/>
      <c r="Z254" s="19"/>
      <c r="AA254" s="19"/>
    </row>
    <row r="255" spans="1:27" ht="12.75" customHeight="1" x14ac:dyDescent="0.2">
      <c r="A255" s="29">
        <f t="shared" si="12"/>
        <v>306.64999999999998</v>
      </c>
      <c r="B255" s="21">
        <v>33.5</v>
      </c>
      <c r="C255" s="20">
        <v>68.055000000000007</v>
      </c>
      <c r="D255" s="20">
        <f t="shared" si="13"/>
        <v>987.05610900000011</v>
      </c>
      <c r="E255" s="23">
        <v>630.38199999999995</v>
      </c>
      <c r="F255" s="24">
        <v>283.04896000000002</v>
      </c>
      <c r="G255" s="23"/>
      <c r="H255" s="23"/>
      <c r="I255" s="23"/>
      <c r="J255" s="23"/>
      <c r="K255" s="28"/>
      <c r="L255" s="28"/>
      <c r="M255" s="21"/>
      <c r="N255" s="20"/>
      <c r="O255" s="19"/>
      <c r="P255" s="19"/>
      <c r="Q255" s="19"/>
      <c r="R255" s="19"/>
      <c r="S255" s="19"/>
      <c r="T255" s="19"/>
      <c r="U255" s="19"/>
      <c r="V255" s="19"/>
      <c r="W255" s="19"/>
      <c r="X255" s="19"/>
      <c r="Y255" s="19"/>
      <c r="Z255" s="19"/>
      <c r="AA255" s="19"/>
    </row>
    <row r="256" spans="1:27" ht="12.75" customHeight="1" x14ac:dyDescent="0.2">
      <c r="A256" s="29">
        <f t="shared" si="12"/>
        <v>307.14999999999998</v>
      </c>
      <c r="B256" s="21">
        <v>34</v>
      </c>
      <c r="C256" s="20">
        <v>68.796999999999997</v>
      </c>
      <c r="D256" s="20">
        <f t="shared" si="13"/>
        <v>997.81792859999996</v>
      </c>
      <c r="E256" s="23">
        <v>618.82100000000003</v>
      </c>
      <c r="F256" s="24">
        <v>293.5487</v>
      </c>
      <c r="G256" s="23"/>
      <c r="H256" s="23"/>
      <c r="I256" s="23"/>
      <c r="J256" s="23"/>
      <c r="K256" s="28"/>
      <c r="L256" s="28"/>
      <c r="M256" s="21"/>
      <c r="N256" s="20"/>
      <c r="O256" s="19"/>
      <c r="P256" s="19"/>
      <c r="Q256" s="19"/>
      <c r="R256" s="19"/>
      <c r="S256" s="19"/>
      <c r="T256" s="19"/>
      <c r="U256" s="19"/>
      <c r="V256" s="19"/>
      <c r="W256" s="19"/>
      <c r="X256" s="19"/>
      <c r="Y256" s="19"/>
      <c r="Z256" s="19"/>
      <c r="AA256" s="19"/>
    </row>
    <row r="257" spans="1:27" ht="12.75" customHeight="1" x14ac:dyDescent="0.2">
      <c r="A257" s="29">
        <f t="shared" si="12"/>
        <v>307.64999999999998</v>
      </c>
      <c r="B257" s="21">
        <v>34.5</v>
      </c>
      <c r="C257" s="20">
        <v>69.547600000000003</v>
      </c>
      <c r="D257" s="20">
        <f t="shared" si="13"/>
        <v>1008.70448088</v>
      </c>
      <c r="E257" s="23">
        <v>605.50900000000001</v>
      </c>
      <c r="F257" s="24">
        <v>305.78268000000003</v>
      </c>
      <c r="G257" s="23"/>
      <c r="H257" s="23"/>
      <c r="I257" s="23"/>
      <c r="J257" s="23"/>
      <c r="K257" s="28"/>
      <c r="L257" s="28"/>
      <c r="M257" s="21"/>
      <c r="N257" s="20"/>
      <c r="O257" s="19"/>
      <c r="P257" s="19"/>
      <c r="Q257" s="19"/>
      <c r="R257" s="19"/>
      <c r="S257" s="19"/>
      <c r="T257" s="19"/>
      <c r="U257" s="19"/>
      <c r="V257" s="19"/>
      <c r="W257" s="19"/>
      <c r="X257" s="19"/>
      <c r="Y257" s="19"/>
      <c r="Z257" s="19"/>
      <c r="AA257" s="19"/>
    </row>
    <row r="258" spans="1:27" ht="12.75" customHeight="1" x14ac:dyDescent="0.2">
      <c r="A258" s="29">
        <f t="shared" si="12"/>
        <v>308.14999999999998</v>
      </c>
      <c r="B258" s="21">
        <v>35</v>
      </c>
      <c r="C258" s="20">
        <v>70.307500000000005</v>
      </c>
      <c r="D258" s="20">
        <f t="shared" si="13"/>
        <v>1019.7259185</v>
      </c>
      <c r="E258" s="23">
        <v>589.52499999999998</v>
      </c>
      <c r="F258" s="24">
        <v>320.65544</v>
      </c>
      <c r="G258" s="23"/>
      <c r="H258" s="23"/>
      <c r="I258" s="23"/>
      <c r="J258" s="23"/>
      <c r="K258" s="28"/>
      <c r="L258" s="28"/>
      <c r="M258" s="21"/>
      <c r="N258" s="20"/>
      <c r="O258" s="19"/>
      <c r="P258" s="19"/>
      <c r="Q258" s="19"/>
      <c r="R258" s="19"/>
      <c r="S258" s="19"/>
      <c r="T258" s="19"/>
      <c r="U258" s="19"/>
      <c r="V258" s="19"/>
      <c r="W258" s="19"/>
      <c r="X258" s="19"/>
      <c r="Y258" s="19"/>
      <c r="Z258" s="19"/>
      <c r="AA258" s="19"/>
    </row>
    <row r="259" spans="1:27" ht="12.75" customHeight="1" x14ac:dyDescent="0.2">
      <c r="A259" s="29">
        <f t="shared" si="12"/>
        <v>308.64999999999998</v>
      </c>
      <c r="B259" s="21">
        <v>35.5</v>
      </c>
      <c r="C259" s="20">
        <v>71.077500000000001</v>
      </c>
      <c r="D259" s="20">
        <f t="shared" si="13"/>
        <v>1030.8938445000001</v>
      </c>
      <c r="E259" s="23">
        <v>568.83000000000004</v>
      </c>
      <c r="F259" s="24">
        <v>340.16746999999998</v>
      </c>
      <c r="G259" s="23"/>
      <c r="H259" s="23"/>
      <c r="I259" s="23"/>
      <c r="J259" s="23"/>
      <c r="K259" s="28"/>
      <c r="L259" s="28"/>
      <c r="M259" s="21"/>
      <c r="N259" s="20"/>
      <c r="O259" s="19"/>
      <c r="P259" s="19"/>
      <c r="Q259" s="19"/>
      <c r="R259" s="19"/>
      <c r="S259" s="19"/>
      <c r="T259" s="19"/>
      <c r="U259" s="19"/>
      <c r="V259" s="19"/>
      <c r="W259" s="19"/>
      <c r="X259" s="19"/>
      <c r="Y259" s="19"/>
      <c r="Z259" s="19"/>
      <c r="AA259" s="19"/>
    </row>
    <row r="260" spans="1:27" ht="12.75" customHeight="1" x14ac:dyDescent="0.2">
      <c r="A260" s="29">
        <f t="shared" si="12"/>
        <v>309.14999999999998</v>
      </c>
      <c r="B260" s="21">
        <v>36</v>
      </c>
      <c r="C260" s="20">
        <v>71.859200000000001</v>
      </c>
      <c r="D260" s="20">
        <f t="shared" si="13"/>
        <v>1042.23146496</v>
      </c>
      <c r="E260" s="23">
        <v>536.78399999999999</v>
      </c>
      <c r="F260" s="24">
        <v>370.83184</v>
      </c>
      <c r="G260" s="23"/>
      <c r="H260" s="23"/>
      <c r="I260" s="23"/>
      <c r="J260" s="23"/>
      <c r="K260" s="28"/>
      <c r="L260" s="28"/>
      <c r="M260" s="21"/>
      <c r="N260" s="20"/>
      <c r="O260" s="19"/>
      <c r="P260" s="19"/>
      <c r="Q260" s="19"/>
      <c r="R260" s="19"/>
      <c r="S260" s="19"/>
      <c r="T260" s="19"/>
      <c r="U260" s="19"/>
      <c r="V260" s="19"/>
      <c r="W260" s="19"/>
      <c r="X260" s="19"/>
      <c r="Y260" s="19"/>
      <c r="Z260" s="19"/>
      <c r="AA260" s="19"/>
    </row>
    <row r="261" spans="1:27" ht="12.75" customHeight="1" x14ac:dyDescent="0.2">
      <c r="A261" s="27">
        <f t="shared" si="12"/>
        <v>309.52</v>
      </c>
      <c r="B261" s="21">
        <v>36.369999999999997</v>
      </c>
      <c r="C261" s="26">
        <v>72.45</v>
      </c>
      <c r="D261" s="20">
        <f t="shared" si="13"/>
        <v>1050.8003100000001</v>
      </c>
      <c r="E261" s="23">
        <v>452.01100000000002</v>
      </c>
      <c r="F261" s="24">
        <v>452.01146</v>
      </c>
      <c r="G261" s="23"/>
      <c r="H261" s="23"/>
      <c r="I261" s="23"/>
      <c r="J261" s="23"/>
      <c r="K261" s="22"/>
      <c r="L261" s="22"/>
      <c r="M261" s="21"/>
      <c r="N261" s="20"/>
      <c r="O261" s="19"/>
      <c r="P261" s="19"/>
      <c r="Q261" s="19"/>
      <c r="R261" s="19"/>
      <c r="S261" s="19"/>
      <c r="T261" s="19"/>
      <c r="U261" s="19"/>
      <c r="V261" s="19"/>
      <c r="W261" s="19"/>
      <c r="X261" s="19"/>
      <c r="Y261" s="19"/>
      <c r="Z261" s="19"/>
      <c r="AA261" s="19"/>
    </row>
    <row r="262" spans="1:27" ht="12.75" customHeight="1" x14ac:dyDescent="0.2">
      <c r="A262" s="25"/>
      <c r="B262" s="21"/>
      <c r="C262" s="20"/>
      <c r="D262" s="20"/>
      <c r="E262" s="23"/>
      <c r="F262" s="24"/>
      <c r="G262" s="23"/>
      <c r="H262" s="23"/>
      <c r="I262" s="23"/>
      <c r="J262" s="23"/>
      <c r="K262" s="22"/>
      <c r="L262" s="22"/>
      <c r="M262" s="21"/>
      <c r="N262" s="20"/>
      <c r="O262" s="19"/>
      <c r="P262" s="19"/>
      <c r="Q262" s="19"/>
      <c r="R262" s="19"/>
      <c r="S262" s="19"/>
      <c r="T262" s="19"/>
      <c r="U262" s="19"/>
      <c r="V262" s="19"/>
      <c r="W262" s="19"/>
      <c r="X262" s="19"/>
      <c r="Y262" s="19"/>
      <c r="Z262" s="19"/>
      <c r="AA262" s="19"/>
    </row>
    <row r="263" spans="1:27" ht="12.75" x14ac:dyDescent="0.2">
      <c r="A263" s="77"/>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spans="1:27" ht="12.75" x14ac:dyDescent="0.2">
      <c r="A264" s="77"/>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spans="1:27" ht="12.75" x14ac:dyDescent="0.2">
      <c r="A265" s="77"/>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spans="1:27" ht="12.75" x14ac:dyDescent="0.2">
      <c r="A266" s="77"/>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spans="1:27" ht="12.75" x14ac:dyDescent="0.2">
      <c r="A267" s="77"/>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spans="1:27" ht="12.75" x14ac:dyDescent="0.2">
      <c r="A268" s="77"/>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spans="1:27" ht="12.75" x14ac:dyDescent="0.2">
      <c r="A269" s="77"/>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spans="1:27" ht="12.75" x14ac:dyDescent="0.2">
      <c r="A270" s="77"/>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spans="1:27" ht="12.75" x14ac:dyDescent="0.2">
      <c r="A271" s="77"/>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spans="1:27" ht="12.75" x14ac:dyDescent="0.2">
      <c r="A272" s="77"/>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spans="2:27" ht="12.75" x14ac:dyDescent="0.2">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spans="2:27" ht="12.75" x14ac:dyDescent="0.2">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spans="2:27" ht="12.75" x14ac:dyDescent="0.2">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spans="2:27" ht="12.75" x14ac:dyDescent="0.2">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spans="2:27" ht="12.75" x14ac:dyDescent="0.2">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spans="2:27" ht="12.75" x14ac:dyDescent="0.2">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spans="2:27" ht="12.75" x14ac:dyDescent="0.2">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spans="2:27" ht="12.75" x14ac:dyDescent="0.2">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spans="2:27" ht="12.75" x14ac:dyDescent="0.2">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spans="2:27" ht="12.75" x14ac:dyDescent="0.2">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spans="2:27" ht="12.75" x14ac:dyDescent="0.2">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spans="2:27" ht="12.75" x14ac:dyDescent="0.2">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spans="2:27" ht="12.75" x14ac:dyDescent="0.2">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spans="2:27" ht="12.75" x14ac:dyDescent="0.2">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spans="2:27" ht="12.75" x14ac:dyDescent="0.2">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spans="2:27" ht="12.75" x14ac:dyDescent="0.2">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spans="2:27" ht="12.75" x14ac:dyDescent="0.2">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spans="2:27" ht="12.75" x14ac:dyDescent="0.2">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spans="2:27" ht="12.75" x14ac:dyDescent="0.2">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spans="2:27" ht="12.75" x14ac:dyDescent="0.2">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spans="2:27" ht="12.75" x14ac:dyDescent="0.2">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spans="2:27" ht="12.75" x14ac:dyDescent="0.2">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spans="2:27" ht="12.75" x14ac:dyDescent="0.2">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spans="2:27" ht="12.75" x14ac:dyDescent="0.2">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spans="2:27" ht="12.75" x14ac:dyDescent="0.2">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spans="2:27" ht="12.75" x14ac:dyDescent="0.2">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spans="2:27" ht="12.75" x14ac:dyDescent="0.2">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spans="2:27" ht="12.75" x14ac:dyDescent="0.2">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spans="2:27" ht="12.75" x14ac:dyDescent="0.2">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spans="2:27" ht="12.75" x14ac:dyDescent="0.2">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spans="2:27" ht="12.75" x14ac:dyDescent="0.2">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spans="2:27" ht="12.75" x14ac:dyDescent="0.2">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spans="2:27" ht="12.75" x14ac:dyDescent="0.2">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spans="2:27" ht="12.75" x14ac:dyDescent="0.2">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spans="2:27" ht="12.75" x14ac:dyDescent="0.2">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spans="2:27" ht="12.75" x14ac:dyDescent="0.2">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spans="2:27" ht="12.75" x14ac:dyDescent="0.2">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spans="2:27" ht="12.75" x14ac:dyDescent="0.2">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spans="2:27" ht="12.75" x14ac:dyDescent="0.2">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spans="2:27" ht="12.75" x14ac:dyDescent="0.2">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spans="2:27" ht="12.75" x14ac:dyDescent="0.2">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spans="2:27" ht="12.75" x14ac:dyDescent="0.2">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spans="2:27" ht="12.75" x14ac:dyDescent="0.2">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spans="2:27" ht="12.75" x14ac:dyDescent="0.2">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spans="2:27" ht="12.75" x14ac:dyDescent="0.2">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spans="2:27" ht="12.75" x14ac:dyDescent="0.2">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spans="2:27" ht="12.75" x14ac:dyDescent="0.2">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spans="2:27" ht="12.75" x14ac:dyDescent="0.2">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spans="2:27" ht="12.75" x14ac:dyDescent="0.2">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spans="2:27" ht="12.75" x14ac:dyDescent="0.2">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spans="2:27" ht="12.75" x14ac:dyDescent="0.2">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spans="2:27" ht="12.75" x14ac:dyDescent="0.2">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spans="2:27" ht="12.75" x14ac:dyDescent="0.2">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spans="2:27" ht="12.75" x14ac:dyDescent="0.2">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spans="2:27" ht="12.75" x14ac:dyDescent="0.2">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spans="2:27" ht="12.75" x14ac:dyDescent="0.2">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spans="2:27" ht="12.75" x14ac:dyDescent="0.2">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spans="2:27" ht="12.75" x14ac:dyDescent="0.2">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spans="2:27" ht="12.75" x14ac:dyDescent="0.2">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spans="2:27" ht="12.75" x14ac:dyDescent="0.2">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spans="2:27" ht="12.75" x14ac:dyDescent="0.2">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spans="2:27" ht="12.75" x14ac:dyDescent="0.2">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spans="2:27" ht="12.75" x14ac:dyDescent="0.2">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spans="2:27" ht="12.75" x14ac:dyDescent="0.2">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spans="2:27" ht="12.75" x14ac:dyDescent="0.2">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spans="2:27" ht="12.75" x14ac:dyDescent="0.2">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spans="2:27" ht="12.75" x14ac:dyDescent="0.2">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spans="2:27" ht="12.75" x14ac:dyDescent="0.2">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spans="2:27" ht="12.75" x14ac:dyDescent="0.2">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spans="2:27" ht="12.75" x14ac:dyDescent="0.2">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spans="2:27" ht="12.75" x14ac:dyDescent="0.2">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spans="2:27" ht="12.75" x14ac:dyDescent="0.2">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spans="2:27" ht="12.75" x14ac:dyDescent="0.2">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spans="2:27" ht="12.75" x14ac:dyDescent="0.2">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spans="2:27" ht="12.75" x14ac:dyDescent="0.2">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spans="2:27" ht="12.75" x14ac:dyDescent="0.2">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spans="2:27" ht="12.75" x14ac:dyDescent="0.2">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spans="2:27" ht="12.75" x14ac:dyDescent="0.2">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spans="2:27" ht="12.75" x14ac:dyDescent="0.2">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spans="2:27" ht="12.75" x14ac:dyDescent="0.2">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spans="2:27" ht="12.75" x14ac:dyDescent="0.2">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spans="2:27" ht="12.75" x14ac:dyDescent="0.2">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spans="2:27" ht="12.75" x14ac:dyDescent="0.2">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spans="2:27" ht="12.75" x14ac:dyDescent="0.2">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spans="2:27" ht="12.75" x14ac:dyDescent="0.2">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spans="2:27" ht="12.75" x14ac:dyDescent="0.2">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spans="2:27" ht="12.75" x14ac:dyDescent="0.2">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spans="2:27" ht="12.75" x14ac:dyDescent="0.2">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spans="2:27" ht="12.75" x14ac:dyDescent="0.2">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spans="2:27" ht="12.75" x14ac:dyDescent="0.2">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spans="2:27" ht="12.75" x14ac:dyDescent="0.2">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spans="2:27" ht="12.75" x14ac:dyDescent="0.2">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spans="2:27" ht="12.75" x14ac:dyDescent="0.2">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spans="2:27" ht="12.75" x14ac:dyDescent="0.2">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spans="2:27" ht="12.75" x14ac:dyDescent="0.2">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spans="2:27" ht="12.75" x14ac:dyDescent="0.2">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spans="2:27" ht="12.75" x14ac:dyDescent="0.2">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spans="2:27" ht="12.75" x14ac:dyDescent="0.2">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spans="2:27" ht="12.75" x14ac:dyDescent="0.2">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spans="2:27" ht="12.75" x14ac:dyDescent="0.2">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spans="2:27" ht="12.75" x14ac:dyDescent="0.2">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spans="2:27" ht="12.75" x14ac:dyDescent="0.2">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spans="2:27" ht="12.75" x14ac:dyDescent="0.2">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spans="2:27" ht="12.75" x14ac:dyDescent="0.2">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spans="2:27" ht="12.75" x14ac:dyDescent="0.2">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spans="2:27" ht="12.75" x14ac:dyDescent="0.2">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spans="2:27" ht="12.75" x14ac:dyDescent="0.2">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spans="2:27" ht="12.75" x14ac:dyDescent="0.2">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spans="2:27" ht="12.75" x14ac:dyDescent="0.2">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spans="2:27" ht="12.75" x14ac:dyDescent="0.2">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spans="2:27" ht="12.75" x14ac:dyDescent="0.2">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spans="2:27" ht="12.75" x14ac:dyDescent="0.2">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spans="2:27" ht="12.75" x14ac:dyDescent="0.2">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spans="2:27" ht="12.75" x14ac:dyDescent="0.2">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spans="2:27" ht="12.75" x14ac:dyDescent="0.2">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spans="2:27" ht="12.75" x14ac:dyDescent="0.2">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spans="2:27" ht="12.75" x14ac:dyDescent="0.2">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spans="2:27" ht="12.75" x14ac:dyDescent="0.2">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spans="2:27" ht="12.75" x14ac:dyDescent="0.2">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spans="2:27" ht="12.75" x14ac:dyDescent="0.2">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spans="2:27" ht="12.75" x14ac:dyDescent="0.2">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spans="2:27" ht="12.75" x14ac:dyDescent="0.2">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spans="2:27" ht="12.75" x14ac:dyDescent="0.2">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spans="2:27" ht="12.75" x14ac:dyDescent="0.2">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spans="2:27" ht="12.75" x14ac:dyDescent="0.2">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spans="2:27" ht="12.75" x14ac:dyDescent="0.2">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spans="2:27" ht="12.75" x14ac:dyDescent="0.2">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spans="2:27" ht="12.75" x14ac:dyDescent="0.2">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spans="2:27" ht="12.75" x14ac:dyDescent="0.2">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spans="2:27" ht="12.75" x14ac:dyDescent="0.2">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spans="2:27" ht="12.75" x14ac:dyDescent="0.2">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spans="2:27" ht="12.75" x14ac:dyDescent="0.2">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spans="2:27" ht="12.75" x14ac:dyDescent="0.2">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spans="2:27" ht="12.75" x14ac:dyDescent="0.2">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spans="2:27" ht="12.75" x14ac:dyDescent="0.2">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spans="2:27" ht="12.75" x14ac:dyDescent="0.2">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spans="2:27" ht="12.75" x14ac:dyDescent="0.2">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spans="2:27" ht="12.75" x14ac:dyDescent="0.2">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spans="2:27" ht="12.75" x14ac:dyDescent="0.2">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spans="2:27" ht="12.75" x14ac:dyDescent="0.2">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spans="2:27" ht="12.75" x14ac:dyDescent="0.2">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spans="2:27" ht="12.75" x14ac:dyDescent="0.2">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spans="2:27" ht="12.75" x14ac:dyDescent="0.2">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spans="2:27" ht="12.75" x14ac:dyDescent="0.2">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spans="2:27" ht="12.75" x14ac:dyDescent="0.2">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spans="2:27" ht="12.75" x14ac:dyDescent="0.2">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spans="2:27" ht="12.75" x14ac:dyDescent="0.2">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spans="2:27" ht="12.75" x14ac:dyDescent="0.2">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spans="2:27" ht="12.75" x14ac:dyDescent="0.2">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spans="2:27" ht="12.75" x14ac:dyDescent="0.2">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spans="2:27" ht="12.75" x14ac:dyDescent="0.2">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spans="2:27" ht="12.75" x14ac:dyDescent="0.2">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spans="2:27" ht="12.75" x14ac:dyDescent="0.2">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spans="2:27" ht="12.75" x14ac:dyDescent="0.2">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spans="2:27" ht="12.75" x14ac:dyDescent="0.2">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spans="2:27" ht="12.75" x14ac:dyDescent="0.2">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spans="2:27" ht="12.75" x14ac:dyDescent="0.2">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spans="2:27" ht="12.75" x14ac:dyDescent="0.2">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spans="2:27" ht="12.75" x14ac:dyDescent="0.2">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spans="2:27" ht="12.75" x14ac:dyDescent="0.2">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spans="2:27" ht="12.75" x14ac:dyDescent="0.2">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spans="2:27" ht="12.75" x14ac:dyDescent="0.2">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spans="2:27" ht="12.75" x14ac:dyDescent="0.2">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spans="2:27" ht="12.75" x14ac:dyDescent="0.2">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spans="2:27" ht="12.75" x14ac:dyDescent="0.2">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spans="2:27" ht="12.75" x14ac:dyDescent="0.2">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spans="2:27" ht="12.75" x14ac:dyDescent="0.2">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spans="2:27" ht="12.75" x14ac:dyDescent="0.2">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spans="2:27" ht="12.75" x14ac:dyDescent="0.2">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spans="2:27" ht="12.75" x14ac:dyDescent="0.2">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spans="2:27" ht="12.75" x14ac:dyDescent="0.2">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spans="2:27" ht="12.75" x14ac:dyDescent="0.2">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spans="2:27" ht="12.75" x14ac:dyDescent="0.2">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spans="2:27" ht="12.75" x14ac:dyDescent="0.2">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spans="2:27" ht="12.75" x14ac:dyDescent="0.2">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spans="2:27" ht="12.75" x14ac:dyDescent="0.2">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spans="2:27" ht="12.75" x14ac:dyDescent="0.2">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spans="2:27" ht="12.75" x14ac:dyDescent="0.2">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spans="2:27" ht="12.75" x14ac:dyDescent="0.2">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spans="2:27" ht="12.75" x14ac:dyDescent="0.2">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spans="2:27" ht="12.75" x14ac:dyDescent="0.2">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spans="2:27" ht="12.75" x14ac:dyDescent="0.2">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spans="2:27" ht="12.75" x14ac:dyDescent="0.2">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spans="2:27" ht="12.75" x14ac:dyDescent="0.2">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spans="2:27" ht="12.75" x14ac:dyDescent="0.2">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spans="2:27" ht="12.75" x14ac:dyDescent="0.2">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spans="2:27" ht="12.75" x14ac:dyDescent="0.2">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spans="2:27" ht="12.75" x14ac:dyDescent="0.2">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spans="2:27" ht="12.75" x14ac:dyDescent="0.2">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spans="2:27" ht="12.75" x14ac:dyDescent="0.2">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spans="2:27" ht="12.75" x14ac:dyDescent="0.2">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spans="2:27" ht="12.75" x14ac:dyDescent="0.2">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spans="2:27" ht="12.75" x14ac:dyDescent="0.2">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spans="2:27" ht="12.75" x14ac:dyDescent="0.2">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spans="2:27" ht="12.75" x14ac:dyDescent="0.2">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spans="2:27" ht="12.75" x14ac:dyDescent="0.2">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spans="2:27" ht="12.75" x14ac:dyDescent="0.2">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spans="2:27" ht="12.75" x14ac:dyDescent="0.2">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spans="2:27" ht="12.75" x14ac:dyDescent="0.2">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spans="2:27" ht="12.75" x14ac:dyDescent="0.2">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spans="2:27" ht="12.75" x14ac:dyDescent="0.2">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spans="2:27" ht="12.75" x14ac:dyDescent="0.2">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spans="2:27" ht="12.75" x14ac:dyDescent="0.2">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spans="2:27" ht="12.75" x14ac:dyDescent="0.2">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spans="2:27" ht="12.75" x14ac:dyDescent="0.2">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spans="2:27" ht="12.75" x14ac:dyDescent="0.2">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spans="2:27" ht="12.75" x14ac:dyDescent="0.2">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spans="2:27" ht="12.75" x14ac:dyDescent="0.2">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spans="2:27" ht="12.75" x14ac:dyDescent="0.2">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spans="2:27" ht="12.75" x14ac:dyDescent="0.2">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spans="2:27" ht="12.75" x14ac:dyDescent="0.2">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spans="2:27" ht="12.75" x14ac:dyDescent="0.2">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spans="2:27" ht="12.75" x14ac:dyDescent="0.2">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spans="2:27" ht="12.75" x14ac:dyDescent="0.2">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spans="2:27" ht="12.75" x14ac:dyDescent="0.2">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spans="2:27" ht="12.75" x14ac:dyDescent="0.2">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spans="2:27" ht="12.75" x14ac:dyDescent="0.2">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spans="2:27" ht="12.75" x14ac:dyDescent="0.2">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spans="2:27" ht="12.75" x14ac:dyDescent="0.2">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spans="2:27" ht="12.75" x14ac:dyDescent="0.2">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spans="2:27" ht="12.75" x14ac:dyDescent="0.2">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spans="2:27" ht="12.75" x14ac:dyDescent="0.2">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spans="2:27" ht="12.75" x14ac:dyDescent="0.2">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spans="2:27" ht="12.75" x14ac:dyDescent="0.2">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spans="2:27" ht="12.75" x14ac:dyDescent="0.2">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spans="2:27" ht="12.75" x14ac:dyDescent="0.2">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spans="2:27" ht="12.75" x14ac:dyDescent="0.2">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spans="2:27" ht="12.75" x14ac:dyDescent="0.2">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spans="2:27" ht="12.75" x14ac:dyDescent="0.2">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spans="2:27" ht="12.75" x14ac:dyDescent="0.2">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spans="2:27" ht="12.75" x14ac:dyDescent="0.2">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spans="2:27" ht="12.75" x14ac:dyDescent="0.2">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spans="2:27" ht="12.75" x14ac:dyDescent="0.2">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spans="2:27" ht="12.75" x14ac:dyDescent="0.2">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spans="2:27" ht="12.75" x14ac:dyDescent="0.2">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spans="2:27" ht="12.75" x14ac:dyDescent="0.2">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spans="2:27" ht="12.75" x14ac:dyDescent="0.2">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spans="2:27" ht="12.75" x14ac:dyDescent="0.2">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spans="2:27" ht="12.75" x14ac:dyDescent="0.2">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spans="2:27" ht="12.75" x14ac:dyDescent="0.2">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spans="2:27" ht="12.75" x14ac:dyDescent="0.2">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spans="2:27" ht="12.75" x14ac:dyDescent="0.2">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spans="2:27" ht="12.75" x14ac:dyDescent="0.2">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spans="2:27" ht="12.75" x14ac:dyDescent="0.2">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spans="2:27" ht="12.75" x14ac:dyDescent="0.2">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spans="2:27" ht="12.75" x14ac:dyDescent="0.2">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spans="2:27" ht="12.75" x14ac:dyDescent="0.2">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spans="2:27" ht="12.75" x14ac:dyDescent="0.2">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spans="2:27" ht="12.75" x14ac:dyDescent="0.2">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spans="2:27" ht="12.75" x14ac:dyDescent="0.2">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spans="2:27" ht="12.75" x14ac:dyDescent="0.2">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spans="2:27" ht="12.75" x14ac:dyDescent="0.2">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spans="2:27" ht="12.75" x14ac:dyDescent="0.2">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spans="2:27" ht="12.75" x14ac:dyDescent="0.2">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spans="2:27" ht="12.75" x14ac:dyDescent="0.2">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spans="2:27" ht="12.75" x14ac:dyDescent="0.2">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spans="2:27" ht="12.75" x14ac:dyDescent="0.2">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spans="2:27" ht="12.75" x14ac:dyDescent="0.2">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spans="2:27" ht="12.75" x14ac:dyDescent="0.2">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spans="2:27" ht="12.75" x14ac:dyDescent="0.2">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spans="2:27" ht="12.75" x14ac:dyDescent="0.2">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spans="2:27" ht="12.75" x14ac:dyDescent="0.2">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spans="2:27" ht="12.75" x14ac:dyDescent="0.2">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spans="2:27" ht="12.75" x14ac:dyDescent="0.2">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spans="2:27" ht="12.75" x14ac:dyDescent="0.2">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spans="2:27" ht="12.75" x14ac:dyDescent="0.2">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spans="2:27" ht="12.75" x14ac:dyDescent="0.2">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spans="2:27" ht="12.75" x14ac:dyDescent="0.2">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spans="2:27" ht="12.75" x14ac:dyDescent="0.2">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spans="2:27" ht="12.75" x14ac:dyDescent="0.2">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spans="2:27" ht="12.75" x14ac:dyDescent="0.2">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spans="2:27" ht="12.75" x14ac:dyDescent="0.2">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spans="2:27" ht="12.75" x14ac:dyDescent="0.2">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spans="2:27" ht="12.75" x14ac:dyDescent="0.2">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spans="2:27" ht="12.75" x14ac:dyDescent="0.2">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spans="2:27" ht="12.75" x14ac:dyDescent="0.2">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spans="2:27" ht="12.75" x14ac:dyDescent="0.2">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spans="2:27" ht="12.75" x14ac:dyDescent="0.2">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spans="2:27" ht="12.75" x14ac:dyDescent="0.2">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spans="2:27" ht="12.75" x14ac:dyDescent="0.2">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spans="2:27" ht="12.75" x14ac:dyDescent="0.2">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spans="2:27" ht="12.75" x14ac:dyDescent="0.2">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spans="2:27" ht="12.75" x14ac:dyDescent="0.2">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spans="2:27" ht="12.75" x14ac:dyDescent="0.2">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spans="2:27" ht="12.75" x14ac:dyDescent="0.2">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spans="2:27" ht="12.75" x14ac:dyDescent="0.2">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spans="2:27" ht="12.75" x14ac:dyDescent="0.2">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spans="2:27" ht="12.75" x14ac:dyDescent="0.2">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spans="2:27" ht="12.75" x14ac:dyDescent="0.2">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spans="2:27" ht="12.75" x14ac:dyDescent="0.2">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spans="2:27" ht="12.75" x14ac:dyDescent="0.2">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spans="2:27" ht="12.75" x14ac:dyDescent="0.2">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spans="2:27" ht="12.75" x14ac:dyDescent="0.2">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spans="2:27" ht="12.75" x14ac:dyDescent="0.2">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spans="2:27" ht="12.75" x14ac:dyDescent="0.2">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spans="2:27" ht="12.75" x14ac:dyDescent="0.2">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spans="2:27" ht="12.75" x14ac:dyDescent="0.2">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spans="2:27" ht="12.75" x14ac:dyDescent="0.2">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spans="2:27" ht="12.75" x14ac:dyDescent="0.2">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spans="2:27" ht="12.75" x14ac:dyDescent="0.2">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spans="2:27" ht="12.75" x14ac:dyDescent="0.2">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spans="2:27" ht="12.75" x14ac:dyDescent="0.2">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spans="2:27" ht="12.75" x14ac:dyDescent="0.2">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spans="2:27" ht="12.75" x14ac:dyDescent="0.2">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spans="2:27" ht="12.75" x14ac:dyDescent="0.2">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spans="2:27" ht="12.75" x14ac:dyDescent="0.2">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spans="2:27" ht="12.75" x14ac:dyDescent="0.2">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spans="2:27" ht="12.75" x14ac:dyDescent="0.2">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spans="2:27" ht="12.75" x14ac:dyDescent="0.2">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spans="2:27" ht="12.75" x14ac:dyDescent="0.2">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spans="2:27" ht="12.75" x14ac:dyDescent="0.2">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spans="2:27" ht="12.75" x14ac:dyDescent="0.2">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spans="2:27" ht="12.75" x14ac:dyDescent="0.2">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spans="2:27" ht="12.75" x14ac:dyDescent="0.2">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spans="2:27" ht="12.75" x14ac:dyDescent="0.2">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spans="2:27" ht="12.75" x14ac:dyDescent="0.2">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spans="2:27" ht="12.75" x14ac:dyDescent="0.2">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spans="2:27" ht="12.75" x14ac:dyDescent="0.2">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spans="2:27" ht="12.75" x14ac:dyDescent="0.2">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spans="2:27" ht="12.75" x14ac:dyDescent="0.2">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spans="2:27" ht="12.75" x14ac:dyDescent="0.2">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spans="2:27" ht="12.75" x14ac:dyDescent="0.2">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spans="2:27" ht="12.75" x14ac:dyDescent="0.2">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spans="2:27" ht="12.75" x14ac:dyDescent="0.2">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spans="2:27" ht="12.75" x14ac:dyDescent="0.2">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spans="2:27" ht="12.75" x14ac:dyDescent="0.2">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spans="2:27" ht="12.75" x14ac:dyDescent="0.2">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spans="2:27" ht="12.75" x14ac:dyDescent="0.2">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spans="2:27" ht="12.75" x14ac:dyDescent="0.2">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spans="2:27" ht="12.75" x14ac:dyDescent="0.2">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spans="2:27" ht="12.75" x14ac:dyDescent="0.2">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spans="2:27" ht="12.75" x14ac:dyDescent="0.2">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spans="2:27" ht="12.75" x14ac:dyDescent="0.2">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spans="2:27" ht="12.75" x14ac:dyDescent="0.2">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spans="2:27" ht="12.75" x14ac:dyDescent="0.2">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spans="2:27" ht="12.75" x14ac:dyDescent="0.2">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spans="2:27" ht="12.75" x14ac:dyDescent="0.2">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spans="2:27" ht="12.75" x14ac:dyDescent="0.2">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spans="2:27" ht="12.75" x14ac:dyDescent="0.2">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spans="2:27" ht="12.75" x14ac:dyDescent="0.2">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spans="2:27" ht="12.75" x14ac:dyDescent="0.2">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spans="2:27" ht="12.75" x14ac:dyDescent="0.2">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spans="2:27" ht="12.75" x14ac:dyDescent="0.2">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spans="2:27" ht="12.75" x14ac:dyDescent="0.2">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spans="2:27" ht="12.75" x14ac:dyDescent="0.2">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spans="2:27" ht="12.75" x14ac:dyDescent="0.2">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spans="2:27" ht="12.75" x14ac:dyDescent="0.2">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spans="2:27" ht="12.75" x14ac:dyDescent="0.2">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spans="2:27" ht="12.75" x14ac:dyDescent="0.2">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spans="2:27" ht="12.75" x14ac:dyDescent="0.2">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spans="2:27" ht="12.75" x14ac:dyDescent="0.2">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spans="2:27" ht="12.75" x14ac:dyDescent="0.2">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spans="2:27" ht="12.75" x14ac:dyDescent="0.2">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spans="2:27" ht="12.75" x14ac:dyDescent="0.2">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spans="2:27" ht="12.75" x14ac:dyDescent="0.2">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spans="2:27" ht="12.75" x14ac:dyDescent="0.2">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spans="2:27" ht="12.75" x14ac:dyDescent="0.2">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spans="2:27" ht="12.75" x14ac:dyDescent="0.2">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spans="2:27" ht="12.75" x14ac:dyDescent="0.2">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spans="2:27" ht="12.75" x14ac:dyDescent="0.2">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spans="2:27" ht="12.75" x14ac:dyDescent="0.2">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spans="2:27" ht="12.75" x14ac:dyDescent="0.2">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spans="2:27" ht="12.75" x14ac:dyDescent="0.2">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spans="2:27" ht="12.75" x14ac:dyDescent="0.2">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spans="2:27" ht="12.75" x14ac:dyDescent="0.2">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spans="2:27" ht="12.75" x14ac:dyDescent="0.2">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spans="2:27" ht="12.75" x14ac:dyDescent="0.2">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spans="2:27" ht="12.75" x14ac:dyDescent="0.2">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spans="2:27" ht="12.75" x14ac:dyDescent="0.2">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spans="2:27" ht="12.75" x14ac:dyDescent="0.2">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spans="2:27" ht="12.75" x14ac:dyDescent="0.2">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spans="2:27" ht="12.75" x14ac:dyDescent="0.2">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spans="2:27" ht="12.75" x14ac:dyDescent="0.2">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spans="2:27" ht="12.75" x14ac:dyDescent="0.2">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spans="2:27" ht="12.75" x14ac:dyDescent="0.2">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spans="2:27" ht="12.75" x14ac:dyDescent="0.2">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spans="2:27" ht="12.75" x14ac:dyDescent="0.2">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spans="2:27" ht="12.75" x14ac:dyDescent="0.2">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spans="2:27" ht="12.75" x14ac:dyDescent="0.2">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spans="2:27" ht="12.75" x14ac:dyDescent="0.2">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spans="2:27" ht="12.75" x14ac:dyDescent="0.2">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spans="2:27" ht="12.75" x14ac:dyDescent="0.2">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spans="2:27" ht="12.75" x14ac:dyDescent="0.2">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spans="2:27" ht="12.75" x14ac:dyDescent="0.2">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spans="2:27" ht="12.75" x14ac:dyDescent="0.2">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spans="2:27" ht="12.75" x14ac:dyDescent="0.2">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spans="2:27" ht="12.75" x14ac:dyDescent="0.2">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spans="2:27" ht="12.75" x14ac:dyDescent="0.2">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spans="2:27" ht="12.75" x14ac:dyDescent="0.2">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spans="2:27" ht="12.75" x14ac:dyDescent="0.2">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spans="2:27" ht="12.75" x14ac:dyDescent="0.2">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spans="2:27" ht="12.75" x14ac:dyDescent="0.2">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spans="2:27" ht="12.75" x14ac:dyDescent="0.2">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spans="2:27" ht="12.75" x14ac:dyDescent="0.2">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spans="2:27" ht="12.75" x14ac:dyDescent="0.2">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spans="2:27" ht="12.75" x14ac:dyDescent="0.2">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spans="2:27" ht="12.75" x14ac:dyDescent="0.2">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spans="2:27" ht="12.75" x14ac:dyDescent="0.2">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spans="2:27" ht="12.75" x14ac:dyDescent="0.2">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spans="2:27" ht="12.75" x14ac:dyDescent="0.2">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spans="2:27" ht="12.75" x14ac:dyDescent="0.2">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spans="2:27" ht="12.75" x14ac:dyDescent="0.2">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spans="2:27" ht="12.75" x14ac:dyDescent="0.2">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spans="2:27" ht="12.75" x14ac:dyDescent="0.2">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spans="2:27" ht="12.75" x14ac:dyDescent="0.2">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spans="2:27" ht="12.75" x14ac:dyDescent="0.2">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spans="2:27" ht="12.75" x14ac:dyDescent="0.2">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spans="2:27" ht="12.75" x14ac:dyDescent="0.2">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spans="2:27" ht="12.75" x14ac:dyDescent="0.2">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spans="2:27" ht="12.75" x14ac:dyDescent="0.2">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spans="2:27" ht="12.75" x14ac:dyDescent="0.2">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spans="2:27" ht="12.75" x14ac:dyDescent="0.2">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spans="2:27" ht="12.75" x14ac:dyDescent="0.2">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spans="2:27" ht="12.75" x14ac:dyDescent="0.2">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spans="2:27" ht="12.75" x14ac:dyDescent="0.2">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spans="2:27" ht="12.75" x14ac:dyDescent="0.2">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spans="2:27" ht="12.75" x14ac:dyDescent="0.2">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spans="2:27" ht="12.75" x14ac:dyDescent="0.2">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spans="2:27" ht="12.75" x14ac:dyDescent="0.2">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spans="2:27" ht="12.75" x14ac:dyDescent="0.2">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spans="2:27" ht="12.75" x14ac:dyDescent="0.2">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spans="2:27" ht="12.75" x14ac:dyDescent="0.2">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spans="2:27" ht="12.75" x14ac:dyDescent="0.2">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spans="2:27" ht="12.75" x14ac:dyDescent="0.2">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spans="2:27" ht="12.75" x14ac:dyDescent="0.2">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spans="2:27" ht="12.75" x14ac:dyDescent="0.2">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spans="2:27" ht="12.75" x14ac:dyDescent="0.2">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spans="2:27" ht="12.75" x14ac:dyDescent="0.2">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spans="2:27" ht="12.75" x14ac:dyDescent="0.2">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spans="2:27" ht="12.75" x14ac:dyDescent="0.2">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spans="2:27" ht="12.75" x14ac:dyDescent="0.2">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spans="2:27" ht="12.75" x14ac:dyDescent="0.2">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spans="2:27" ht="12.75" x14ac:dyDescent="0.2">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spans="2:27" ht="12.75" x14ac:dyDescent="0.2">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spans="2:27" ht="12.75" x14ac:dyDescent="0.2">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spans="2:27" ht="12.75" x14ac:dyDescent="0.2">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spans="2:27" ht="12.75" x14ac:dyDescent="0.2">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spans="2:27" ht="12.75" x14ac:dyDescent="0.2">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spans="2:27" ht="12.75" x14ac:dyDescent="0.2">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spans="2:27" ht="12.75" x14ac:dyDescent="0.2">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spans="2:27" ht="12.75" x14ac:dyDescent="0.2">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spans="2:27" ht="12.75" x14ac:dyDescent="0.2">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spans="2:27" ht="12.75" x14ac:dyDescent="0.2">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spans="2:27" ht="12.75" x14ac:dyDescent="0.2">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spans="2:27" ht="12.75" x14ac:dyDescent="0.2">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spans="2:27" ht="12.75" x14ac:dyDescent="0.2">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spans="2:27" ht="12.75" x14ac:dyDescent="0.2">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spans="2:27" ht="12.75" x14ac:dyDescent="0.2">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spans="2:27" ht="12.75" x14ac:dyDescent="0.2">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spans="2:27" ht="12.75" x14ac:dyDescent="0.2">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spans="2:27" ht="12.75" x14ac:dyDescent="0.2">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spans="2:27" ht="12.75" x14ac:dyDescent="0.2">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spans="2:27" ht="12.75" x14ac:dyDescent="0.2">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spans="2:27" ht="12.75" x14ac:dyDescent="0.2">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spans="2:27" ht="12.75" x14ac:dyDescent="0.2">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spans="2:27" ht="12.75" x14ac:dyDescent="0.2">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spans="2:27" ht="12.75" x14ac:dyDescent="0.2">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spans="2:27" ht="12.75" x14ac:dyDescent="0.2">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spans="2:27" ht="12.75" x14ac:dyDescent="0.2">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spans="2:27" ht="12.75" x14ac:dyDescent="0.2">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spans="2:27" ht="12.75" x14ac:dyDescent="0.2">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spans="2:27" ht="12.75" x14ac:dyDescent="0.2">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spans="2:27" ht="12.75" x14ac:dyDescent="0.2">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spans="2:27" ht="12.75" x14ac:dyDescent="0.2">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spans="2:27" ht="12.75" x14ac:dyDescent="0.2">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spans="2:27" ht="12.75" x14ac:dyDescent="0.2">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spans="2:27" ht="12.75" x14ac:dyDescent="0.2">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spans="2:27" ht="12.75" x14ac:dyDescent="0.2">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spans="2:27" ht="12.75" x14ac:dyDescent="0.2">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spans="2:27" ht="12.75" x14ac:dyDescent="0.2">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spans="2:27" ht="12.75" x14ac:dyDescent="0.2">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spans="2:27" ht="12.75" x14ac:dyDescent="0.2">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spans="2:27" ht="12.75" x14ac:dyDescent="0.2">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spans="2:27" ht="12.75" x14ac:dyDescent="0.2">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spans="2:27" ht="12.75" x14ac:dyDescent="0.2">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spans="2:27" ht="12.75" x14ac:dyDescent="0.2">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spans="2:27" ht="12.75" x14ac:dyDescent="0.2">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spans="2:27" ht="12.75" x14ac:dyDescent="0.2">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spans="2:27" ht="12.75" x14ac:dyDescent="0.2">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spans="2:27" ht="12.75" x14ac:dyDescent="0.2">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spans="2:27" ht="12.75" x14ac:dyDescent="0.2">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spans="2:27" ht="12.75" x14ac:dyDescent="0.2">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spans="2:27" ht="12.75" x14ac:dyDescent="0.2">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spans="2:27" ht="12.75" x14ac:dyDescent="0.2">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spans="2:27" ht="12.75" x14ac:dyDescent="0.2">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spans="2:27" ht="12.75" x14ac:dyDescent="0.2">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spans="2:27" ht="12.75" x14ac:dyDescent="0.2">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spans="2:27" ht="12.75" x14ac:dyDescent="0.2">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spans="2:27" ht="12.75" x14ac:dyDescent="0.2">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spans="2:27" ht="12.75" x14ac:dyDescent="0.2">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spans="2:27" ht="12.75" x14ac:dyDescent="0.2">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spans="2:27" ht="12.75" x14ac:dyDescent="0.2">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spans="2:27" ht="12.75" x14ac:dyDescent="0.2">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spans="2:27" ht="12.75" x14ac:dyDescent="0.2">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spans="2:27" ht="12.75" x14ac:dyDescent="0.2">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spans="2:27" ht="12.75" x14ac:dyDescent="0.2">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spans="2:27" ht="12.75" x14ac:dyDescent="0.2">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spans="2:27" ht="12.75" x14ac:dyDescent="0.2">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spans="2:27" ht="12.75" x14ac:dyDescent="0.2">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spans="2:27" ht="12.75" x14ac:dyDescent="0.2">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spans="2:27" ht="12.75" x14ac:dyDescent="0.2">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spans="2:27" ht="12.75" x14ac:dyDescent="0.2">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spans="2:27" ht="12.75" x14ac:dyDescent="0.2">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spans="2:27" ht="12.75" x14ac:dyDescent="0.2">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spans="2:27" ht="12.75" x14ac:dyDescent="0.2">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spans="2:27" ht="12.75" x14ac:dyDescent="0.2">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spans="2:27" ht="12.75" x14ac:dyDescent="0.2">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spans="2:27" ht="12.75" x14ac:dyDescent="0.2">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spans="2:27" ht="12.75" x14ac:dyDescent="0.2">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spans="2:27" ht="12.75" x14ac:dyDescent="0.2">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spans="2:27" ht="12.75" x14ac:dyDescent="0.2">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spans="2:27" ht="12.75" x14ac:dyDescent="0.2">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spans="2:27" ht="12.75" x14ac:dyDescent="0.2">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spans="2:27" ht="12.75" x14ac:dyDescent="0.2">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spans="2:27" ht="12.75" x14ac:dyDescent="0.2">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spans="2:27" ht="12.75" x14ac:dyDescent="0.2">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spans="2:27" ht="12.75" x14ac:dyDescent="0.2">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spans="2:27" ht="12.75" x14ac:dyDescent="0.2">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spans="2:27" ht="12.75" x14ac:dyDescent="0.2">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spans="2:27" ht="12.75" x14ac:dyDescent="0.2">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spans="2:27" ht="12.75" x14ac:dyDescent="0.2">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spans="2:27" ht="12.75" x14ac:dyDescent="0.2">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spans="2:27" ht="12.75" x14ac:dyDescent="0.2">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spans="2:27" ht="12.75" x14ac:dyDescent="0.2">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spans="2:27" ht="12.75" x14ac:dyDescent="0.2">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spans="2:27" ht="12.75" x14ac:dyDescent="0.2">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spans="2:27" ht="12.75" x14ac:dyDescent="0.2">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spans="2:27" ht="12.75" x14ac:dyDescent="0.2">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spans="2:27" ht="12.75" x14ac:dyDescent="0.2">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spans="2:27" ht="12.75" x14ac:dyDescent="0.2">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spans="2:27" ht="12.75" x14ac:dyDescent="0.2">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spans="2:27" ht="12.75" x14ac:dyDescent="0.2">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spans="2:27" ht="12.75" x14ac:dyDescent="0.2">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spans="2:27" ht="12.75" x14ac:dyDescent="0.2">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spans="2:27" ht="12.75" x14ac:dyDescent="0.2">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spans="2:27" ht="12.75" x14ac:dyDescent="0.2">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spans="2:27" ht="12.75" x14ac:dyDescent="0.2">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spans="2:27" ht="12.75" x14ac:dyDescent="0.2">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spans="2:27" ht="12.75" x14ac:dyDescent="0.2">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spans="2:27" ht="12.75" x14ac:dyDescent="0.2">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spans="2:27" ht="12.75" x14ac:dyDescent="0.2">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spans="2:27" ht="12.75" x14ac:dyDescent="0.2">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spans="2:27" ht="12.75" x14ac:dyDescent="0.2">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spans="2:27" ht="12.75" x14ac:dyDescent="0.2">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spans="2:27" ht="12.75" x14ac:dyDescent="0.2">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spans="2:27" ht="12.75" x14ac:dyDescent="0.2">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spans="2:27" ht="12.75" x14ac:dyDescent="0.2">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spans="2:27" ht="12.75" x14ac:dyDescent="0.2">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spans="2:27" ht="12.75" x14ac:dyDescent="0.2">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spans="2:27" ht="12.75" x14ac:dyDescent="0.2">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spans="2:27" ht="12.75" x14ac:dyDescent="0.2">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spans="2:27" ht="12.75" x14ac:dyDescent="0.2">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spans="2:27" ht="12.75" x14ac:dyDescent="0.2">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spans="2:27" ht="12.75" x14ac:dyDescent="0.2">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spans="2:27" ht="12.75" x14ac:dyDescent="0.2">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spans="2:27" ht="12.75" x14ac:dyDescent="0.2">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spans="2:27" ht="12.75" x14ac:dyDescent="0.2">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spans="2:27" ht="12.75" x14ac:dyDescent="0.2">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spans="2:27" ht="12.75" x14ac:dyDescent="0.2">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spans="2:27" ht="12.75" x14ac:dyDescent="0.2">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spans="2:27" ht="12.75" x14ac:dyDescent="0.2">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spans="2:27" ht="12.75" x14ac:dyDescent="0.2">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spans="2:27" ht="12.75" x14ac:dyDescent="0.2">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spans="2:27" ht="12.75" x14ac:dyDescent="0.2">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spans="2:27" ht="12.75" x14ac:dyDescent="0.2">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spans="2:27" ht="12.75" x14ac:dyDescent="0.2">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spans="2:27" ht="12.75" x14ac:dyDescent="0.2">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spans="2:27" ht="12.75" x14ac:dyDescent="0.2">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spans="2:27" ht="12.75" x14ac:dyDescent="0.2">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spans="2:27" ht="12.75" x14ac:dyDescent="0.2">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spans="2:27" ht="12.75" x14ac:dyDescent="0.2">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spans="2:27" ht="12.75" x14ac:dyDescent="0.2">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spans="2:27" ht="12.75" x14ac:dyDescent="0.2">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spans="2:27" ht="12.75" x14ac:dyDescent="0.2">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spans="2:27" ht="12.75" x14ac:dyDescent="0.2">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spans="2:27" ht="12.75" x14ac:dyDescent="0.2">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spans="2:27" ht="12.75" x14ac:dyDescent="0.2">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spans="2:27" ht="12.75" x14ac:dyDescent="0.2">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spans="2:27" ht="12.75" x14ac:dyDescent="0.2">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spans="2:27" ht="12.75" x14ac:dyDescent="0.2">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spans="2:27" ht="12.75" x14ac:dyDescent="0.2">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spans="2:27" ht="12.75" x14ac:dyDescent="0.2">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spans="2:27" ht="12.75" x14ac:dyDescent="0.2">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spans="2:27" ht="12.75" x14ac:dyDescent="0.2">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spans="2:27" ht="12.75" x14ac:dyDescent="0.2">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spans="2:27" ht="12.75" x14ac:dyDescent="0.2">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spans="2:27" ht="12.75" x14ac:dyDescent="0.2">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spans="2:27" ht="12.75" x14ac:dyDescent="0.2">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spans="2:27" ht="12.75" x14ac:dyDescent="0.2">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spans="2:27" ht="12.75" x14ac:dyDescent="0.2">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spans="2:27" ht="12.75" x14ac:dyDescent="0.2">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spans="2:27" ht="12.75" x14ac:dyDescent="0.2">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spans="2:27" ht="12.75" x14ac:dyDescent="0.2">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spans="2:27" ht="12.75" x14ac:dyDescent="0.2">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spans="2:27" ht="12.75" x14ac:dyDescent="0.2">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spans="2:27" ht="12.75" x14ac:dyDescent="0.2">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spans="2:27" ht="12.75" x14ac:dyDescent="0.2">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spans="2:27" ht="12.75" x14ac:dyDescent="0.2">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spans="2:27" ht="12.75" x14ac:dyDescent="0.2">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spans="2:27" ht="12.75" x14ac:dyDescent="0.2">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spans="2:27" ht="12.75" x14ac:dyDescent="0.2">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spans="2:27" ht="12.75" x14ac:dyDescent="0.2">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spans="2:27" ht="12.75" x14ac:dyDescent="0.2">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spans="2:27" ht="12.75" x14ac:dyDescent="0.2">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spans="2:27" ht="12.75" x14ac:dyDescent="0.2">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spans="2:27" ht="12.75" x14ac:dyDescent="0.2">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spans="2:27" ht="12.75" x14ac:dyDescent="0.2">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spans="2:27" ht="12.75" x14ac:dyDescent="0.2">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spans="2:27" ht="12.75" x14ac:dyDescent="0.2">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spans="2:27" ht="12.75" x14ac:dyDescent="0.2">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spans="2:27" ht="12.75" x14ac:dyDescent="0.2">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spans="2:27" ht="12.75" x14ac:dyDescent="0.2">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spans="2:27" ht="12.75" x14ac:dyDescent="0.2">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spans="2:27" ht="12.75" x14ac:dyDescent="0.2">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spans="2:27" ht="12.75" x14ac:dyDescent="0.2">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spans="2:27" ht="12.75" x14ac:dyDescent="0.2">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spans="2:27" ht="12.75" x14ac:dyDescent="0.2">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spans="2:27" ht="12.75" x14ac:dyDescent="0.2">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spans="2:27" ht="12.75" x14ac:dyDescent="0.2">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spans="2:27" ht="12.75" x14ac:dyDescent="0.2">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spans="2:27" ht="12.75" x14ac:dyDescent="0.2">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spans="2:27" ht="12.75" x14ac:dyDescent="0.2">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spans="2:27" ht="12.75" x14ac:dyDescent="0.2">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spans="2:27" ht="12.75" x14ac:dyDescent="0.2">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spans="2:27" ht="12.75" x14ac:dyDescent="0.2">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spans="2:27" ht="12.75" x14ac:dyDescent="0.2">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spans="2:27" ht="12.75" x14ac:dyDescent="0.2">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spans="2:27" ht="12.75" x14ac:dyDescent="0.2">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spans="2:27" ht="12.75" x14ac:dyDescent="0.2">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spans="2:27" ht="12.75" x14ac:dyDescent="0.2">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spans="2:27" ht="12.75" x14ac:dyDescent="0.2">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spans="2:27" ht="12.75" x14ac:dyDescent="0.2">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spans="2:27" ht="12.75" x14ac:dyDescent="0.2">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spans="2:27" ht="12.75" x14ac:dyDescent="0.2">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spans="2:27" ht="12.75" x14ac:dyDescent="0.2">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spans="2:27" ht="12.75" x14ac:dyDescent="0.2">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spans="2:27" ht="12.75" x14ac:dyDescent="0.2">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spans="2:27" ht="12.75" x14ac:dyDescent="0.2">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spans="2:27" ht="12.75" x14ac:dyDescent="0.2">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spans="2:27" ht="12.75" x14ac:dyDescent="0.2">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spans="2:27" ht="12.75" x14ac:dyDescent="0.2">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spans="2:27" ht="12.75" x14ac:dyDescent="0.2">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spans="2:27" ht="12.75" x14ac:dyDescent="0.2">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spans="2:27" ht="12.75" x14ac:dyDescent="0.2">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spans="2:27" ht="12.75" x14ac:dyDescent="0.2">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spans="2:27" ht="12.75" x14ac:dyDescent="0.2">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spans="2:27" ht="12.75" x14ac:dyDescent="0.2">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spans="2:27" ht="12.75" x14ac:dyDescent="0.2">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spans="2:27" ht="12.75" x14ac:dyDescent="0.2">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spans="2:27" ht="12.75" x14ac:dyDescent="0.2">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spans="2:27" ht="12.75" x14ac:dyDescent="0.2">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spans="2:27" ht="12.75" x14ac:dyDescent="0.2">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spans="2:27" ht="12.75" x14ac:dyDescent="0.2">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spans="2:27" ht="12.75" x14ac:dyDescent="0.2">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spans="2:27" ht="12.75" x14ac:dyDescent="0.2">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spans="2:27" ht="12.75" x14ac:dyDescent="0.2">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spans="2:27" ht="12.75" x14ac:dyDescent="0.2">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spans="2:27" ht="12.75" x14ac:dyDescent="0.2">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spans="2:27" ht="12.75" x14ac:dyDescent="0.2">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spans="2:27" ht="12.75" x14ac:dyDescent="0.2">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spans="2:27" ht="12.75" x14ac:dyDescent="0.2">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spans="2:27" ht="12.75" x14ac:dyDescent="0.2">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spans="2:27" ht="12.75" x14ac:dyDescent="0.2">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spans="2:27" ht="12.75" x14ac:dyDescent="0.2">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spans="2:27" ht="12.75" x14ac:dyDescent="0.2">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spans="2:27" ht="12.75" x14ac:dyDescent="0.2">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spans="2:27" ht="12.75" x14ac:dyDescent="0.2">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spans="2:27" ht="12.75" x14ac:dyDescent="0.2">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spans="2:27" ht="12.75" x14ac:dyDescent="0.2">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spans="2:27" ht="12.75" x14ac:dyDescent="0.2">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spans="2:27" ht="12.75" x14ac:dyDescent="0.2">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spans="2:27" ht="12.75" x14ac:dyDescent="0.2">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spans="2:27" ht="12.75" x14ac:dyDescent="0.2">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spans="2:27" ht="12.75" x14ac:dyDescent="0.2">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spans="2:27" ht="12.75" x14ac:dyDescent="0.2">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spans="2:27" ht="12.75" x14ac:dyDescent="0.2">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spans="2:27" ht="12.75" x14ac:dyDescent="0.2">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spans="2:27" ht="12.75" x14ac:dyDescent="0.2">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spans="2:27" ht="12.75" x14ac:dyDescent="0.2">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spans="2:27" ht="12.75" x14ac:dyDescent="0.2">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spans="2:27" ht="12.75" x14ac:dyDescent="0.2">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spans="2:27" ht="12.75" x14ac:dyDescent="0.2">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spans="2:27" ht="12.75" x14ac:dyDescent="0.2">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spans="2:27" ht="12.75" x14ac:dyDescent="0.2">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spans="2:27" ht="12.75" x14ac:dyDescent="0.2">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spans="2:27" ht="12.75" x14ac:dyDescent="0.2">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spans="2:27" ht="12.75" x14ac:dyDescent="0.2">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spans="2:27" ht="12.75" x14ac:dyDescent="0.2">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spans="2:27" ht="12.75" x14ac:dyDescent="0.2">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spans="2:27" ht="12.75" x14ac:dyDescent="0.2">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spans="2:27" ht="12.75" x14ac:dyDescent="0.2">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spans="2:27" ht="12.75" x14ac:dyDescent="0.2">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spans="2:27" ht="12.75" x14ac:dyDescent="0.2">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spans="2:27" ht="12.75" x14ac:dyDescent="0.2">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spans="2:27" ht="12.75" x14ac:dyDescent="0.2">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spans="2:27" ht="12.75" x14ac:dyDescent="0.2">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spans="2:27" ht="12.75" x14ac:dyDescent="0.2">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spans="2:27" ht="12.75" x14ac:dyDescent="0.2">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spans="2:27" ht="12.75" x14ac:dyDescent="0.2">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spans="2:27" ht="12.75" x14ac:dyDescent="0.2">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spans="2:27" ht="12.75" x14ac:dyDescent="0.2">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spans="2:27" ht="12.75" x14ac:dyDescent="0.2">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spans="2:27" ht="12.75" x14ac:dyDescent="0.2">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spans="2:27" ht="12.75" x14ac:dyDescent="0.2">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spans="2:27" ht="12.75" x14ac:dyDescent="0.2">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spans="2:27" ht="12.75" x14ac:dyDescent="0.2">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spans="2:27" ht="12.75" x14ac:dyDescent="0.2">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spans="2:27" ht="12.75" x14ac:dyDescent="0.2">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spans="2:27" ht="12.75" x14ac:dyDescent="0.2">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spans="2:27" ht="12.75" x14ac:dyDescent="0.2">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spans="2:27" ht="12.75" x14ac:dyDescent="0.2">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spans="2:27" ht="12.75" x14ac:dyDescent="0.2">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spans="2:27" ht="12.75" x14ac:dyDescent="0.2">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spans="2:27" ht="12.75" x14ac:dyDescent="0.2">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spans="2:27" ht="12.75" x14ac:dyDescent="0.2">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spans="2:27" ht="12.75" x14ac:dyDescent="0.2">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spans="2:27" ht="12.75" x14ac:dyDescent="0.2">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spans="2:27" ht="12.75" x14ac:dyDescent="0.2">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spans="2:27" ht="12.75" x14ac:dyDescent="0.2">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spans="2:27" ht="12.75" x14ac:dyDescent="0.2">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spans="2:27" ht="12.75" x14ac:dyDescent="0.2">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spans="2:27" ht="12.75" x14ac:dyDescent="0.2">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spans="2:27" ht="12.75" x14ac:dyDescent="0.2">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spans="2:27" ht="12.75" x14ac:dyDescent="0.2">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spans="2:27" ht="12.75" x14ac:dyDescent="0.2">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spans="2:27" ht="12.75" x14ac:dyDescent="0.2">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spans="2:27" ht="12.75" x14ac:dyDescent="0.2">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spans="2:27" ht="12.75" x14ac:dyDescent="0.2">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spans="2:27" ht="12.75" x14ac:dyDescent="0.2">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sheetData>
  <mergeCells count="4">
    <mergeCell ref="H2:J2"/>
    <mergeCell ref="A2:F2"/>
    <mergeCell ref="L2:N2"/>
    <mergeCell ref="E1:N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4"/>
  <sheetViews>
    <sheetView topLeftCell="L40" zoomScale="80" zoomScaleNormal="80" workbookViewId="0">
      <selection activeCell="Q75" sqref="Q75"/>
    </sheetView>
  </sheetViews>
  <sheetFormatPr defaultColWidth="9.140625" defaultRowHeight="15" x14ac:dyDescent="0.25"/>
  <cols>
    <col min="1" max="1" width="1.140625" style="49" customWidth="1"/>
    <col min="2" max="2" width="17.5703125" style="2" customWidth="1"/>
    <col min="3" max="3" width="28" style="2" customWidth="1"/>
    <col min="4" max="4" width="16.7109375" style="2" customWidth="1"/>
    <col min="5" max="5" width="15.7109375" style="2" customWidth="1"/>
    <col min="6" max="6" width="18.28515625" style="2" customWidth="1"/>
    <col min="7" max="7" width="15.7109375" style="2" customWidth="1"/>
    <col min="8" max="8" width="21.42578125" style="2" customWidth="1"/>
    <col min="9" max="9" width="21.85546875" style="2" customWidth="1"/>
    <col min="10" max="10" width="11.140625" style="2" customWidth="1"/>
    <col min="11" max="11" width="28.85546875" style="2" customWidth="1"/>
    <col min="12" max="12" width="70" style="2" customWidth="1"/>
    <col min="13" max="13" width="23.85546875" style="2" customWidth="1"/>
    <col min="14" max="14" width="20.140625" style="2" customWidth="1"/>
    <col min="15" max="16" width="17.140625" style="2" customWidth="1"/>
    <col min="17" max="17" width="23.140625" style="2" customWidth="1"/>
    <col min="18" max="18" width="14.5703125" style="2" customWidth="1"/>
    <col min="19" max="16384" width="9.140625" style="2"/>
  </cols>
  <sheetData>
    <row r="1" spans="1:29" s="47" customFormat="1" ht="6" customHeight="1" x14ac:dyDescent="0.25">
      <c r="A1" s="48"/>
    </row>
    <row r="2" spans="1:29" ht="25.9" customHeight="1" x14ac:dyDescent="0.25">
      <c r="B2" s="123" t="s">
        <v>117</v>
      </c>
      <c r="C2" s="123"/>
      <c r="D2" s="123"/>
      <c r="E2" s="123"/>
      <c r="F2" s="123"/>
      <c r="G2" s="123"/>
      <c r="H2" s="123"/>
      <c r="I2" s="123"/>
      <c r="J2" s="1"/>
      <c r="K2" s="1"/>
      <c r="L2" s="1"/>
      <c r="M2" s="1"/>
      <c r="N2" s="1"/>
      <c r="O2" s="1"/>
      <c r="P2" s="1"/>
      <c r="Q2" s="1"/>
      <c r="R2" s="1"/>
      <c r="S2" s="1"/>
      <c r="T2" s="1"/>
      <c r="U2" s="1"/>
      <c r="V2" s="1"/>
      <c r="W2" s="1"/>
      <c r="X2" s="1"/>
      <c r="Y2" s="1"/>
      <c r="Z2" s="1"/>
      <c r="AA2" s="1"/>
      <c r="AB2" s="1"/>
      <c r="AC2" s="1"/>
    </row>
    <row r="3" spans="1:29" x14ac:dyDescent="0.25">
      <c r="B3" s="124"/>
      <c r="C3" s="124"/>
      <c r="D3" s="124"/>
      <c r="E3" s="124"/>
      <c r="F3" s="124"/>
      <c r="G3" s="124"/>
      <c r="H3" s="124"/>
      <c r="I3" s="124"/>
      <c r="J3" s="1"/>
      <c r="K3" s="1"/>
      <c r="L3" s="1"/>
      <c r="M3" s="1"/>
      <c r="N3" s="1"/>
      <c r="O3" s="1"/>
      <c r="P3" s="1"/>
      <c r="Q3" s="1"/>
      <c r="R3" s="1"/>
      <c r="S3" s="1"/>
      <c r="T3" s="1"/>
      <c r="U3" s="1"/>
      <c r="V3" s="1"/>
      <c r="W3" s="1"/>
      <c r="X3" s="1"/>
      <c r="Y3" s="1"/>
      <c r="Z3" s="1"/>
      <c r="AA3" s="1"/>
      <c r="AB3" s="1"/>
      <c r="AC3" s="1"/>
    </row>
    <row r="4" spans="1:29" ht="26.25" x14ac:dyDescent="0.25">
      <c r="B4" s="128" t="s">
        <v>118</v>
      </c>
      <c r="C4" s="128"/>
      <c r="D4" s="128"/>
      <c r="E4" s="128"/>
      <c r="F4" s="128"/>
      <c r="G4" s="128"/>
      <c r="H4" s="128"/>
      <c r="I4" s="128"/>
      <c r="J4" s="1"/>
      <c r="K4" s="79" t="s">
        <v>119</v>
      </c>
      <c r="L4" s="39"/>
      <c r="M4" s="39"/>
      <c r="N4" s="39"/>
      <c r="O4" s="39"/>
      <c r="P4" s="39"/>
      <c r="Q4" s="39"/>
      <c r="R4" s="39"/>
      <c r="S4" s="39"/>
      <c r="T4" s="41"/>
      <c r="U4" s="1"/>
      <c r="V4" s="1"/>
      <c r="W4" s="1"/>
      <c r="X4" s="1"/>
      <c r="Y4" s="1"/>
      <c r="Z4" s="1"/>
      <c r="AA4" s="1"/>
      <c r="AB4" s="1"/>
      <c r="AC4" s="1"/>
    </row>
    <row r="5" spans="1:29" ht="28.15" customHeight="1" x14ac:dyDescent="0.25">
      <c r="B5" s="50" t="s">
        <v>120</v>
      </c>
      <c r="C5" s="40" t="s">
        <v>121</v>
      </c>
      <c r="D5" s="40" t="s">
        <v>122</v>
      </c>
      <c r="E5" s="40" t="s">
        <v>123</v>
      </c>
      <c r="F5" s="40" t="s">
        <v>124</v>
      </c>
      <c r="G5" s="40" t="s">
        <v>125</v>
      </c>
      <c r="H5" s="40" t="s">
        <v>126</v>
      </c>
      <c r="I5" s="40" t="s">
        <v>127</v>
      </c>
      <c r="J5" s="1"/>
      <c r="K5" s="45" t="s">
        <v>127</v>
      </c>
      <c r="L5" s="1"/>
      <c r="M5" s="1"/>
      <c r="N5" s="41"/>
      <c r="O5" s="41"/>
      <c r="P5" s="83" t="s">
        <v>128</v>
      </c>
      <c r="Q5" s="83" t="s">
        <v>129</v>
      </c>
      <c r="R5" s="82" t="s">
        <v>130</v>
      </c>
      <c r="S5" s="41"/>
      <c r="T5" s="41"/>
      <c r="U5" s="1"/>
      <c r="V5" s="1"/>
      <c r="W5" s="1"/>
      <c r="X5" s="1"/>
      <c r="Y5" s="1"/>
      <c r="Z5" s="1"/>
      <c r="AA5" s="1"/>
    </row>
    <row r="6" spans="1:29" ht="15.75" x14ac:dyDescent="0.25">
      <c r="B6" s="125" t="s">
        <v>131</v>
      </c>
      <c r="C6" s="44" t="s">
        <v>132</v>
      </c>
      <c r="D6" s="4">
        <v>0.45500000000000002</v>
      </c>
      <c r="E6" s="5">
        <f t="shared" ref="E6:E15" si="0">D6*2.20462</f>
        <v>1.0031021</v>
      </c>
      <c r="F6" s="6">
        <v>0</v>
      </c>
      <c r="G6" s="7">
        <v>1</v>
      </c>
      <c r="H6" s="5">
        <f t="shared" ref="H6:H15" si="1">E6*G6</f>
        <v>1.0031021</v>
      </c>
      <c r="I6" s="5">
        <f t="shared" ref="I6:I56" si="2">H6/(1-F6)</f>
        <v>1.0031021</v>
      </c>
      <c r="J6" s="80"/>
      <c r="K6" s="46">
        <f>I6</f>
        <v>1.0031021</v>
      </c>
      <c r="L6" s="1" t="s">
        <v>133</v>
      </c>
      <c r="M6" s="1"/>
      <c r="N6" s="1"/>
      <c r="O6" s="1"/>
      <c r="P6" s="1">
        <f>('Rocket Length'!C3+'Rocket Length'!C4*0.5)</f>
        <v>24.314</v>
      </c>
      <c r="Q6" s="1">
        <f>P6*K6</f>
        <v>24.389424459400001</v>
      </c>
      <c r="R6" s="1">
        <f>SUM(Q6:Q56)/(SUM(K6:K15)+SUM(K17:K24)+SUM(K26:K33)+SUM(K35:K43)+SUM(K45:K53)+SUM(K55:K56))</f>
        <v>98.559229627901942</v>
      </c>
      <c r="S6" s="1"/>
      <c r="T6" s="1"/>
      <c r="U6" s="1"/>
      <c r="V6" s="1"/>
      <c r="W6" s="1"/>
      <c r="X6" s="1"/>
      <c r="Y6" s="1"/>
      <c r="Z6" s="1"/>
      <c r="AA6" s="1"/>
    </row>
    <row r="7" spans="1:29" ht="15.75" x14ac:dyDescent="0.25">
      <c r="B7" s="126"/>
      <c r="C7" s="44" t="s">
        <v>134</v>
      </c>
      <c r="D7" s="4">
        <v>0.5</v>
      </c>
      <c r="E7" s="5">
        <f t="shared" si="0"/>
        <v>1.1023099999999999</v>
      </c>
      <c r="F7" s="6">
        <v>0</v>
      </c>
      <c r="G7" s="7">
        <v>1</v>
      </c>
      <c r="H7" s="5">
        <f t="shared" si="1"/>
        <v>1.1023099999999999</v>
      </c>
      <c r="I7" s="5">
        <f t="shared" si="2"/>
        <v>1.1023099999999999</v>
      </c>
      <c r="J7" s="84"/>
      <c r="K7" s="46">
        <f>'Scaling Calculations'!M14</f>
        <v>2.1381154841689711</v>
      </c>
      <c r="L7" s="74" t="s">
        <v>199</v>
      </c>
      <c r="M7" s="1"/>
      <c r="N7" s="1"/>
      <c r="O7" s="1"/>
      <c r="P7" s="1">
        <f>'Rocket Length'!C3+'Rocket Length'!C4+'Rocket Length'!C5+'Rocket Length'!C6+0.5*'Rocket Length'!C7</f>
        <v>164.17709340366389</v>
      </c>
      <c r="Q7" s="1">
        <f>P7*K7</f>
        <v>351.02958555222921</v>
      </c>
      <c r="R7" s="1"/>
      <c r="S7" s="1"/>
      <c r="T7" s="1"/>
      <c r="U7" s="1"/>
      <c r="V7" s="1"/>
      <c r="W7" s="1"/>
      <c r="X7" s="1"/>
      <c r="Y7" s="1"/>
      <c r="Z7" s="1"/>
      <c r="AA7" s="1"/>
    </row>
    <row r="8" spans="1:29" ht="15.75" x14ac:dyDescent="0.25">
      <c r="B8" s="126"/>
      <c r="C8" s="44" t="s">
        <v>135</v>
      </c>
      <c r="D8" s="4">
        <v>0.3</v>
      </c>
      <c r="E8" s="5">
        <f t="shared" si="0"/>
        <v>0.66138599999999992</v>
      </c>
      <c r="F8" s="6">
        <v>0.15</v>
      </c>
      <c r="G8" s="7">
        <v>3</v>
      </c>
      <c r="H8" s="5">
        <f t="shared" si="1"/>
        <v>1.9841579999999999</v>
      </c>
      <c r="I8" s="5">
        <f t="shared" si="2"/>
        <v>2.3343035294117644</v>
      </c>
      <c r="J8" s="84"/>
      <c r="K8" s="46">
        <f>I8</f>
        <v>2.3343035294117644</v>
      </c>
      <c r="L8" s="74" t="s">
        <v>136</v>
      </c>
      <c r="M8" s="1"/>
      <c r="N8" s="1"/>
      <c r="O8" s="1"/>
      <c r="P8" s="74">
        <f>'Rocket Length'!C3+'Rocket Length'!C4+'Rocket Length'!C5+'Rocket Length'!C6+'Rocket Length'!C7+'Rocket Length'!C8+0.5*'Rocket Length'!C9</f>
        <v>193.05485975702973</v>
      </c>
      <c r="Q8" s="1">
        <f t="shared" ref="Q8:Q56" si="3">P8*K8</f>
        <v>450.64864050092774</v>
      </c>
      <c r="R8" s="1"/>
      <c r="S8" s="1"/>
      <c r="T8" s="1"/>
      <c r="U8" s="1"/>
      <c r="V8" s="1"/>
      <c r="W8" s="1"/>
      <c r="X8" s="1"/>
      <c r="Y8" s="1"/>
      <c r="Z8" s="1"/>
      <c r="AA8" s="1"/>
    </row>
    <row r="9" spans="1:29" ht="15.75" x14ac:dyDescent="0.25">
      <c r="B9" s="126"/>
      <c r="C9" s="44" t="s">
        <v>137</v>
      </c>
      <c r="D9" s="4"/>
      <c r="E9" s="5">
        <v>0.32750000000000001</v>
      </c>
      <c r="F9" s="6">
        <v>0</v>
      </c>
      <c r="G9" s="7">
        <v>1</v>
      </c>
      <c r="H9" s="5">
        <f t="shared" si="1"/>
        <v>0.32750000000000001</v>
      </c>
      <c r="I9" s="5">
        <f t="shared" si="2"/>
        <v>0.32750000000000001</v>
      </c>
      <c r="J9" s="84"/>
      <c r="K9" s="46">
        <f>'Scaling Calculations'!R12</f>
        <v>0.32750000000000001</v>
      </c>
      <c r="L9" s="1" t="s">
        <v>138</v>
      </c>
      <c r="M9" s="1"/>
      <c r="N9" s="1"/>
      <c r="O9" s="1"/>
      <c r="P9" s="74">
        <f>0.5*'Rocket Length'!C3</f>
        <v>7</v>
      </c>
      <c r="Q9" s="1">
        <f t="shared" si="3"/>
        <v>2.2925</v>
      </c>
      <c r="R9" s="1"/>
      <c r="S9" s="1"/>
      <c r="T9" s="1"/>
      <c r="U9" s="1"/>
      <c r="V9" s="1"/>
      <c r="W9" s="1"/>
      <c r="X9" s="1"/>
      <c r="Y9" s="1"/>
      <c r="Z9" s="1"/>
      <c r="AA9" s="1"/>
      <c r="AB9" s="1"/>
      <c r="AC9" s="1"/>
    </row>
    <row r="10" spans="1:29" ht="15.75" x14ac:dyDescent="0.25">
      <c r="B10" s="126"/>
      <c r="C10" s="44" t="s">
        <v>139</v>
      </c>
      <c r="D10" s="4"/>
      <c r="E10" s="5">
        <v>0.73</v>
      </c>
      <c r="F10" s="6">
        <v>0.15</v>
      </c>
      <c r="G10" s="7">
        <v>1</v>
      </c>
      <c r="H10" s="5">
        <f t="shared" si="1"/>
        <v>0.73</v>
      </c>
      <c r="I10" s="5">
        <f t="shared" si="2"/>
        <v>0.85882352941176465</v>
      </c>
      <c r="J10" s="84"/>
      <c r="K10" s="46">
        <f>I10*(Inputs!C3^2)/(Inputs!C12^2)</f>
        <v>0.85882352941176465</v>
      </c>
      <c r="L10" s="1" t="s">
        <v>140</v>
      </c>
      <c r="M10" s="1"/>
      <c r="N10" s="1"/>
      <c r="O10" s="1"/>
      <c r="P10" s="1">
        <f>0.5*'Rocket Length'!C3</f>
        <v>7</v>
      </c>
      <c r="Q10" s="1">
        <f t="shared" si="3"/>
        <v>6.0117647058823529</v>
      </c>
      <c r="R10" s="1"/>
      <c r="S10" s="1"/>
      <c r="T10" s="1"/>
      <c r="U10" s="1"/>
      <c r="V10" s="1"/>
      <c r="W10" s="1"/>
      <c r="X10" s="1"/>
      <c r="Y10" s="1"/>
      <c r="Z10" s="1"/>
      <c r="AA10" s="1"/>
      <c r="AB10" s="1"/>
      <c r="AC10" s="1"/>
    </row>
    <row r="11" spans="1:29" ht="15.75" x14ac:dyDescent="0.25">
      <c r="B11" s="126"/>
      <c r="C11" s="44" t="s">
        <v>141</v>
      </c>
      <c r="D11" s="4"/>
      <c r="E11" s="5">
        <v>0.93</v>
      </c>
      <c r="F11" s="6">
        <v>0.15</v>
      </c>
      <c r="G11" s="7">
        <v>1</v>
      </c>
      <c r="H11" s="5">
        <f t="shared" si="1"/>
        <v>0.93</v>
      </c>
      <c r="I11" s="5">
        <f t="shared" si="2"/>
        <v>1.0941176470588236</v>
      </c>
      <c r="J11" s="84"/>
      <c r="K11" s="46">
        <f>I11*(Inputs!C3^2)/(Inputs!C12^2)</f>
        <v>1.0941176470588236</v>
      </c>
      <c r="L11" s="1" t="s">
        <v>140</v>
      </c>
      <c r="M11" s="1"/>
      <c r="N11" s="1"/>
      <c r="O11" s="1"/>
      <c r="P11" s="1">
        <f>0.8*'Rocket Length'!C3</f>
        <v>11.200000000000001</v>
      </c>
      <c r="Q11" s="1">
        <f t="shared" si="3"/>
        <v>12.254117647058825</v>
      </c>
      <c r="R11" s="1"/>
      <c r="S11" s="1"/>
      <c r="T11" s="1"/>
      <c r="U11" s="1"/>
      <c r="V11" s="1"/>
      <c r="W11" s="1"/>
      <c r="X11" s="1"/>
      <c r="Y11" s="1"/>
      <c r="Z11" s="1"/>
      <c r="AA11" s="1"/>
      <c r="AB11" s="1"/>
      <c r="AC11" s="1"/>
    </row>
    <row r="12" spans="1:29" ht="15.75" x14ac:dyDescent="0.25">
      <c r="B12" s="126"/>
      <c r="C12" s="44" t="s">
        <v>142</v>
      </c>
      <c r="D12" s="4"/>
      <c r="E12" s="5">
        <v>0.48</v>
      </c>
      <c r="F12" s="6">
        <v>0.1</v>
      </c>
      <c r="G12" s="7">
        <v>1</v>
      </c>
      <c r="H12" s="5">
        <f t="shared" si="1"/>
        <v>0.48</v>
      </c>
      <c r="I12" s="5">
        <f t="shared" si="2"/>
        <v>0.53333333333333333</v>
      </c>
      <c r="J12" s="84"/>
      <c r="K12" s="46">
        <f>I12*(Inputs!C3^2)/(Inputs!C12^2)</f>
        <v>0.53333333333333333</v>
      </c>
      <c r="L12" s="1" t="s">
        <v>140</v>
      </c>
      <c r="M12" s="1"/>
      <c r="N12" s="1"/>
      <c r="O12" s="1"/>
      <c r="P12" s="1">
        <f>'Rocket Length'!C3+0.5*'Rocket Length'!C4</f>
        <v>24.314</v>
      </c>
      <c r="Q12" s="1">
        <f t="shared" si="3"/>
        <v>12.967466666666667</v>
      </c>
      <c r="R12" s="1"/>
      <c r="S12" s="1"/>
      <c r="T12" s="1"/>
      <c r="U12" s="1"/>
      <c r="V12" s="1"/>
      <c r="W12" s="1"/>
      <c r="X12" s="1"/>
      <c r="Y12" s="1"/>
      <c r="Z12" s="1"/>
      <c r="AA12" s="1"/>
      <c r="AB12" s="1"/>
      <c r="AC12" s="1"/>
    </row>
    <row r="13" spans="1:29" ht="15.75" x14ac:dyDescent="0.25">
      <c r="B13" s="126"/>
      <c r="C13" s="3" t="s">
        <v>143</v>
      </c>
      <c r="D13" s="4"/>
      <c r="E13" s="5">
        <v>0.32</v>
      </c>
      <c r="F13" s="6">
        <v>0</v>
      </c>
      <c r="G13" s="7">
        <v>1</v>
      </c>
      <c r="H13" s="5">
        <f t="shared" si="1"/>
        <v>0.32</v>
      </c>
      <c r="I13" s="5">
        <f>H13/(1-F13)</f>
        <v>0.32</v>
      </c>
      <c r="J13" s="84"/>
      <c r="K13" s="46">
        <f>I13</f>
        <v>0.32</v>
      </c>
      <c r="L13" s="1" t="s">
        <v>144</v>
      </c>
      <c r="M13" s="1"/>
      <c r="N13" s="1"/>
      <c r="O13" s="1"/>
      <c r="P13" s="80">
        <f>'Rocket Length'!C3</f>
        <v>14</v>
      </c>
      <c r="Q13" s="1">
        <f t="shared" si="3"/>
        <v>4.4800000000000004</v>
      </c>
      <c r="R13" s="1"/>
      <c r="S13" s="1"/>
      <c r="T13" s="1"/>
      <c r="U13" s="1"/>
      <c r="V13" s="1"/>
      <c r="W13" s="1"/>
      <c r="X13" s="1"/>
      <c r="Y13" s="1"/>
      <c r="Z13" s="1"/>
      <c r="AA13" s="1"/>
      <c r="AB13" s="1"/>
      <c r="AC13" s="1"/>
    </row>
    <row r="14" spans="1:29" ht="15.75" x14ac:dyDescent="0.25">
      <c r="B14" s="126"/>
      <c r="C14" s="3" t="s">
        <v>145</v>
      </c>
      <c r="D14" s="4"/>
      <c r="E14" s="5">
        <v>5.0000000000000001E-3</v>
      </c>
      <c r="F14" s="6">
        <v>0</v>
      </c>
      <c r="G14" s="7">
        <v>24</v>
      </c>
      <c r="H14" s="5">
        <f t="shared" si="1"/>
        <v>0.12</v>
      </c>
      <c r="I14" s="5">
        <f t="shared" si="2"/>
        <v>0.12</v>
      </c>
      <c r="J14" s="84"/>
      <c r="K14" s="46">
        <f>I14</f>
        <v>0.12</v>
      </c>
      <c r="L14" s="1" t="s">
        <v>144</v>
      </c>
      <c r="M14" s="1"/>
      <c r="N14" s="1"/>
      <c r="O14" s="1"/>
      <c r="P14" s="1"/>
      <c r="Q14" s="1">
        <f t="shared" si="3"/>
        <v>0</v>
      </c>
      <c r="R14" s="1"/>
      <c r="S14" s="1"/>
      <c r="T14" s="1"/>
      <c r="U14" s="1"/>
      <c r="V14" s="1"/>
      <c r="W14" s="1"/>
      <c r="X14" s="1"/>
      <c r="Y14" s="1"/>
      <c r="Z14" s="1"/>
      <c r="AA14" s="1"/>
      <c r="AB14" s="1"/>
      <c r="AC14" s="1"/>
    </row>
    <row r="15" spans="1:29" ht="15.75" x14ac:dyDescent="0.25">
      <c r="B15" s="126"/>
      <c r="C15" s="3" t="s">
        <v>146</v>
      </c>
      <c r="D15" s="4">
        <v>2.7000000000000001E-3</v>
      </c>
      <c r="E15" s="5">
        <f t="shared" si="0"/>
        <v>5.9524740000000001E-3</v>
      </c>
      <c r="F15" s="6">
        <v>0</v>
      </c>
      <c r="G15" s="7">
        <v>2</v>
      </c>
      <c r="H15" s="5">
        <f t="shared" si="1"/>
        <v>1.1904948E-2</v>
      </c>
      <c r="I15" s="5">
        <f t="shared" si="2"/>
        <v>1.1904948E-2</v>
      </c>
      <c r="J15" s="84"/>
      <c r="K15" s="46">
        <f>I15</f>
        <v>1.1904948E-2</v>
      </c>
      <c r="L15" s="1" t="s">
        <v>144</v>
      </c>
      <c r="M15" s="1"/>
      <c r="N15" s="1"/>
      <c r="O15" s="1"/>
      <c r="P15" s="1"/>
      <c r="Q15" s="1">
        <f t="shared" si="3"/>
        <v>0</v>
      </c>
      <c r="R15" s="1"/>
      <c r="S15" s="1"/>
      <c r="T15" s="1"/>
      <c r="U15" s="1"/>
      <c r="V15" s="1"/>
      <c r="W15" s="1"/>
      <c r="X15" s="1"/>
      <c r="Y15" s="1"/>
      <c r="Z15" s="1"/>
      <c r="AA15" s="1"/>
      <c r="AB15" s="1"/>
      <c r="AC15" s="1"/>
    </row>
    <row r="16" spans="1:29" ht="15.75" x14ac:dyDescent="0.25">
      <c r="B16" s="127"/>
      <c r="C16" s="121" t="s">
        <v>147</v>
      </c>
      <c r="D16" s="121"/>
      <c r="E16" s="121"/>
      <c r="F16" s="121"/>
      <c r="G16" s="121"/>
      <c r="H16" s="8">
        <f>SUM(H6:H15)/H58</f>
        <v>8.676359774306984E-2</v>
      </c>
      <c r="I16" s="8">
        <f>SUM(I6:I15)/I58</f>
        <v>9.0411415567580491E-2</v>
      </c>
      <c r="J16" s="84"/>
      <c r="K16" s="8">
        <f>SUM(K6:K15)/K58</f>
        <v>5.5416363035476923E-2</v>
      </c>
      <c r="L16" s="1"/>
      <c r="M16" s="1"/>
      <c r="N16" s="1"/>
      <c r="O16" s="1"/>
      <c r="P16" s="1"/>
      <c r="Q16" s="1">
        <f t="shared" si="3"/>
        <v>0</v>
      </c>
      <c r="R16" s="1"/>
      <c r="S16" s="1"/>
      <c r="T16" s="1"/>
      <c r="U16" s="1"/>
      <c r="V16" s="1"/>
      <c r="W16" s="1"/>
      <c r="X16" s="1"/>
      <c r="Y16" s="1"/>
      <c r="Z16" s="1"/>
      <c r="AA16" s="1"/>
      <c r="AB16" s="1"/>
      <c r="AC16" s="1"/>
    </row>
    <row r="17" spans="2:29" ht="15.75" x14ac:dyDescent="0.25">
      <c r="B17" s="118" t="s">
        <v>148</v>
      </c>
      <c r="C17" s="3" t="s">
        <v>149</v>
      </c>
      <c r="D17" s="9">
        <v>1.4999999999999999E-2</v>
      </c>
      <c r="E17" s="5">
        <f>D17*2.20462</f>
        <v>3.3069299999999996E-2</v>
      </c>
      <c r="F17" s="6">
        <v>0</v>
      </c>
      <c r="G17" s="7">
        <v>2</v>
      </c>
      <c r="H17" s="5">
        <f>E17*G17</f>
        <v>6.6138599999999992E-2</v>
      </c>
      <c r="I17" s="5">
        <f t="shared" si="2"/>
        <v>6.6138599999999992E-2</v>
      </c>
      <c r="J17" s="84"/>
      <c r="K17" s="46">
        <f>I17</f>
        <v>6.6138599999999992E-2</v>
      </c>
      <c r="L17" s="1" t="s">
        <v>144</v>
      </c>
      <c r="M17" s="1"/>
      <c r="N17" s="1"/>
      <c r="O17" s="1"/>
      <c r="P17" s="1"/>
      <c r="Q17" s="1">
        <f t="shared" si="3"/>
        <v>0</v>
      </c>
      <c r="R17" s="1"/>
      <c r="S17" s="1"/>
      <c r="T17" s="1"/>
      <c r="U17" s="1"/>
      <c r="V17" s="1"/>
      <c r="W17" s="1"/>
      <c r="X17" s="1"/>
      <c r="Y17" s="1"/>
      <c r="Z17" s="1"/>
      <c r="AA17" s="1"/>
      <c r="AB17" s="1"/>
      <c r="AC17" s="1"/>
    </row>
    <row r="18" spans="2:29" ht="15.75" x14ac:dyDescent="0.25">
      <c r="B18" s="119"/>
      <c r="C18" s="3" t="s">
        <v>150</v>
      </c>
      <c r="D18" s="9">
        <v>1.7999999999999999E-2</v>
      </c>
      <c r="E18" s="5">
        <f>D18*2.20462</f>
        <v>3.9683159999999995E-2</v>
      </c>
      <c r="F18" s="6">
        <v>0.15</v>
      </c>
      <c r="G18" s="7">
        <v>2</v>
      </c>
      <c r="H18" s="5">
        <f>E18*G18</f>
        <v>7.936631999999999E-2</v>
      </c>
      <c r="I18" s="5">
        <f t="shared" si="2"/>
        <v>9.337214117647058E-2</v>
      </c>
      <c r="J18" s="84"/>
      <c r="K18" s="46">
        <f t="shared" ref="K18:K24" si="4">I18</f>
        <v>9.337214117647058E-2</v>
      </c>
      <c r="L18" s="1" t="s">
        <v>144</v>
      </c>
      <c r="M18" s="1"/>
      <c r="N18" s="1"/>
      <c r="O18" s="1"/>
      <c r="P18" s="1"/>
      <c r="Q18" s="1">
        <f t="shared" si="3"/>
        <v>0</v>
      </c>
      <c r="R18" s="1"/>
      <c r="S18" s="1"/>
      <c r="T18" s="1"/>
      <c r="U18" s="1"/>
      <c r="V18" s="1"/>
      <c r="W18" s="1"/>
      <c r="X18" s="1"/>
      <c r="Y18" s="1"/>
      <c r="Z18" s="1"/>
      <c r="AA18" s="1"/>
      <c r="AB18" s="1"/>
      <c r="AC18" s="1"/>
    </row>
    <row r="19" spans="2:29" ht="15.75" x14ac:dyDescent="0.25">
      <c r="B19" s="119"/>
      <c r="C19" s="3" t="s">
        <v>151</v>
      </c>
      <c r="D19" s="9"/>
      <c r="E19" s="5">
        <v>0.02</v>
      </c>
      <c r="F19" s="6">
        <v>0</v>
      </c>
      <c r="G19" s="7">
        <v>1</v>
      </c>
      <c r="H19" s="5">
        <f>E19*G19</f>
        <v>0.02</v>
      </c>
      <c r="I19" s="5">
        <f t="shared" si="2"/>
        <v>0.02</v>
      </c>
      <c r="J19" s="84"/>
      <c r="K19" s="46">
        <f t="shared" si="4"/>
        <v>0.02</v>
      </c>
      <c r="L19" s="74" t="s">
        <v>144</v>
      </c>
      <c r="M19" s="1"/>
      <c r="N19" s="1"/>
      <c r="O19" s="1"/>
      <c r="P19" s="1"/>
      <c r="Q19" s="1">
        <f t="shared" si="3"/>
        <v>0</v>
      </c>
      <c r="R19" s="1"/>
      <c r="S19" s="1"/>
      <c r="T19" s="1"/>
      <c r="U19" s="1"/>
      <c r="V19" s="1"/>
      <c r="W19" s="1"/>
      <c r="X19" s="1"/>
      <c r="Y19" s="1"/>
      <c r="Z19" s="1"/>
      <c r="AA19" s="1"/>
      <c r="AB19" s="1"/>
      <c r="AC19" s="1"/>
    </row>
    <row r="20" spans="2:29" ht="15.75" x14ac:dyDescent="0.25">
      <c r="B20" s="119"/>
      <c r="C20" s="3" t="s">
        <v>152</v>
      </c>
      <c r="D20" s="9"/>
      <c r="E20" s="5">
        <v>0.1</v>
      </c>
      <c r="F20" s="6">
        <v>0.15</v>
      </c>
      <c r="G20" s="7">
        <v>1</v>
      </c>
      <c r="H20" s="5">
        <f>E20*G20</f>
        <v>0.1</v>
      </c>
      <c r="I20" s="5">
        <f t="shared" si="2"/>
        <v>0.11764705882352942</v>
      </c>
      <c r="J20" s="84"/>
      <c r="K20" s="46">
        <f t="shared" si="4"/>
        <v>0.11764705882352942</v>
      </c>
      <c r="L20" s="1" t="s">
        <v>144</v>
      </c>
      <c r="M20" s="1"/>
      <c r="N20" s="1"/>
      <c r="O20" s="1"/>
      <c r="P20" s="1"/>
      <c r="Q20" s="1">
        <f t="shared" si="3"/>
        <v>0</v>
      </c>
      <c r="R20" s="1"/>
      <c r="S20" s="1"/>
      <c r="T20" s="1"/>
      <c r="U20" s="1"/>
      <c r="V20" s="1"/>
      <c r="W20" s="1"/>
      <c r="X20" s="1"/>
      <c r="Y20" s="1"/>
      <c r="Z20" s="1"/>
      <c r="AA20" s="1"/>
      <c r="AB20" s="1"/>
      <c r="AC20" s="1"/>
    </row>
    <row r="21" spans="2:29" ht="15.75" x14ac:dyDescent="0.25">
      <c r="B21" s="119"/>
      <c r="C21" s="3" t="s">
        <v>153</v>
      </c>
      <c r="D21" s="9">
        <v>0.03</v>
      </c>
      <c r="E21" s="5">
        <f t="shared" ref="E21:E33" si="5">D21*2.20462</f>
        <v>6.6138599999999992E-2</v>
      </c>
      <c r="F21" s="6">
        <v>0.15</v>
      </c>
      <c r="G21" s="7">
        <v>1</v>
      </c>
      <c r="H21" s="5">
        <f t="shared" ref="H21:H23" si="6">E21*G21</f>
        <v>6.6138599999999992E-2</v>
      </c>
      <c r="I21" s="5">
        <f t="shared" si="2"/>
        <v>7.7810117647058821E-2</v>
      </c>
      <c r="J21" s="84"/>
      <c r="K21" s="46">
        <f t="shared" si="4"/>
        <v>7.7810117647058821E-2</v>
      </c>
      <c r="L21" s="1" t="s">
        <v>144</v>
      </c>
      <c r="M21" s="1"/>
      <c r="N21" s="1"/>
      <c r="O21" s="1"/>
      <c r="P21" s="1"/>
      <c r="Q21" s="1">
        <f t="shared" si="3"/>
        <v>0</v>
      </c>
      <c r="R21" s="1"/>
      <c r="S21" s="1"/>
      <c r="T21" s="1"/>
      <c r="U21" s="1"/>
      <c r="V21" s="1"/>
      <c r="W21" s="1"/>
      <c r="X21" s="1"/>
      <c r="Y21" s="1"/>
      <c r="Z21" s="1"/>
      <c r="AA21" s="1"/>
      <c r="AB21" s="1"/>
      <c r="AC21" s="1"/>
    </row>
    <row r="22" spans="2:29" ht="15.75" x14ac:dyDescent="0.25">
      <c r="B22" s="119"/>
      <c r="C22" s="3" t="s">
        <v>154</v>
      </c>
      <c r="D22" s="9"/>
      <c r="E22" s="5">
        <v>0.02</v>
      </c>
      <c r="F22" s="6">
        <v>0.15</v>
      </c>
      <c r="G22" s="7">
        <v>2</v>
      </c>
      <c r="H22" s="5">
        <f t="shared" si="6"/>
        <v>0.04</v>
      </c>
      <c r="I22" s="5">
        <f t="shared" si="2"/>
        <v>4.7058823529411764E-2</v>
      </c>
      <c r="J22" s="84"/>
      <c r="K22" s="46">
        <f t="shared" si="4"/>
        <v>4.7058823529411764E-2</v>
      </c>
      <c r="L22" s="1" t="s">
        <v>144</v>
      </c>
      <c r="M22" s="1"/>
      <c r="N22" s="1"/>
      <c r="O22" s="1"/>
      <c r="P22" s="1"/>
      <c r="Q22" s="1">
        <f t="shared" si="3"/>
        <v>0</v>
      </c>
      <c r="R22" s="1"/>
      <c r="S22" s="1"/>
      <c r="T22" s="1"/>
      <c r="U22" s="1"/>
      <c r="V22" s="1"/>
      <c r="W22" s="1"/>
      <c r="X22" s="1"/>
      <c r="Y22" s="1"/>
      <c r="Z22" s="1"/>
      <c r="AA22" s="1"/>
      <c r="AB22" s="1"/>
      <c r="AC22" s="1"/>
    </row>
    <row r="23" spans="2:29" ht="15.75" x14ac:dyDescent="0.25">
      <c r="B23" s="119"/>
      <c r="C23" s="3" t="s">
        <v>155</v>
      </c>
      <c r="D23" s="9">
        <v>0.06</v>
      </c>
      <c r="E23" s="5">
        <f t="shared" si="5"/>
        <v>0.13227719999999998</v>
      </c>
      <c r="F23" s="6">
        <v>0.15</v>
      </c>
      <c r="G23" s="7">
        <v>1</v>
      </c>
      <c r="H23" s="5">
        <f t="shared" si="6"/>
        <v>0.13227719999999998</v>
      </c>
      <c r="I23" s="5">
        <f t="shared" si="2"/>
        <v>0.15562023529411764</v>
      </c>
      <c r="J23" s="84"/>
      <c r="K23" s="46">
        <f t="shared" si="4"/>
        <v>0.15562023529411764</v>
      </c>
      <c r="L23" s="1" t="s">
        <v>144</v>
      </c>
      <c r="M23" s="1"/>
      <c r="N23" s="1"/>
      <c r="O23" s="1"/>
      <c r="P23" s="1"/>
      <c r="Q23" s="1">
        <f t="shared" si="3"/>
        <v>0</v>
      </c>
      <c r="R23" s="1"/>
      <c r="S23" s="1"/>
      <c r="T23" s="1"/>
      <c r="U23" s="1"/>
      <c r="V23" s="1"/>
      <c r="W23" s="1"/>
      <c r="X23" s="1"/>
      <c r="Y23" s="1"/>
      <c r="Z23" s="1"/>
      <c r="AA23" s="1"/>
      <c r="AB23" s="1"/>
      <c r="AC23" s="1"/>
    </row>
    <row r="24" spans="2:29" ht="15.75" x14ac:dyDescent="0.25">
      <c r="B24" s="119"/>
      <c r="C24" s="3" t="s">
        <v>156</v>
      </c>
      <c r="D24" s="10">
        <f>CONVERT(E24,"lbm","kg")</f>
        <v>6.8038855499999995E-2</v>
      </c>
      <c r="E24" s="5">
        <v>0.15</v>
      </c>
      <c r="F24" s="6">
        <v>0</v>
      </c>
      <c r="G24" s="7">
        <v>1</v>
      </c>
      <c r="H24" s="5">
        <f>E24*G24</f>
        <v>0.15</v>
      </c>
      <c r="I24" s="5">
        <f t="shared" si="2"/>
        <v>0.15</v>
      </c>
      <c r="J24" s="84"/>
      <c r="K24" s="46">
        <f t="shared" si="4"/>
        <v>0.15</v>
      </c>
      <c r="L24" s="1" t="s">
        <v>144</v>
      </c>
      <c r="M24" s="1"/>
      <c r="N24" s="1"/>
      <c r="O24" s="1"/>
      <c r="P24" s="1"/>
      <c r="Q24" s="1">
        <f t="shared" si="3"/>
        <v>0</v>
      </c>
      <c r="R24" s="1"/>
      <c r="S24" s="1"/>
      <c r="T24" s="1"/>
      <c r="U24" s="1"/>
      <c r="V24" s="1"/>
      <c r="W24" s="1"/>
      <c r="X24" s="1"/>
      <c r="Y24" s="1"/>
      <c r="Z24" s="1"/>
      <c r="AA24" s="1"/>
      <c r="AB24" s="1"/>
      <c r="AC24" s="1"/>
    </row>
    <row r="25" spans="2:29" ht="15.75" x14ac:dyDescent="0.25">
      <c r="B25" s="120"/>
      <c r="C25" s="121" t="s">
        <v>147</v>
      </c>
      <c r="D25" s="121"/>
      <c r="E25" s="121"/>
      <c r="F25" s="121"/>
      <c r="G25" s="121"/>
      <c r="H25" s="8">
        <f>SUM(H17:H24)/H58</f>
        <v>8.0948375357861035E-3</v>
      </c>
      <c r="I25" s="8">
        <f>SUM(I17:I24)/I58</f>
        <v>8.5378611260734077E-3</v>
      </c>
      <c r="J25" s="84"/>
      <c r="K25" s="8">
        <f>SUM(K17:K24)/K58</f>
        <v>4.6130447048389565E-3</v>
      </c>
      <c r="L25" s="1"/>
      <c r="M25" s="1"/>
      <c r="N25" s="1"/>
      <c r="O25" s="1"/>
      <c r="P25" s="1"/>
      <c r="Q25" s="1">
        <f t="shared" si="3"/>
        <v>0</v>
      </c>
      <c r="R25" s="1"/>
      <c r="S25" s="1"/>
      <c r="T25" s="1"/>
      <c r="U25" s="1"/>
      <c r="V25" s="1"/>
      <c r="W25" s="1"/>
      <c r="X25" s="1"/>
      <c r="Y25" s="1"/>
      <c r="Z25" s="1"/>
      <c r="AA25" s="1"/>
      <c r="AB25" s="1"/>
      <c r="AC25" s="1"/>
    </row>
    <row r="26" spans="2:29" ht="15.75" x14ac:dyDescent="0.25">
      <c r="B26" s="118" t="s">
        <v>157</v>
      </c>
      <c r="C26" s="3" t="s">
        <v>158</v>
      </c>
      <c r="D26" s="9">
        <v>0.19600000000000001</v>
      </c>
      <c r="E26" s="5">
        <f t="shared" si="5"/>
        <v>0.43210551999999997</v>
      </c>
      <c r="F26" s="6">
        <v>0.15</v>
      </c>
      <c r="G26" s="7">
        <v>1</v>
      </c>
      <c r="H26" s="5">
        <f t="shared" ref="H26:H56" si="7">E26*G26</f>
        <v>0.43210551999999997</v>
      </c>
      <c r="I26" s="5">
        <f t="shared" si="2"/>
        <v>0.50835943529411765</v>
      </c>
      <c r="J26" s="84"/>
      <c r="K26" s="46">
        <f>I26</f>
        <v>0.50835943529411765</v>
      </c>
      <c r="L26" s="1" t="s">
        <v>144</v>
      </c>
      <c r="M26" s="1"/>
      <c r="N26" s="1"/>
      <c r="O26" s="1"/>
      <c r="P26" s="1"/>
      <c r="Q26" s="1">
        <f t="shared" si="3"/>
        <v>0</v>
      </c>
      <c r="R26" s="1"/>
      <c r="S26" s="1"/>
      <c r="T26" s="1"/>
      <c r="U26" s="1"/>
      <c r="V26" s="1"/>
      <c r="W26" s="1"/>
      <c r="X26" s="1"/>
      <c r="Y26" s="1"/>
      <c r="Z26" s="1"/>
      <c r="AA26" s="1"/>
      <c r="AB26" s="1"/>
      <c r="AC26" s="1"/>
    </row>
    <row r="27" spans="2:29" ht="15.75" x14ac:dyDescent="0.25">
      <c r="B27" s="119"/>
      <c r="C27" s="3" t="s">
        <v>159</v>
      </c>
      <c r="D27" s="9">
        <v>0.13200000000000001</v>
      </c>
      <c r="E27" s="5">
        <f t="shared" si="5"/>
        <v>0.29100983999999996</v>
      </c>
      <c r="F27" s="6">
        <v>0</v>
      </c>
      <c r="G27" s="7">
        <v>1</v>
      </c>
      <c r="H27" s="5">
        <f t="shared" si="7"/>
        <v>0.29100983999999996</v>
      </c>
      <c r="I27" s="5">
        <f t="shared" si="2"/>
        <v>0.29100983999999996</v>
      </c>
      <c r="J27" s="84"/>
      <c r="K27" s="46">
        <f t="shared" ref="K27:K33" si="8">I27</f>
        <v>0.29100983999999996</v>
      </c>
      <c r="L27" s="1" t="s">
        <v>144</v>
      </c>
      <c r="M27" s="1"/>
      <c r="N27" s="1"/>
      <c r="O27" s="1"/>
      <c r="P27" s="1"/>
      <c r="Q27" s="1">
        <f t="shared" si="3"/>
        <v>0</v>
      </c>
      <c r="R27" s="1"/>
      <c r="S27" s="1"/>
      <c r="T27" s="1"/>
      <c r="U27" s="1"/>
      <c r="V27" s="1"/>
      <c r="W27" s="1"/>
      <c r="X27" s="1"/>
      <c r="Y27" s="1"/>
      <c r="Z27" s="1"/>
      <c r="AA27" s="1"/>
      <c r="AB27" s="1"/>
      <c r="AC27" s="1"/>
    </row>
    <row r="28" spans="2:29" ht="15.75" x14ac:dyDescent="0.25">
      <c r="B28" s="119"/>
      <c r="C28" s="3" t="s">
        <v>160</v>
      </c>
      <c r="D28" s="9"/>
      <c r="E28" s="5">
        <v>0.2</v>
      </c>
      <c r="F28" s="6">
        <v>0.3</v>
      </c>
      <c r="G28" s="7">
        <v>1</v>
      </c>
      <c r="H28" s="5">
        <f t="shared" si="7"/>
        <v>0.2</v>
      </c>
      <c r="I28" s="5">
        <f t="shared" si="2"/>
        <v>0.28571428571428575</v>
      </c>
      <c r="J28" s="84"/>
      <c r="K28" s="46">
        <f t="shared" si="8"/>
        <v>0.28571428571428575</v>
      </c>
      <c r="L28" s="1" t="s">
        <v>144</v>
      </c>
      <c r="M28" s="1"/>
      <c r="N28" s="1"/>
      <c r="O28" s="1"/>
      <c r="P28" s="1"/>
      <c r="Q28" s="1">
        <f t="shared" si="3"/>
        <v>0</v>
      </c>
      <c r="R28" s="1"/>
      <c r="S28" s="1"/>
      <c r="T28" s="1"/>
      <c r="U28" s="1"/>
      <c r="V28" s="1"/>
      <c r="W28" s="1"/>
      <c r="X28" s="1"/>
      <c r="Y28" s="1"/>
      <c r="Z28" s="1"/>
      <c r="AA28" s="1"/>
      <c r="AB28" s="1"/>
      <c r="AC28" s="1"/>
    </row>
    <row r="29" spans="2:29" ht="15.75" x14ac:dyDescent="0.25">
      <c r="B29" s="119"/>
      <c r="C29" s="3" t="s">
        <v>161</v>
      </c>
      <c r="D29" s="9">
        <v>0.01</v>
      </c>
      <c r="E29" s="5">
        <f t="shared" ref="E29" si="9">D29*2.20462</f>
        <v>2.2046199999999998E-2</v>
      </c>
      <c r="F29" s="6">
        <v>0</v>
      </c>
      <c r="G29" s="7">
        <v>1</v>
      </c>
      <c r="H29" s="5">
        <f t="shared" si="7"/>
        <v>2.2046199999999998E-2</v>
      </c>
      <c r="I29" s="5">
        <f t="shared" si="2"/>
        <v>2.2046199999999998E-2</v>
      </c>
      <c r="J29" s="84"/>
      <c r="K29" s="46">
        <f t="shared" si="8"/>
        <v>2.2046199999999998E-2</v>
      </c>
      <c r="L29" s="1" t="s">
        <v>144</v>
      </c>
      <c r="M29" s="1"/>
      <c r="N29" s="1"/>
      <c r="O29" s="1"/>
      <c r="P29" s="1"/>
      <c r="Q29" s="1">
        <f t="shared" si="3"/>
        <v>0</v>
      </c>
      <c r="R29" s="1"/>
      <c r="S29" s="1"/>
      <c r="T29" s="1"/>
      <c r="U29" s="1"/>
      <c r="V29" s="1"/>
      <c r="W29" s="1"/>
      <c r="X29" s="1"/>
      <c r="Y29" s="1"/>
      <c r="Z29" s="1"/>
      <c r="AA29" s="1"/>
      <c r="AB29" s="1"/>
      <c r="AC29" s="1"/>
    </row>
    <row r="30" spans="2:29" ht="15.75" x14ac:dyDescent="0.25">
      <c r="B30" s="119"/>
      <c r="C30" s="3" t="s">
        <v>162</v>
      </c>
      <c r="D30" s="9">
        <v>0.04</v>
      </c>
      <c r="E30" s="5">
        <v>0.1</v>
      </c>
      <c r="F30" s="6">
        <v>0.15</v>
      </c>
      <c r="G30" s="7">
        <v>1</v>
      </c>
      <c r="H30" s="5">
        <f t="shared" si="7"/>
        <v>0.1</v>
      </c>
      <c r="I30" s="5">
        <f t="shared" si="2"/>
        <v>0.11764705882352942</v>
      </c>
      <c r="J30" s="84"/>
      <c r="K30" s="46">
        <f t="shared" si="8"/>
        <v>0.11764705882352942</v>
      </c>
      <c r="L30" s="1" t="s">
        <v>144</v>
      </c>
      <c r="M30" s="1"/>
      <c r="N30" s="1"/>
      <c r="O30" s="1"/>
      <c r="P30" s="1"/>
      <c r="Q30" s="1">
        <f t="shared" si="3"/>
        <v>0</v>
      </c>
      <c r="R30" s="1"/>
      <c r="S30" s="1"/>
      <c r="T30" s="1"/>
      <c r="U30" s="1"/>
      <c r="V30" s="1"/>
      <c r="W30" s="1"/>
      <c r="X30" s="1"/>
      <c r="Y30" s="1"/>
      <c r="Z30" s="1"/>
      <c r="AA30" s="1"/>
      <c r="AB30" s="1"/>
      <c r="AC30" s="1"/>
    </row>
    <row r="31" spans="2:29" ht="15.75" x14ac:dyDescent="0.25">
      <c r="B31" s="119"/>
      <c r="C31" s="3" t="s">
        <v>163</v>
      </c>
      <c r="D31" s="9">
        <v>4.5999999999999999E-2</v>
      </c>
      <c r="E31" s="5">
        <f t="shared" si="5"/>
        <v>0.10141251999999999</v>
      </c>
      <c r="F31" s="6">
        <v>0.15</v>
      </c>
      <c r="G31" s="7">
        <v>1</v>
      </c>
      <c r="H31" s="5">
        <f t="shared" si="7"/>
        <v>0.10141251999999999</v>
      </c>
      <c r="I31" s="5">
        <f t="shared" si="2"/>
        <v>0.11930884705882353</v>
      </c>
      <c r="J31" s="84"/>
      <c r="K31" s="46">
        <f t="shared" si="8"/>
        <v>0.11930884705882353</v>
      </c>
      <c r="L31" s="1" t="s">
        <v>144</v>
      </c>
      <c r="M31" s="1"/>
      <c r="N31" s="1"/>
      <c r="O31" s="1"/>
      <c r="P31" s="1"/>
      <c r="Q31" s="1">
        <f t="shared" si="3"/>
        <v>0</v>
      </c>
      <c r="R31" s="1"/>
      <c r="S31" s="1"/>
      <c r="T31" s="1"/>
      <c r="U31" s="1"/>
      <c r="V31" s="1"/>
      <c r="W31" s="1"/>
      <c r="X31" s="1"/>
      <c r="Y31" s="1"/>
      <c r="Z31" s="1"/>
      <c r="AA31" s="1"/>
      <c r="AB31" s="1"/>
      <c r="AC31" s="1"/>
    </row>
    <row r="32" spans="2:29" ht="15.75" x14ac:dyDescent="0.25">
      <c r="B32" s="119"/>
      <c r="C32" s="3" t="s">
        <v>164</v>
      </c>
      <c r="D32" s="9">
        <v>3.5000000000000003E-2</v>
      </c>
      <c r="E32" s="5">
        <f t="shared" si="5"/>
        <v>7.71617E-2</v>
      </c>
      <c r="F32" s="6">
        <v>0</v>
      </c>
      <c r="G32" s="7">
        <v>1</v>
      </c>
      <c r="H32" s="5">
        <f t="shared" si="7"/>
        <v>7.71617E-2</v>
      </c>
      <c r="I32" s="5">
        <f t="shared" si="2"/>
        <v>7.71617E-2</v>
      </c>
      <c r="J32" s="84"/>
      <c r="K32" s="46">
        <f t="shared" si="8"/>
        <v>7.71617E-2</v>
      </c>
      <c r="L32" s="1" t="s">
        <v>144</v>
      </c>
      <c r="M32" s="1"/>
      <c r="N32" s="1"/>
      <c r="O32" s="1"/>
      <c r="P32" s="1"/>
      <c r="Q32" s="1">
        <f t="shared" si="3"/>
        <v>0</v>
      </c>
      <c r="R32" s="1"/>
      <c r="S32" s="1"/>
      <c r="T32" s="1"/>
      <c r="U32" s="1"/>
      <c r="V32" s="1"/>
      <c r="W32" s="1"/>
      <c r="X32" s="1"/>
      <c r="Y32" s="1"/>
      <c r="Z32" s="1"/>
      <c r="AA32" s="1"/>
      <c r="AB32" s="1"/>
      <c r="AC32" s="1"/>
    </row>
    <row r="33" spans="2:29" ht="15.75" x14ac:dyDescent="0.25">
      <c r="B33" s="119"/>
      <c r="C33" s="3" t="s">
        <v>165</v>
      </c>
      <c r="D33" s="9">
        <v>0.03</v>
      </c>
      <c r="E33" s="5">
        <f t="shared" si="5"/>
        <v>6.6138599999999992E-2</v>
      </c>
      <c r="F33" s="6">
        <v>0</v>
      </c>
      <c r="G33" s="7">
        <v>1</v>
      </c>
      <c r="H33" s="5">
        <f t="shared" si="7"/>
        <v>6.6138599999999992E-2</v>
      </c>
      <c r="I33" s="5">
        <f t="shared" si="2"/>
        <v>6.6138599999999992E-2</v>
      </c>
      <c r="J33" s="84"/>
      <c r="K33" s="46">
        <f t="shared" si="8"/>
        <v>6.6138599999999992E-2</v>
      </c>
      <c r="L33" s="1" t="s">
        <v>144</v>
      </c>
      <c r="M33" s="1"/>
      <c r="N33" s="1"/>
      <c r="O33" s="1"/>
      <c r="P33" s="1"/>
      <c r="Q33" s="1">
        <f t="shared" si="3"/>
        <v>0</v>
      </c>
      <c r="R33" s="1"/>
      <c r="S33" s="1"/>
      <c r="T33" s="1"/>
      <c r="U33" s="1"/>
      <c r="V33" s="1"/>
      <c r="W33" s="1"/>
      <c r="X33" s="1"/>
      <c r="Y33" s="1"/>
      <c r="Z33" s="1"/>
      <c r="AA33" s="1"/>
      <c r="AB33" s="1"/>
      <c r="AC33" s="1"/>
    </row>
    <row r="34" spans="2:29" ht="15.75" x14ac:dyDescent="0.25">
      <c r="B34" s="120"/>
      <c r="C34" s="121" t="s">
        <v>147</v>
      </c>
      <c r="D34" s="121"/>
      <c r="E34" s="121"/>
      <c r="F34" s="121"/>
      <c r="G34" s="121"/>
      <c r="H34" s="8">
        <f>SUM(H26:H33)/H58</f>
        <v>1.596726212876819E-2</v>
      </c>
      <c r="I34" s="8">
        <f>SUM(I26:I33)/I58</f>
        <v>1.7452274573832437E-2</v>
      </c>
      <c r="J34" s="84"/>
      <c r="K34" s="8">
        <f>SUM(K26:K33)/K58</f>
        <v>9.4295423199556357E-3</v>
      </c>
      <c r="L34" s="1"/>
      <c r="M34" s="1"/>
      <c r="N34" s="1"/>
      <c r="O34" s="1"/>
      <c r="P34" s="1"/>
      <c r="Q34" s="1">
        <f t="shared" si="3"/>
        <v>0</v>
      </c>
      <c r="R34" s="1"/>
      <c r="S34" s="1"/>
      <c r="T34" s="1"/>
      <c r="U34" s="1"/>
      <c r="V34" s="1"/>
      <c r="W34" s="1"/>
      <c r="X34" s="1"/>
      <c r="Y34" s="1"/>
      <c r="Z34" s="1"/>
      <c r="AA34" s="1"/>
      <c r="AB34" s="1"/>
      <c r="AC34" s="1"/>
    </row>
    <row r="35" spans="2:29" ht="15.75" x14ac:dyDescent="0.25">
      <c r="B35" s="118" t="s">
        <v>166</v>
      </c>
      <c r="C35" s="44" t="s">
        <v>167</v>
      </c>
      <c r="D35" s="9"/>
      <c r="E35" s="5">
        <v>14.7</v>
      </c>
      <c r="F35" s="6">
        <v>0</v>
      </c>
      <c r="G35" s="7">
        <v>1</v>
      </c>
      <c r="H35" s="5">
        <f t="shared" si="7"/>
        <v>14.7</v>
      </c>
      <c r="I35" s="5">
        <f t="shared" si="2"/>
        <v>14.7</v>
      </c>
      <c r="J35" s="84"/>
      <c r="K35" s="46">
        <f>'Scaling Calculations'!C35</f>
        <v>28.791054811216107</v>
      </c>
      <c r="L35" s="1" t="s">
        <v>92</v>
      </c>
      <c r="M35" s="1"/>
      <c r="N35" s="1"/>
      <c r="O35" s="1"/>
      <c r="P35" s="80">
        <f>'Rocket Length'!C3+'Rocket Length'!C4+'Rocket Length'!C5+0.5*'Rocket Length'!C6</f>
        <v>94.558663525149029</v>
      </c>
      <c r="Q35" s="1">
        <f t="shared" si="3"/>
        <v>2722.4436644279072</v>
      </c>
      <c r="R35" s="1"/>
      <c r="S35" s="1"/>
      <c r="T35" s="1"/>
      <c r="U35" s="1"/>
      <c r="V35" s="1"/>
      <c r="W35" s="1"/>
      <c r="X35" s="1"/>
      <c r="Y35" s="1"/>
      <c r="Z35" s="1"/>
      <c r="AA35" s="1"/>
      <c r="AB35" s="1"/>
      <c r="AC35" s="1"/>
    </row>
    <row r="36" spans="2:29" ht="15.75" x14ac:dyDescent="0.25">
      <c r="B36" s="119"/>
      <c r="C36" s="3" t="s">
        <v>168</v>
      </c>
      <c r="D36" s="9">
        <v>8</v>
      </c>
      <c r="E36" s="5">
        <f>D36*2.20462</f>
        <v>17.636959999999998</v>
      </c>
      <c r="F36" s="6">
        <v>0</v>
      </c>
      <c r="G36" s="7">
        <v>1</v>
      </c>
      <c r="H36" s="5">
        <v>17.2</v>
      </c>
      <c r="I36" s="5">
        <f>H36/(1-F36)</f>
        <v>17.2</v>
      </c>
      <c r="J36" s="84"/>
      <c r="K36" s="46">
        <f>'Scaling Calculations'!C18*2.20462</f>
        <v>54.564344999999989</v>
      </c>
      <c r="L36" s="1" t="s">
        <v>169</v>
      </c>
      <c r="M36" s="1"/>
      <c r="N36" s="1"/>
      <c r="O36" s="1"/>
      <c r="P36" s="80">
        <f>'Rocket Length'!C3+'Rocket Length'!C4+'Rocket Length'!C5+0.5*'Rocket Length'!C6</f>
        <v>94.558663525149029</v>
      </c>
      <c r="Q36" s="1">
        <f t="shared" si="3"/>
        <v>5159.5315393251467</v>
      </c>
      <c r="R36" s="1"/>
      <c r="S36" s="1"/>
      <c r="T36" s="1"/>
      <c r="U36" s="1"/>
      <c r="V36" s="1"/>
      <c r="W36" s="1"/>
      <c r="X36" s="1"/>
      <c r="Y36" s="1"/>
      <c r="Z36" s="1"/>
      <c r="AA36" s="1"/>
      <c r="AB36" s="1"/>
      <c r="AC36" s="1"/>
    </row>
    <row r="37" spans="2:29" ht="15.75" x14ac:dyDescent="0.25">
      <c r="B37" s="119"/>
      <c r="C37" s="44" t="s">
        <v>170</v>
      </c>
      <c r="D37" s="9"/>
      <c r="E37" s="5">
        <v>3.93</v>
      </c>
      <c r="F37" s="6">
        <v>0</v>
      </c>
      <c r="G37" s="7">
        <v>1</v>
      </c>
      <c r="H37" s="5">
        <f t="shared" si="7"/>
        <v>3.93</v>
      </c>
      <c r="I37" s="5">
        <f t="shared" si="2"/>
        <v>3.93</v>
      </c>
      <c r="J37" s="84"/>
      <c r="K37" s="46">
        <f>I37*(Inputs!C3^2)/(Inputs!C12^2)</f>
        <v>3.9299999999999997</v>
      </c>
      <c r="L37" s="1" t="s">
        <v>171</v>
      </c>
      <c r="M37" s="1"/>
      <c r="N37" s="1"/>
      <c r="O37" s="1"/>
      <c r="P37" s="80">
        <f>'Rocket Length'!C3+'Rocket Length'!C4+'Rocket Length'!C5+0.5*'Rocket Length'!C6</f>
        <v>94.558663525149029</v>
      </c>
      <c r="Q37" s="1">
        <f t="shared" si="3"/>
        <v>371.61554765383568</v>
      </c>
      <c r="R37" s="1"/>
      <c r="S37" s="1"/>
      <c r="T37" s="1"/>
      <c r="U37" s="1"/>
      <c r="V37" s="1"/>
      <c r="W37" s="1"/>
      <c r="X37" s="1"/>
      <c r="Y37" s="1"/>
      <c r="Z37" s="1"/>
      <c r="AA37" s="1"/>
      <c r="AB37" s="1"/>
      <c r="AC37" s="1"/>
    </row>
    <row r="38" spans="2:29" ht="15.75" x14ac:dyDescent="0.25">
      <c r="B38" s="119"/>
      <c r="C38" s="3" t="s">
        <v>172</v>
      </c>
      <c r="D38" s="9"/>
      <c r="E38" s="5">
        <v>0.6</v>
      </c>
      <c r="F38" s="6">
        <v>0</v>
      </c>
      <c r="G38" s="7">
        <v>1</v>
      </c>
      <c r="H38" s="5">
        <f t="shared" si="7"/>
        <v>0.6</v>
      </c>
      <c r="I38" s="5">
        <f t="shared" si="2"/>
        <v>0.6</v>
      </c>
      <c r="J38" s="84"/>
      <c r="K38" s="46">
        <f>I38</f>
        <v>0.6</v>
      </c>
      <c r="L38" s="1" t="s">
        <v>144</v>
      </c>
      <c r="M38" s="1"/>
      <c r="N38" s="1"/>
      <c r="O38" s="1"/>
      <c r="P38" s="1"/>
      <c r="Q38" s="1">
        <f t="shared" si="3"/>
        <v>0</v>
      </c>
      <c r="R38" s="1"/>
      <c r="S38" s="1"/>
      <c r="T38" s="1"/>
      <c r="U38" s="1"/>
      <c r="V38" s="1"/>
      <c r="W38" s="1"/>
      <c r="X38" s="1"/>
      <c r="Y38" s="1"/>
      <c r="Z38" s="1"/>
      <c r="AA38" s="1"/>
      <c r="AB38" s="1"/>
      <c r="AC38" s="1"/>
    </row>
    <row r="39" spans="2:29" ht="15.75" x14ac:dyDescent="0.25">
      <c r="B39" s="119"/>
      <c r="C39" s="3" t="s">
        <v>173</v>
      </c>
      <c r="D39" s="9"/>
      <c r="E39" s="5">
        <v>0.16</v>
      </c>
      <c r="F39" s="6">
        <v>0</v>
      </c>
      <c r="G39" s="7">
        <v>1</v>
      </c>
      <c r="H39" s="5">
        <f t="shared" si="7"/>
        <v>0.16</v>
      </c>
      <c r="I39" s="5">
        <f t="shared" si="2"/>
        <v>0.16</v>
      </c>
      <c r="J39" s="84"/>
      <c r="K39" s="46">
        <f>I39</f>
        <v>0.16</v>
      </c>
      <c r="L39" s="1" t="s">
        <v>144</v>
      </c>
      <c r="M39" s="1"/>
      <c r="N39" s="1"/>
      <c r="O39" s="1"/>
      <c r="P39" s="1"/>
      <c r="Q39" s="1">
        <f t="shared" si="3"/>
        <v>0</v>
      </c>
      <c r="R39" s="1"/>
      <c r="S39" s="1"/>
      <c r="T39" s="1"/>
      <c r="U39" s="1"/>
      <c r="V39" s="1"/>
      <c r="W39" s="1"/>
      <c r="X39" s="1"/>
      <c r="Y39" s="1"/>
      <c r="Z39" s="1"/>
      <c r="AA39" s="1"/>
      <c r="AB39" s="1"/>
      <c r="AC39" s="1"/>
    </row>
    <row r="40" spans="2:29" ht="15.75" x14ac:dyDescent="0.25">
      <c r="B40" s="119"/>
      <c r="C40" s="44" t="s">
        <v>174</v>
      </c>
      <c r="D40" s="9"/>
      <c r="E40" s="5">
        <v>5.57</v>
      </c>
      <c r="F40" s="6">
        <v>0.05</v>
      </c>
      <c r="G40" s="7">
        <v>1</v>
      </c>
      <c r="H40" s="5">
        <f t="shared" si="7"/>
        <v>5.57</v>
      </c>
      <c r="I40" s="5">
        <f t="shared" si="2"/>
        <v>5.863157894736843</v>
      </c>
      <c r="J40" s="84"/>
      <c r="K40" s="46">
        <f>I40*(Inputs!C3^2)/(Inputs!C12^2)</f>
        <v>5.863157894736843</v>
      </c>
      <c r="L40" s="1" t="s">
        <v>171</v>
      </c>
      <c r="N40" s="1"/>
      <c r="O40" s="1"/>
      <c r="P40" s="1">
        <f>'Rocket Length'!C3+'Rocket Length'!C4+'Rocket Length'!C5+'Rocket Length'!C6+'Rocket Length'!C7+0.5*'Rocket Length'!C8</f>
        <v>187.68985975702975</v>
      </c>
      <c r="Q40" s="1">
        <f t="shared" si="3"/>
        <v>1100.4552829964798</v>
      </c>
      <c r="R40" s="1"/>
      <c r="S40" s="1"/>
      <c r="T40" s="1"/>
      <c r="U40" s="1"/>
      <c r="V40" s="1"/>
      <c r="W40" s="1"/>
      <c r="X40" s="1"/>
      <c r="Y40" s="1"/>
      <c r="Z40" s="1"/>
      <c r="AA40" s="1"/>
      <c r="AB40" s="1"/>
      <c r="AC40" s="1"/>
    </row>
    <row r="41" spans="2:29" ht="15.75" x14ac:dyDescent="0.25">
      <c r="B41" s="119"/>
      <c r="C41" s="44" t="s">
        <v>175</v>
      </c>
      <c r="D41" s="9"/>
      <c r="E41" s="5">
        <v>4.5999999999999996</v>
      </c>
      <c r="F41" s="6">
        <v>0</v>
      </c>
      <c r="G41" s="7">
        <v>1</v>
      </c>
      <c r="H41" s="5">
        <f t="shared" si="7"/>
        <v>4.5999999999999996</v>
      </c>
      <c r="I41" s="5">
        <f t="shared" si="2"/>
        <v>4.5999999999999996</v>
      </c>
      <c r="J41" s="84"/>
      <c r="K41" s="46">
        <f>'Scaling Calculations'!H31</f>
        <v>9.2491891538538038</v>
      </c>
      <c r="L41" s="1" t="s">
        <v>176</v>
      </c>
      <c r="M41" s="1"/>
      <c r="N41" s="1"/>
      <c r="O41" s="1"/>
      <c r="P41" s="80">
        <f>P35</f>
        <v>94.558663525149029</v>
      </c>
      <c r="Q41" s="1">
        <f t="shared" si="3"/>
        <v>874.59096507971969</v>
      </c>
      <c r="R41" s="1"/>
      <c r="S41" s="1"/>
      <c r="T41" s="1"/>
      <c r="U41" s="1"/>
      <c r="V41" s="1"/>
      <c r="W41" s="1"/>
      <c r="X41" s="1"/>
      <c r="Y41" s="1"/>
      <c r="Z41" s="1"/>
      <c r="AA41" s="1"/>
      <c r="AB41" s="1"/>
      <c r="AC41" s="1"/>
    </row>
    <row r="42" spans="2:29" ht="15.75" x14ac:dyDescent="0.25">
      <c r="B42" s="119"/>
      <c r="C42" s="3" t="s">
        <v>93</v>
      </c>
      <c r="D42" s="11">
        <v>1.86</v>
      </c>
      <c r="E42" s="5">
        <f>D42*2.20462</f>
        <v>4.1005931999999996</v>
      </c>
      <c r="F42" s="6">
        <v>0.1</v>
      </c>
      <c r="G42" s="7">
        <v>1</v>
      </c>
      <c r="H42" s="5">
        <f t="shared" si="7"/>
        <v>4.1005931999999996</v>
      </c>
      <c r="I42" s="5">
        <f>H42/(1-F42)</f>
        <v>4.5562146666666665</v>
      </c>
      <c r="J42" s="84"/>
      <c r="K42" s="46">
        <f>'Scaling Calculations'!H20*2.20462</f>
        <v>12.125409999999999</v>
      </c>
      <c r="L42" s="1" t="s">
        <v>169</v>
      </c>
      <c r="M42" s="1"/>
      <c r="N42" s="1"/>
      <c r="O42" s="1"/>
      <c r="P42" s="81">
        <f>SUM('Rocket Length'!C3:'Rocket Length'!C6)+0.5*'Rocket Length'!C7</f>
        <v>164.17709340366389</v>
      </c>
      <c r="Q42" s="1">
        <f t="shared" si="3"/>
        <v>1990.71457012772</v>
      </c>
      <c r="R42" s="1"/>
      <c r="S42" s="1"/>
      <c r="T42" s="1"/>
      <c r="U42" s="1"/>
      <c r="V42" s="1"/>
      <c r="W42" s="1"/>
      <c r="X42" s="1"/>
      <c r="Y42" s="1"/>
      <c r="Z42" s="1"/>
      <c r="AA42" s="1"/>
      <c r="AB42" s="1"/>
      <c r="AC42" s="1"/>
    </row>
    <row r="43" spans="2:29" ht="15.75" x14ac:dyDescent="0.25">
      <c r="B43" s="119"/>
      <c r="C43" s="44" t="s">
        <v>177</v>
      </c>
      <c r="D43" s="9"/>
      <c r="E43" s="5">
        <v>6.2480000000000002</v>
      </c>
      <c r="F43" s="6">
        <v>0.1</v>
      </c>
      <c r="G43" s="7">
        <v>1</v>
      </c>
      <c r="H43" s="5">
        <f t="shared" si="7"/>
        <v>6.2480000000000002</v>
      </c>
      <c r="I43" s="5">
        <f t="shared" si="2"/>
        <v>6.9422222222222221</v>
      </c>
      <c r="J43" s="84"/>
      <c r="K43" s="46">
        <f>'Scaling Calculations'!W15</f>
        <v>13.465606615085827</v>
      </c>
      <c r="L43" s="1" t="s">
        <v>178</v>
      </c>
      <c r="M43" s="1"/>
      <c r="N43" s="1"/>
      <c r="O43" s="1"/>
      <c r="P43" s="81">
        <f>P42</f>
        <v>164.17709340366389</v>
      </c>
      <c r="Q43" s="1">
        <f t="shared" si="3"/>
        <v>2210.74415498194</v>
      </c>
      <c r="R43" s="1"/>
      <c r="S43" s="1"/>
      <c r="T43" s="1"/>
      <c r="U43" s="1"/>
      <c r="V43" s="1"/>
      <c r="W43" s="1"/>
      <c r="X43" s="1"/>
      <c r="Y43" s="1"/>
      <c r="Z43" s="1"/>
      <c r="AA43" s="1"/>
      <c r="AB43" s="1"/>
      <c r="AC43" s="1"/>
    </row>
    <row r="44" spans="2:29" ht="15.75" x14ac:dyDescent="0.25">
      <c r="B44" s="120"/>
      <c r="C44" s="121" t="s">
        <v>147</v>
      </c>
      <c r="D44" s="121"/>
      <c r="E44" s="121"/>
      <c r="F44" s="121"/>
      <c r="G44" s="121"/>
      <c r="H44" s="8">
        <f>SUM(H35:H43)/H58</f>
        <v>0.70694316560469139</v>
      </c>
      <c r="I44" s="8">
        <f>SUM(I35:I43)/I58</f>
        <v>0.68701637076468636</v>
      </c>
      <c r="J44" s="84"/>
      <c r="K44" s="8">
        <f>SUM(K35:K43)/K58</f>
        <v>0.81622520371514673</v>
      </c>
      <c r="L44" s="1"/>
      <c r="M44" s="1"/>
      <c r="N44" s="1"/>
      <c r="O44" s="1"/>
      <c r="P44" s="80"/>
      <c r="Q44" s="1">
        <f t="shared" si="3"/>
        <v>0</v>
      </c>
      <c r="R44" s="1"/>
      <c r="S44" s="1"/>
      <c r="T44" s="1"/>
      <c r="U44" s="1"/>
      <c r="V44" s="1"/>
      <c r="W44" s="1"/>
      <c r="X44" s="1"/>
      <c r="Y44" s="1"/>
      <c r="Z44" s="1"/>
      <c r="AA44" s="1"/>
      <c r="AB44" s="1"/>
      <c r="AC44" s="1"/>
    </row>
    <row r="45" spans="2:29" ht="15.75" x14ac:dyDescent="0.25">
      <c r="B45" s="118" t="s">
        <v>179</v>
      </c>
      <c r="C45" s="44" t="s">
        <v>180</v>
      </c>
      <c r="D45" s="9"/>
      <c r="E45" s="5">
        <v>2.5</v>
      </c>
      <c r="F45" s="6">
        <v>0.15</v>
      </c>
      <c r="G45" s="7">
        <v>1</v>
      </c>
      <c r="H45" s="5">
        <f>E45*G45</f>
        <v>2.5</v>
      </c>
      <c r="I45" s="5">
        <f t="shared" si="2"/>
        <v>2.9411764705882355</v>
      </c>
      <c r="J45" s="84"/>
      <c r="K45" s="65">
        <f>I45*(SUM(K6:K15,K17:K24,K26:K33,K35,K37:K41,K43,K46:K53,K55:K56)/(I59-I45))</f>
        <v>4.2191075776930331</v>
      </c>
      <c r="L45" s="66" t="s">
        <v>181</v>
      </c>
      <c r="M45" s="1"/>
      <c r="N45" s="1"/>
      <c r="O45" s="1"/>
      <c r="P45" s="1">
        <f>'Rocket Length'!C3+0.5*'Rocket Length'!C4</f>
        <v>24.314</v>
      </c>
      <c r="Q45" s="1">
        <f t="shared" si="3"/>
        <v>102.58338164402841</v>
      </c>
      <c r="R45" s="1"/>
      <c r="S45" s="1"/>
      <c r="T45" s="1"/>
      <c r="U45" s="1"/>
      <c r="V45" s="1"/>
      <c r="W45" s="1"/>
      <c r="X45" s="1"/>
      <c r="Y45" s="1"/>
      <c r="Z45" s="1"/>
      <c r="AA45" s="1"/>
      <c r="AB45" s="1"/>
      <c r="AC45" s="1"/>
    </row>
    <row r="46" spans="2:29" ht="15.75" x14ac:dyDescent="0.25">
      <c r="B46" s="119"/>
      <c r="C46" s="3" t="s">
        <v>182</v>
      </c>
      <c r="D46" s="9"/>
      <c r="E46" s="5">
        <v>0.84</v>
      </c>
      <c r="F46" s="6">
        <v>0.15</v>
      </c>
      <c r="G46" s="7">
        <v>1</v>
      </c>
      <c r="H46" s="5">
        <f t="shared" ref="H46:H53" si="10">E46*G46</f>
        <v>0.84</v>
      </c>
      <c r="I46" s="5">
        <f t="shared" si="2"/>
        <v>0.9882352941176471</v>
      </c>
      <c r="J46" s="84"/>
      <c r="K46" s="46">
        <f>I46</f>
        <v>0.9882352941176471</v>
      </c>
      <c r="L46" s="1" t="s">
        <v>144</v>
      </c>
      <c r="M46" s="1"/>
      <c r="N46" s="1"/>
      <c r="O46" s="1"/>
      <c r="P46" s="1">
        <f>'Rocket Length'!C3+0.8*'Rocket Length'!C4</f>
        <v>30.502399999999998</v>
      </c>
      <c r="Q46" s="1">
        <f t="shared" si="3"/>
        <v>30.143548235294116</v>
      </c>
      <c r="R46" s="1"/>
      <c r="S46" s="1"/>
      <c r="T46" s="1"/>
      <c r="U46" s="1"/>
      <c r="V46" s="1"/>
      <c r="W46" s="1"/>
      <c r="X46" s="1"/>
      <c r="Y46" s="1"/>
      <c r="Z46" s="1"/>
      <c r="AA46" s="1"/>
      <c r="AB46" s="1"/>
      <c r="AC46" s="1"/>
    </row>
    <row r="47" spans="2:29" ht="15.75" x14ac:dyDescent="0.25">
      <c r="B47" s="119"/>
      <c r="C47" s="3" t="s">
        <v>183</v>
      </c>
      <c r="D47" s="9">
        <v>0.1</v>
      </c>
      <c r="E47" s="5">
        <v>0.35</v>
      </c>
      <c r="F47" s="6">
        <v>0.15</v>
      </c>
      <c r="G47" s="7">
        <v>1</v>
      </c>
      <c r="H47" s="5">
        <f t="shared" si="10"/>
        <v>0.35</v>
      </c>
      <c r="I47" s="5">
        <f t="shared" si="2"/>
        <v>0.41176470588235292</v>
      </c>
      <c r="J47" s="84"/>
      <c r="K47" s="46">
        <f t="shared" ref="K47:K53" si="11">I47</f>
        <v>0.41176470588235292</v>
      </c>
      <c r="L47" s="1" t="s">
        <v>144</v>
      </c>
      <c r="M47" s="1"/>
      <c r="N47" s="1"/>
      <c r="O47" s="1"/>
      <c r="P47" s="1">
        <f>P45</f>
        <v>24.314</v>
      </c>
      <c r="Q47" s="1">
        <f t="shared" si="3"/>
        <v>10.011647058823529</v>
      </c>
      <c r="R47" s="1"/>
      <c r="S47" s="1"/>
      <c r="T47" s="1"/>
      <c r="U47" s="1"/>
      <c r="V47" s="1"/>
      <c r="W47" s="1"/>
      <c r="X47" s="1"/>
      <c r="Y47" s="1"/>
      <c r="Z47" s="1"/>
      <c r="AA47" s="1"/>
      <c r="AB47" s="1"/>
      <c r="AC47" s="1"/>
    </row>
    <row r="48" spans="2:29" ht="15.75" x14ac:dyDescent="0.25">
      <c r="B48" s="119"/>
      <c r="C48" s="3" t="s">
        <v>184</v>
      </c>
      <c r="D48" s="9">
        <v>2.1000000000000001E-2</v>
      </c>
      <c r="E48" s="5">
        <f t="shared" ref="E48:E53" si="12">D48*2.20462</f>
        <v>4.6297020000000001E-2</v>
      </c>
      <c r="F48" s="6">
        <v>0</v>
      </c>
      <c r="G48" s="7">
        <v>2</v>
      </c>
      <c r="H48" s="5">
        <f t="shared" si="10"/>
        <v>9.2594040000000002E-2</v>
      </c>
      <c r="I48" s="5">
        <f t="shared" si="2"/>
        <v>9.2594040000000002E-2</v>
      </c>
      <c r="J48" s="84"/>
      <c r="K48" s="46">
        <f t="shared" si="11"/>
        <v>9.2594040000000002E-2</v>
      </c>
      <c r="L48" s="1" t="s">
        <v>144</v>
      </c>
      <c r="M48" s="1"/>
      <c r="N48" s="1"/>
      <c r="O48" s="1"/>
      <c r="P48" s="1"/>
      <c r="Q48" s="1">
        <f t="shared" si="3"/>
        <v>0</v>
      </c>
      <c r="R48" s="1"/>
      <c r="S48" s="1"/>
      <c r="T48" s="1"/>
      <c r="U48" s="1"/>
      <c r="V48" s="1"/>
      <c r="W48" s="1"/>
      <c r="X48" s="1"/>
      <c r="Y48" s="1"/>
      <c r="Z48" s="1"/>
      <c r="AA48" s="1"/>
      <c r="AB48" s="1"/>
      <c r="AC48" s="1"/>
    </row>
    <row r="49" spans="2:29" ht="15.75" x14ac:dyDescent="0.25">
      <c r="B49" s="119"/>
      <c r="C49" s="3" t="s">
        <v>185</v>
      </c>
      <c r="D49" s="9"/>
      <c r="E49" s="5">
        <v>0.95</v>
      </c>
      <c r="F49" s="6">
        <v>0.15</v>
      </c>
      <c r="G49" s="7">
        <v>1</v>
      </c>
      <c r="H49" s="5">
        <f t="shared" si="10"/>
        <v>0.95</v>
      </c>
      <c r="I49" s="5">
        <f>H49/(1-F49)</f>
        <v>1.1176470588235294</v>
      </c>
      <c r="J49" s="84"/>
      <c r="K49" s="46">
        <f t="shared" si="11"/>
        <v>1.1176470588235294</v>
      </c>
      <c r="L49" s="1" t="s">
        <v>144</v>
      </c>
      <c r="M49" s="1"/>
      <c r="N49" s="1"/>
      <c r="O49" s="1"/>
      <c r="P49" s="1"/>
      <c r="Q49" s="1">
        <f t="shared" si="3"/>
        <v>0</v>
      </c>
      <c r="R49" s="1"/>
      <c r="S49" s="1"/>
      <c r="T49" s="1"/>
      <c r="U49" s="1"/>
      <c r="V49" s="1"/>
      <c r="W49" s="1"/>
      <c r="X49" s="1"/>
      <c r="Y49" s="1"/>
      <c r="Z49" s="1"/>
      <c r="AA49" s="1"/>
      <c r="AB49" s="1"/>
      <c r="AC49" s="1"/>
    </row>
    <row r="50" spans="2:29" ht="15.75" x14ac:dyDescent="0.25">
      <c r="B50" s="119"/>
      <c r="C50" s="3" t="s">
        <v>186</v>
      </c>
      <c r="D50" s="9">
        <v>5.1999999999999998E-2</v>
      </c>
      <c r="E50" s="5">
        <f t="shared" si="12"/>
        <v>0.11464023999999999</v>
      </c>
      <c r="F50" s="6">
        <v>0</v>
      </c>
      <c r="G50" s="7">
        <v>2</v>
      </c>
      <c r="H50" s="5">
        <f t="shared" si="10"/>
        <v>0.22928047999999998</v>
      </c>
      <c r="I50" s="5">
        <f t="shared" si="2"/>
        <v>0.22928047999999998</v>
      </c>
      <c r="J50" s="84"/>
      <c r="K50" s="46">
        <f t="shared" si="11"/>
        <v>0.22928047999999998</v>
      </c>
      <c r="L50" s="1" t="s">
        <v>144</v>
      </c>
      <c r="M50" s="1"/>
      <c r="N50" s="1"/>
      <c r="O50" s="1"/>
      <c r="P50" s="1"/>
      <c r="Q50" s="1">
        <f t="shared" si="3"/>
        <v>0</v>
      </c>
      <c r="R50" s="1"/>
      <c r="S50" s="1"/>
      <c r="T50" s="1"/>
      <c r="U50" s="1"/>
      <c r="V50" s="1"/>
      <c r="W50" s="1"/>
      <c r="X50" s="1"/>
      <c r="Y50" s="1"/>
      <c r="Z50" s="1"/>
      <c r="AA50" s="1"/>
      <c r="AB50" s="1"/>
      <c r="AC50" s="1"/>
    </row>
    <row r="51" spans="2:29" ht="15.75" x14ac:dyDescent="0.25">
      <c r="B51" s="119"/>
      <c r="C51" s="3" t="s">
        <v>187</v>
      </c>
      <c r="D51" s="9"/>
      <c r="E51" s="5">
        <v>0.153</v>
      </c>
      <c r="F51" s="6">
        <v>0</v>
      </c>
      <c r="G51" s="7">
        <v>2</v>
      </c>
      <c r="H51" s="5">
        <f t="shared" si="10"/>
        <v>0.30599999999999999</v>
      </c>
      <c r="I51" s="5">
        <f t="shared" si="2"/>
        <v>0.30599999999999999</v>
      </c>
      <c r="J51" s="84"/>
      <c r="K51" s="46">
        <f t="shared" si="11"/>
        <v>0.30599999999999999</v>
      </c>
      <c r="L51" s="1" t="s">
        <v>144</v>
      </c>
      <c r="M51" s="1"/>
      <c r="N51" s="1"/>
      <c r="O51" s="1"/>
      <c r="P51" s="1"/>
      <c r="Q51" s="1">
        <f t="shared" si="3"/>
        <v>0</v>
      </c>
      <c r="R51" s="1"/>
      <c r="S51" s="1"/>
      <c r="T51" s="1"/>
      <c r="U51" s="1"/>
      <c r="V51" s="1"/>
      <c r="W51" s="1"/>
      <c r="X51" s="1"/>
      <c r="Y51" s="1"/>
      <c r="Z51" s="1"/>
      <c r="AA51" s="1"/>
      <c r="AB51" s="1"/>
      <c r="AC51" s="1"/>
    </row>
    <row r="52" spans="2:29" ht="15.75" x14ac:dyDescent="0.25">
      <c r="B52" s="119"/>
      <c r="C52" s="3" t="s">
        <v>188</v>
      </c>
      <c r="D52" s="9"/>
      <c r="E52" s="5">
        <v>0.04</v>
      </c>
      <c r="F52" s="6">
        <v>0</v>
      </c>
      <c r="G52" s="7">
        <v>2</v>
      </c>
      <c r="H52" s="5">
        <f t="shared" si="10"/>
        <v>0.08</v>
      </c>
      <c r="I52" s="5">
        <f t="shared" si="2"/>
        <v>0.08</v>
      </c>
      <c r="J52" s="84"/>
      <c r="K52" s="46">
        <f t="shared" si="11"/>
        <v>0.08</v>
      </c>
      <c r="L52" s="1" t="s">
        <v>144</v>
      </c>
      <c r="M52" s="1"/>
      <c r="N52" s="1"/>
      <c r="O52" s="1"/>
      <c r="P52" s="1"/>
      <c r="Q52" s="1">
        <f t="shared" si="3"/>
        <v>0</v>
      </c>
      <c r="R52" s="1"/>
      <c r="S52" s="1"/>
      <c r="T52" s="1"/>
      <c r="U52" s="1"/>
      <c r="V52" s="1"/>
      <c r="W52" s="1"/>
      <c r="X52" s="1"/>
      <c r="Y52" s="1"/>
      <c r="Z52" s="1"/>
      <c r="AA52" s="1"/>
      <c r="AB52" s="1"/>
      <c r="AC52" s="1"/>
    </row>
    <row r="53" spans="2:29" ht="15.75" x14ac:dyDescent="0.25">
      <c r="B53" s="119"/>
      <c r="C53" s="3" t="s">
        <v>161</v>
      </c>
      <c r="D53" s="9">
        <v>0.01</v>
      </c>
      <c r="E53" s="5">
        <f t="shared" si="12"/>
        <v>2.2046199999999998E-2</v>
      </c>
      <c r="F53" s="6">
        <v>0</v>
      </c>
      <c r="G53" s="7">
        <v>1</v>
      </c>
      <c r="H53" s="5">
        <f t="shared" si="10"/>
        <v>2.2046199999999998E-2</v>
      </c>
      <c r="I53" s="5">
        <f t="shared" si="2"/>
        <v>2.2046199999999998E-2</v>
      </c>
      <c r="J53" s="84"/>
      <c r="K53" s="46">
        <f t="shared" si="11"/>
        <v>2.2046199999999998E-2</v>
      </c>
      <c r="L53" s="1" t="s">
        <v>144</v>
      </c>
      <c r="M53" s="1"/>
      <c r="N53" s="1"/>
      <c r="O53" s="1"/>
      <c r="P53" s="1"/>
      <c r="Q53" s="1">
        <f t="shared" si="3"/>
        <v>0</v>
      </c>
      <c r="R53" s="1"/>
      <c r="S53" s="1"/>
      <c r="T53" s="1"/>
      <c r="U53" s="1"/>
      <c r="V53" s="1"/>
      <c r="W53" s="1"/>
      <c r="X53" s="1"/>
      <c r="Y53" s="1"/>
      <c r="Z53" s="1"/>
      <c r="AA53" s="1"/>
      <c r="AB53" s="1"/>
      <c r="AC53" s="1"/>
    </row>
    <row r="54" spans="2:29" ht="15.75" x14ac:dyDescent="0.25">
      <c r="B54" s="120"/>
      <c r="C54" s="121" t="s">
        <v>147</v>
      </c>
      <c r="D54" s="121"/>
      <c r="E54" s="121"/>
      <c r="F54" s="121"/>
      <c r="G54" s="121"/>
      <c r="H54" s="8">
        <f>SUM(H45:H53)/H58</f>
        <v>6.6473862165510739E-2</v>
      </c>
      <c r="I54" s="8">
        <f>SUM(I45:I53)/I58</f>
        <v>7.2615761014433095E-2</v>
      </c>
      <c r="J54" s="84"/>
      <c r="K54" s="8">
        <f>SUM(K45:K53)/K58</f>
        <v>4.7336288516169632E-2</v>
      </c>
      <c r="L54" s="1"/>
      <c r="M54" s="1"/>
      <c r="N54" s="1"/>
      <c r="O54" s="1"/>
      <c r="P54" s="1"/>
      <c r="Q54" s="1">
        <f t="shared" si="3"/>
        <v>0</v>
      </c>
      <c r="R54" s="1"/>
      <c r="S54" s="1"/>
      <c r="T54" s="1"/>
      <c r="U54" s="1"/>
      <c r="V54" s="1"/>
      <c r="W54" s="1"/>
      <c r="X54" s="1"/>
      <c r="Y54" s="1"/>
      <c r="Z54" s="1"/>
      <c r="AA54" s="1"/>
      <c r="AB54" s="1"/>
      <c r="AC54" s="1"/>
    </row>
    <row r="55" spans="2:29" ht="15.75" x14ac:dyDescent="0.25">
      <c r="B55" s="122" t="s">
        <v>189</v>
      </c>
      <c r="C55" s="3" t="s">
        <v>190</v>
      </c>
      <c r="D55" s="12"/>
      <c r="E55" s="5">
        <v>8.8000000000000007</v>
      </c>
      <c r="F55" s="13">
        <v>0.1</v>
      </c>
      <c r="G55" s="7">
        <v>1</v>
      </c>
      <c r="H55" s="5">
        <f t="shared" si="7"/>
        <v>8.8000000000000007</v>
      </c>
      <c r="I55" s="5">
        <f t="shared" si="2"/>
        <v>9.7777777777777786</v>
      </c>
      <c r="J55" s="84"/>
      <c r="K55" s="46">
        <f>I55</f>
        <v>9.7777777777777786</v>
      </c>
      <c r="L55" s="1" t="s">
        <v>144</v>
      </c>
      <c r="M55" s="1"/>
      <c r="N55" s="1"/>
      <c r="O55" s="1"/>
      <c r="P55" s="1">
        <f>0.8*'Rocket Length'!C3</f>
        <v>11.200000000000001</v>
      </c>
      <c r="Q55" s="1">
        <f t="shared" si="3"/>
        <v>109.51111111111113</v>
      </c>
      <c r="R55" s="1"/>
      <c r="S55" s="1"/>
      <c r="T55" s="1"/>
      <c r="U55" s="1"/>
      <c r="V55" s="1"/>
      <c r="W55" s="1"/>
      <c r="X55" s="1"/>
      <c r="Y55" s="1"/>
      <c r="Z55" s="1"/>
      <c r="AA55" s="1"/>
      <c r="AB55" s="1"/>
      <c r="AC55" s="1"/>
    </row>
    <row r="56" spans="2:29" ht="15.75" x14ac:dyDescent="0.25">
      <c r="B56" s="122"/>
      <c r="C56" s="3" t="s">
        <v>191</v>
      </c>
      <c r="D56" s="12">
        <v>0.25</v>
      </c>
      <c r="E56" s="5">
        <f t="shared" ref="E56" si="13">D56*2.20462</f>
        <v>0.55115499999999995</v>
      </c>
      <c r="F56" s="13">
        <v>0.3</v>
      </c>
      <c r="G56" s="7">
        <v>1</v>
      </c>
      <c r="H56" s="5">
        <f t="shared" si="7"/>
        <v>0.55115499999999995</v>
      </c>
      <c r="I56" s="5">
        <f t="shared" si="2"/>
        <v>0.78736428571428574</v>
      </c>
      <c r="J56" s="84"/>
      <c r="K56" s="46">
        <f>I56</f>
        <v>0.78736428571428574</v>
      </c>
      <c r="L56" s="1" t="s">
        <v>144</v>
      </c>
      <c r="M56" s="1"/>
      <c r="N56" s="1"/>
      <c r="O56" s="1"/>
      <c r="P56" s="1"/>
      <c r="Q56" s="1">
        <f t="shared" si="3"/>
        <v>0</v>
      </c>
      <c r="R56" s="1"/>
      <c r="S56" s="1"/>
      <c r="T56" s="1"/>
      <c r="U56" s="1"/>
      <c r="V56" s="1"/>
      <c r="W56" s="1"/>
      <c r="X56" s="1"/>
      <c r="Y56" s="1"/>
      <c r="Z56" s="1"/>
      <c r="AA56" s="1"/>
      <c r="AB56" s="1"/>
      <c r="AC56" s="1"/>
    </row>
    <row r="57" spans="2:29" ht="15.75" x14ac:dyDescent="0.25">
      <c r="B57" s="122"/>
      <c r="C57" s="121" t="s">
        <v>147</v>
      </c>
      <c r="D57" s="121"/>
      <c r="E57" s="121"/>
      <c r="F57" s="121"/>
      <c r="G57" s="121"/>
      <c r="H57" s="8">
        <f>SUM(H55:H55)/H58</f>
        <v>0.10893456673909602</v>
      </c>
      <c r="I57" s="8">
        <f>SUM(I55:I55)/I58</f>
        <v>0.11472776152138341</v>
      </c>
      <c r="J57" s="84"/>
      <c r="K57" s="8">
        <f>SUM(K55:K55)/K58</f>
        <v>6.1987924723676736E-2</v>
      </c>
      <c r="L57" s="1"/>
      <c r="M57" s="1"/>
      <c r="N57" s="1"/>
      <c r="O57" s="1"/>
      <c r="P57" s="1"/>
      <c r="Q57" s="1"/>
      <c r="R57" s="1"/>
      <c r="S57" s="1"/>
      <c r="T57" s="1"/>
      <c r="U57" s="1"/>
      <c r="V57" s="1"/>
      <c r="W57" s="1"/>
      <c r="X57" s="1"/>
      <c r="Y57" s="1"/>
      <c r="Z57" s="1"/>
      <c r="AA57" s="1"/>
      <c r="AB57" s="1"/>
      <c r="AC57" s="1"/>
    </row>
    <row r="58" spans="2:29" ht="15.75" x14ac:dyDescent="0.25">
      <c r="B58" s="106"/>
      <c r="C58" s="107"/>
      <c r="D58" s="108"/>
      <c r="E58" s="115" t="s">
        <v>192</v>
      </c>
      <c r="F58" s="115"/>
      <c r="G58" s="115"/>
      <c r="H58" s="14">
        <f>SUM(H6:H15,H17:H24,H26:H33,H35:H43,H55:H56,H45:H53)</f>
        <v>80.782439067999974</v>
      </c>
      <c r="I58" s="14">
        <f>SUM(I6:I15,I17:I24,I26:I33,I35:I43,I55:I56,I45:I53)</f>
        <v>85.22590912710659</v>
      </c>
      <c r="J58" s="1"/>
      <c r="K58" s="67">
        <f>SUM(K6:K15,K17:K24,K26:K33,K35:K43,K45:K53,K55:K56)</f>
        <v>157.7368144096472</v>
      </c>
      <c r="L58" s="1"/>
      <c r="M58" s="1"/>
      <c r="N58" s="1"/>
      <c r="O58" s="1"/>
      <c r="P58" s="1"/>
      <c r="Q58" s="1"/>
      <c r="R58" s="1"/>
      <c r="S58" s="1"/>
      <c r="T58" s="1"/>
      <c r="U58" s="1"/>
      <c r="V58" s="1"/>
      <c r="W58" s="1"/>
      <c r="X58" s="1"/>
      <c r="Y58" s="1"/>
      <c r="Z58" s="1"/>
      <c r="AA58" s="1"/>
      <c r="AB58" s="1"/>
      <c r="AC58" s="1"/>
    </row>
    <row r="59" spans="2:29" ht="15.75" x14ac:dyDescent="0.25">
      <c r="B59" s="109"/>
      <c r="C59" s="110"/>
      <c r="D59" s="111"/>
      <c r="E59" s="116" t="s">
        <v>193</v>
      </c>
      <c r="F59" s="116"/>
      <c r="G59" s="116"/>
      <c r="H59" s="15">
        <f>SUM(H6:H15,H17:H24,H26:H33,H35,H37,H38,H39,H41,H40,H43,H45:H53,H55:H56)</f>
        <v>59.481845868000001</v>
      </c>
      <c r="I59" s="15">
        <f>SUM(I6:I15,I17:I24,I26:I33,I35,I37,I38,I39,I40,I41,I43,I45:I53,I55:I56)</f>
        <v>63.469694460439911</v>
      </c>
      <c r="J59" s="1"/>
      <c r="K59" s="15">
        <f>SUM(K6:K15,K17:K24,K26:K33,K35,K37,K38,K39,K40,K41,K43,K45:K53,K55:K56)</f>
        <v>91.047059409647204</v>
      </c>
      <c r="L59" s="1"/>
      <c r="M59" s="1">
        <f>K59/2.2</f>
        <v>41.385027004385087</v>
      </c>
      <c r="N59" s="1"/>
      <c r="O59" s="1"/>
      <c r="P59" s="1"/>
      <c r="Q59" s="1"/>
      <c r="R59" s="1"/>
      <c r="S59" s="1"/>
      <c r="T59" s="1"/>
      <c r="U59" s="1"/>
      <c r="V59" s="1"/>
      <c r="W59" s="1"/>
      <c r="X59" s="1"/>
      <c r="Y59" s="1"/>
      <c r="Z59" s="1"/>
      <c r="AA59" s="1"/>
      <c r="AB59" s="1"/>
      <c r="AC59" s="1"/>
    </row>
    <row r="60" spans="2:29" ht="15.75" x14ac:dyDescent="0.25">
      <c r="B60" s="109"/>
      <c r="C60" s="110"/>
      <c r="D60" s="111"/>
      <c r="E60" s="116" t="s">
        <v>194</v>
      </c>
      <c r="F60" s="116"/>
      <c r="G60" s="116"/>
      <c r="H60" s="16">
        <v>60</v>
      </c>
      <c r="I60" s="16">
        <v>60</v>
      </c>
      <c r="J60" s="1"/>
      <c r="K60" s="16">
        <f>46*2.2</f>
        <v>101.2</v>
      </c>
      <c r="L60" s="1"/>
      <c r="M60" s="1"/>
      <c r="N60" s="1"/>
      <c r="O60" s="1"/>
      <c r="P60" s="1"/>
      <c r="Q60" s="1"/>
      <c r="R60" s="1"/>
      <c r="S60" s="1"/>
      <c r="T60" s="1"/>
      <c r="U60" s="1"/>
      <c r="V60" s="1"/>
      <c r="W60" s="1"/>
      <c r="X60" s="1"/>
      <c r="Y60" s="1"/>
      <c r="Z60" s="1"/>
      <c r="AA60" s="1"/>
      <c r="AB60" s="1"/>
      <c r="AC60" s="1"/>
    </row>
    <row r="61" spans="2:29" ht="15.75" x14ac:dyDescent="0.25">
      <c r="B61" s="112"/>
      <c r="C61" s="113"/>
      <c r="D61" s="114"/>
      <c r="E61" s="117" t="s">
        <v>195</v>
      </c>
      <c r="F61" s="117"/>
      <c r="G61" s="117"/>
      <c r="H61" s="51">
        <f>(H60-H59)/H60</f>
        <v>8.6359021999999896E-3</v>
      </c>
      <c r="I61" s="51">
        <f>(I60-I59)/I60</f>
        <v>-5.7828241007331846E-2</v>
      </c>
      <c r="J61" s="1"/>
      <c r="K61" s="51">
        <f>(K60-K59)/K60</f>
        <v>0.10032549990467192</v>
      </c>
      <c r="L61" s="1"/>
      <c r="M61" s="1"/>
      <c r="N61" s="1"/>
      <c r="O61" s="1"/>
      <c r="P61" s="1"/>
      <c r="Q61" s="1"/>
      <c r="R61" s="1"/>
      <c r="S61" s="1"/>
      <c r="T61" s="1"/>
      <c r="U61" s="1"/>
      <c r="V61" s="1"/>
      <c r="W61" s="1"/>
      <c r="X61" s="1"/>
      <c r="Y61" s="1"/>
      <c r="Z61" s="1"/>
      <c r="AA61" s="1"/>
      <c r="AB61" s="1"/>
      <c r="AC61" s="1"/>
    </row>
    <row r="62" spans="2:29" x14ac:dyDescent="0.25">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2:29" x14ac:dyDescent="0.25">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2:29" ht="15.75" x14ac:dyDescent="0.25">
      <c r="B64" s="1"/>
      <c r="C64" s="1"/>
      <c r="D64" s="1"/>
      <c r="E64" s="1"/>
      <c r="F64" s="1"/>
      <c r="G64" s="1"/>
      <c r="H64" s="1"/>
      <c r="I64" s="1"/>
      <c r="J64" s="1"/>
      <c r="K64" s="1"/>
      <c r="L64" s="1"/>
      <c r="M64" s="50" t="s">
        <v>120</v>
      </c>
      <c r="N64" s="40" t="s">
        <v>201</v>
      </c>
      <c r="O64" s="40" t="s">
        <v>202</v>
      </c>
      <c r="P64" s="40" t="s">
        <v>203</v>
      </c>
      <c r="Q64" s="1"/>
      <c r="R64" s="1"/>
      <c r="S64" s="1"/>
      <c r="T64" s="1"/>
      <c r="U64" s="1"/>
      <c r="V64" s="1"/>
      <c r="W64" s="1"/>
      <c r="X64" s="1"/>
      <c r="Y64" s="1"/>
      <c r="Z64" s="1"/>
      <c r="AA64" s="1"/>
      <c r="AB64" s="1"/>
      <c r="AC64" s="1"/>
    </row>
    <row r="65" spans="2:32" ht="15.75" x14ac:dyDescent="0.25">
      <c r="B65" s="1"/>
      <c r="C65" s="1"/>
      <c r="D65" s="1"/>
      <c r="E65" s="1"/>
      <c r="F65" s="1"/>
      <c r="G65" s="1"/>
      <c r="H65" s="1"/>
      <c r="I65" s="1"/>
      <c r="J65" s="74"/>
      <c r="K65" s="80"/>
      <c r="L65" s="1"/>
      <c r="M65" s="88" t="s">
        <v>131</v>
      </c>
      <c r="N65" s="94">
        <f>SUM(K6:K15)/2.2</f>
        <v>3.9732729869930252</v>
      </c>
      <c r="O65" s="98">
        <f>N65/N$77</f>
        <v>5.5416363035476923E-2</v>
      </c>
      <c r="P65" s="98">
        <f>N65/N$78</f>
        <v>9.6007500165990564E-2</v>
      </c>
      <c r="Q65" s="1"/>
      <c r="R65" s="1"/>
      <c r="S65" s="1"/>
      <c r="T65" s="1"/>
      <c r="U65" s="1"/>
      <c r="V65" s="1"/>
      <c r="W65" s="1"/>
      <c r="X65" s="1"/>
      <c r="Y65" s="1"/>
      <c r="Z65" s="1"/>
      <c r="AA65" s="1"/>
      <c r="AB65" s="1"/>
      <c r="AC65" s="1"/>
    </row>
    <row r="66" spans="2:32" ht="15.75" x14ac:dyDescent="0.25">
      <c r="B66" s="1"/>
      <c r="C66" s="1"/>
      <c r="D66" s="1"/>
      <c r="E66" s="1"/>
      <c r="F66" s="1"/>
      <c r="G66" s="1"/>
      <c r="H66" s="1"/>
      <c r="I66" s="1"/>
      <c r="J66" s="74"/>
      <c r="K66" s="80"/>
      <c r="L66" s="1"/>
      <c r="M66" s="89" t="s">
        <v>148</v>
      </c>
      <c r="N66" s="94">
        <f>SUM(K17:K24)/2.2</f>
        <v>0.33074862566844915</v>
      </c>
      <c r="O66" s="98">
        <f t="shared" ref="O66:O76" si="14">N66/N$77</f>
        <v>4.6130447048389565E-3</v>
      </c>
      <c r="P66" s="98">
        <f t="shared" ref="P66:P76" si="15">N66/N$78</f>
        <v>7.991987673063583E-3</v>
      </c>
      <c r="Q66" s="1"/>
      <c r="R66" s="1"/>
      <c r="S66" s="1"/>
      <c r="T66" s="1"/>
      <c r="U66" s="1"/>
      <c r="V66" s="1"/>
      <c r="W66" s="1"/>
      <c r="X66" s="1"/>
      <c r="Y66" s="1"/>
      <c r="Z66" s="1"/>
      <c r="AA66" s="1"/>
      <c r="AB66" s="1"/>
      <c r="AC66" s="1"/>
    </row>
    <row r="67" spans="2:32" ht="15.75" x14ac:dyDescent="0.25">
      <c r="B67" s="1"/>
      <c r="C67" s="1"/>
      <c r="D67" s="1"/>
      <c r="E67" s="1"/>
      <c r="F67" s="1"/>
      <c r="G67" s="1"/>
      <c r="H67" s="1"/>
      <c r="I67" s="1"/>
      <c r="J67" s="74"/>
      <c r="K67" s="80"/>
      <c r="L67" s="1"/>
      <c r="M67" s="89" t="s">
        <v>157</v>
      </c>
      <c r="N67" s="94">
        <f>SUM(K26:K33)/2.2</f>
        <v>0.67608453040488903</v>
      </c>
      <c r="O67" s="98">
        <f t="shared" si="14"/>
        <v>9.4295423199556357E-3</v>
      </c>
      <c r="P67" s="98">
        <f t="shared" si="15"/>
        <v>1.6336452561291123E-2</v>
      </c>
      <c r="Q67" s="1"/>
      <c r="R67" s="1"/>
      <c r="S67" s="1"/>
      <c r="T67" s="1"/>
      <c r="U67" s="1"/>
      <c r="V67" s="1"/>
      <c r="W67" s="1"/>
      <c r="X67" s="1"/>
      <c r="Y67" s="1"/>
      <c r="Z67" s="1"/>
      <c r="AA67" s="1"/>
      <c r="AB67" s="1"/>
      <c r="AC67" s="1"/>
    </row>
    <row r="68" spans="2:32" ht="15.75" x14ac:dyDescent="0.25">
      <c r="B68" s="1"/>
      <c r="C68" s="1"/>
      <c r="D68" s="1"/>
      <c r="E68" s="1"/>
      <c r="F68" s="1"/>
      <c r="G68" s="1"/>
      <c r="H68" s="1"/>
      <c r="I68" s="1"/>
      <c r="J68" s="74"/>
      <c r="M68" s="89" t="s">
        <v>166</v>
      </c>
      <c r="N68" s="94">
        <f>SUM(K37,K38,K39)/2.2</f>
        <v>2.1318181818181814</v>
      </c>
      <c r="O68" s="98">
        <f t="shared" si="14"/>
        <v>2.973307162029994E-2</v>
      </c>
      <c r="P68" s="98">
        <f t="shared" si="15"/>
        <v>5.1511822901367146E-2</v>
      </c>
      <c r="Q68" s="1"/>
      <c r="R68" s="1"/>
      <c r="S68" s="1"/>
      <c r="T68" s="1"/>
      <c r="U68" s="1"/>
      <c r="V68" s="1"/>
      <c r="W68" s="1"/>
      <c r="X68" s="1"/>
      <c r="Y68" s="1"/>
      <c r="Z68" s="1"/>
      <c r="AA68" s="1"/>
      <c r="AB68" s="1"/>
      <c r="AC68" s="1"/>
      <c r="AD68" s="1"/>
      <c r="AE68" s="1"/>
      <c r="AF68" s="1"/>
    </row>
    <row r="69" spans="2:32" ht="15.75" x14ac:dyDescent="0.25">
      <c r="C69" s="1"/>
      <c r="D69" s="1"/>
      <c r="E69" s="1"/>
      <c r="F69" s="1"/>
      <c r="G69" s="1"/>
      <c r="H69" s="1"/>
      <c r="I69" s="1"/>
      <c r="J69" s="74"/>
      <c r="K69" s="80"/>
      <c r="L69" s="1"/>
      <c r="M69" s="89" t="s">
        <v>174</v>
      </c>
      <c r="N69" s="94">
        <f>K40/2.2</f>
        <v>2.6650717703349285</v>
      </c>
      <c r="O69" s="98">
        <f t="shared" si="14"/>
        <v>3.717051036361143E-2</v>
      </c>
      <c r="P69" s="98">
        <f t="shared" si="15"/>
        <v>6.4397004502438571E-2</v>
      </c>
      <c r="Q69" s="1"/>
      <c r="R69" s="1"/>
      <c r="S69" s="1"/>
      <c r="T69" s="1"/>
      <c r="U69" s="1"/>
      <c r="V69" s="1"/>
      <c r="W69" s="1"/>
      <c r="X69" s="1"/>
      <c r="Y69" s="1"/>
      <c r="Z69" s="1"/>
      <c r="AA69" s="1"/>
      <c r="AB69" s="1"/>
      <c r="AC69" s="1"/>
      <c r="AD69" s="1"/>
      <c r="AE69" s="1"/>
      <c r="AF69" s="1"/>
    </row>
    <row r="70" spans="2:32" ht="15" customHeight="1" x14ac:dyDescent="0.25">
      <c r="C70" s="1"/>
      <c r="D70" s="1"/>
      <c r="E70" s="1"/>
      <c r="F70" s="1"/>
      <c r="G70" s="1"/>
      <c r="H70" s="1"/>
      <c r="I70" s="1"/>
      <c r="J70" s="74"/>
      <c r="K70" s="80"/>
      <c r="L70" s="1"/>
      <c r="M70" s="89" t="s">
        <v>167</v>
      </c>
      <c r="N70" s="94">
        <f>K35/2.2</f>
        <v>13.086843096007319</v>
      </c>
      <c r="O70" s="98">
        <f t="shared" si="14"/>
        <v>0.18252590505882085</v>
      </c>
      <c r="P70" s="98">
        <f t="shared" si="15"/>
        <v>0.31622168796991867</v>
      </c>
      <c r="Q70" s="1"/>
      <c r="R70" s="1"/>
      <c r="S70" s="1"/>
      <c r="T70" s="1"/>
      <c r="U70" s="1"/>
      <c r="V70" s="1"/>
      <c r="W70" s="1"/>
      <c r="X70" s="1"/>
      <c r="Y70" s="1"/>
      <c r="Z70" s="1"/>
      <c r="AA70" s="1"/>
      <c r="AB70" s="1"/>
      <c r="AC70" s="1"/>
      <c r="AD70" s="1"/>
      <c r="AE70" s="1"/>
      <c r="AF70" s="1"/>
    </row>
    <row r="71" spans="2:32" ht="15" customHeight="1" x14ac:dyDescent="0.25">
      <c r="C71" s="1"/>
      <c r="D71" s="1"/>
      <c r="E71" s="1"/>
      <c r="F71" s="1"/>
      <c r="G71" s="1"/>
      <c r="H71" s="1"/>
      <c r="I71" s="1"/>
      <c r="J71" s="74"/>
      <c r="K71" s="80"/>
      <c r="L71" s="1"/>
      <c r="M71" s="90" t="s">
        <v>168</v>
      </c>
      <c r="N71" s="94">
        <f>K36/2.2</f>
        <v>24.801974999999992</v>
      </c>
      <c r="O71" s="98">
        <f t="shared" si="14"/>
        <v>0.34592016584216517</v>
      </c>
      <c r="P71" s="99"/>
      <c r="Q71" s="1"/>
      <c r="R71" s="1"/>
      <c r="S71" s="1"/>
      <c r="T71" s="1"/>
      <c r="U71" s="1"/>
      <c r="V71" s="1"/>
      <c r="W71" s="1"/>
      <c r="X71" s="1"/>
      <c r="Y71" s="1"/>
      <c r="Z71" s="1"/>
      <c r="AA71" s="1"/>
      <c r="AB71" s="1"/>
      <c r="AC71" s="1"/>
      <c r="AD71" s="1"/>
      <c r="AE71" s="1"/>
      <c r="AF71" s="1"/>
    </row>
    <row r="72" spans="2:32" ht="15" customHeight="1" x14ac:dyDescent="0.25">
      <c r="C72" s="1"/>
      <c r="D72" s="1"/>
      <c r="E72" s="1"/>
      <c r="F72" s="1"/>
      <c r="G72" s="1"/>
      <c r="H72" s="1"/>
      <c r="I72" s="1"/>
      <c r="J72" s="74"/>
      <c r="K72" s="87"/>
      <c r="L72" s="1"/>
      <c r="M72" s="89" t="s">
        <v>175</v>
      </c>
      <c r="N72" s="94">
        <f>K41/2.2</f>
        <v>4.2041768881153647</v>
      </c>
      <c r="O72" s="98">
        <f t="shared" si="14"/>
        <v>5.8636845104741271E-2</v>
      </c>
      <c r="P72" s="98">
        <f t="shared" si="15"/>
        <v>0.10158690696685778</v>
      </c>
      <c r="Q72" s="1"/>
      <c r="R72" s="1"/>
      <c r="S72" s="1"/>
      <c r="T72" s="1"/>
      <c r="U72" s="1"/>
      <c r="V72" s="1"/>
      <c r="W72" s="1"/>
      <c r="X72" s="1"/>
      <c r="Y72" s="1"/>
      <c r="Z72" s="1"/>
      <c r="AA72" s="1"/>
      <c r="AB72" s="1"/>
      <c r="AC72" s="1"/>
      <c r="AD72" s="1"/>
      <c r="AE72" s="1"/>
      <c r="AF72" s="1"/>
    </row>
    <row r="73" spans="2:32" ht="15" customHeight="1" x14ac:dyDescent="0.25">
      <c r="C73" s="1"/>
      <c r="D73" s="1"/>
      <c r="E73" s="1"/>
      <c r="F73" s="1"/>
      <c r="G73" s="1"/>
      <c r="H73" s="1"/>
      <c r="I73" s="1"/>
      <c r="L73" s="1"/>
      <c r="M73" s="89" t="s">
        <v>177</v>
      </c>
      <c r="N73" s="94">
        <f>K43/2.2</f>
        <v>6.1207302795844667</v>
      </c>
      <c r="O73" s="98">
        <f t="shared" si="14"/>
        <v>8.5367557760582441E-2</v>
      </c>
      <c r="P73" s="98">
        <f t="shared" si="15"/>
        <v>0.14789721603747955</v>
      </c>
      <c r="Q73" s="1"/>
      <c r="R73" s="1"/>
      <c r="S73" s="1"/>
      <c r="T73" s="1"/>
      <c r="U73" s="1"/>
      <c r="V73" s="1"/>
      <c r="W73" s="1"/>
      <c r="X73" s="1"/>
      <c r="Y73" s="1"/>
      <c r="Z73" s="1"/>
      <c r="AA73" s="1"/>
      <c r="AB73" s="1"/>
      <c r="AC73" s="1"/>
      <c r="AD73" s="1"/>
      <c r="AE73" s="1"/>
      <c r="AF73" s="1"/>
    </row>
    <row r="74" spans="2:32" ht="15" customHeight="1" x14ac:dyDescent="0.25">
      <c r="C74" s="1"/>
      <c r="D74" s="1"/>
      <c r="E74" s="1"/>
      <c r="F74" s="1"/>
      <c r="G74" s="1"/>
      <c r="H74" s="1"/>
      <c r="I74" s="1"/>
      <c r="L74" s="1"/>
      <c r="M74" s="90" t="s">
        <v>93</v>
      </c>
      <c r="N74" s="94">
        <f>K42/2.2</f>
        <v>5.5115499999999988</v>
      </c>
      <c r="O74" s="98">
        <f t="shared" si="14"/>
        <v>7.6871147964925612E-2</v>
      </c>
      <c r="P74" s="99"/>
      <c r="Q74" s="1"/>
      <c r="R74" s="1"/>
      <c r="S74" s="1"/>
      <c r="T74" s="1"/>
      <c r="U74" s="1"/>
      <c r="V74" s="1"/>
      <c r="W74" s="1"/>
      <c r="X74" s="1"/>
      <c r="Y74" s="1"/>
      <c r="Z74" s="1"/>
      <c r="AA74" s="1"/>
      <c r="AB74" s="1"/>
      <c r="AC74" s="1"/>
      <c r="AD74" s="1"/>
      <c r="AE74" s="1"/>
      <c r="AF74" s="1"/>
    </row>
    <row r="75" spans="2:32" ht="15" customHeight="1" x14ac:dyDescent="0.25">
      <c r="C75" s="1"/>
      <c r="D75" s="1"/>
      <c r="E75" s="1"/>
      <c r="F75" s="1"/>
      <c r="G75" s="1"/>
      <c r="H75" s="1"/>
      <c r="I75" s="1"/>
      <c r="L75" s="1"/>
      <c r="M75" s="90" t="s">
        <v>200</v>
      </c>
      <c r="N75" s="94">
        <f>SUM(K45:K53)/2.2</f>
        <v>3.393943343871165</v>
      </c>
      <c r="O75" s="98">
        <f t="shared" si="14"/>
        <v>4.7336288516169639E-2</v>
      </c>
      <c r="P75" s="98">
        <f t="shared" si="15"/>
        <v>8.2008967724282233E-2</v>
      </c>
      <c r="Q75" s="1"/>
      <c r="R75" s="1"/>
      <c r="S75" s="1"/>
      <c r="T75" s="1"/>
      <c r="U75" s="1"/>
      <c r="V75" s="1"/>
      <c r="W75" s="1"/>
      <c r="X75" s="1"/>
      <c r="Y75" s="1"/>
      <c r="Z75" s="1"/>
      <c r="AA75" s="1"/>
      <c r="AB75" s="1"/>
      <c r="AC75" s="1"/>
      <c r="AD75" s="1"/>
      <c r="AE75" s="1"/>
      <c r="AF75" s="1"/>
    </row>
    <row r="76" spans="2:32" ht="15" customHeight="1" x14ac:dyDescent="0.25">
      <c r="C76" s="1"/>
      <c r="D76" s="1"/>
      <c r="E76" s="1"/>
      <c r="F76" s="1"/>
      <c r="G76" s="1"/>
      <c r="H76" s="1"/>
      <c r="I76" s="1"/>
      <c r="K76" s="1"/>
      <c r="L76" s="1"/>
      <c r="M76" s="90" t="s">
        <v>189</v>
      </c>
      <c r="N76" s="94">
        <f>SUM(K55:K56)/2.2</f>
        <v>4.8023373015873014</v>
      </c>
      <c r="O76" s="98">
        <f t="shared" si="14"/>
        <v>6.6979557708412171E-2</v>
      </c>
      <c r="P76" s="98">
        <f t="shared" si="15"/>
        <v>0.11604045349731085</v>
      </c>
      <c r="Q76" s="1"/>
      <c r="R76" s="1"/>
      <c r="S76" s="1"/>
      <c r="T76" s="1"/>
      <c r="U76" s="1"/>
      <c r="V76" s="1"/>
      <c r="W76" s="1"/>
      <c r="X76" s="1"/>
      <c r="Y76" s="1"/>
      <c r="Z76" s="1"/>
      <c r="AA76" s="1"/>
      <c r="AB76" s="1"/>
      <c r="AC76" s="1"/>
      <c r="AD76" s="1"/>
      <c r="AE76" s="1"/>
      <c r="AF76" s="1"/>
    </row>
    <row r="77" spans="2:32" ht="15" customHeight="1" x14ac:dyDescent="0.25">
      <c r="C77" s="1"/>
      <c r="D77" s="1"/>
      <c r="E77" s="1"/>
      <c r="F77" s="1"/>
      <c r="G77" s="1"/>
      <c r="H77" s="1"/>
      <c r="I77" s="1"/>
      <c r="J77" s="1"/>
      <c r="K77" s="1"/>
      <c r="L77" s="1"/>
      <c r="M77" s="91" t="s">
        <v>192</v>
      </c>
      <c r="N77" s="95">
        <f>SUM(N65:N76)</f>
        <v>71.698552004385078</v>
      </c>
      <c r="O77" s="1"/>
      <c r="P77" s="1"/>
      <c r="Q77" s="1"/>
      <c r="R77" s="1"/>
      <c r="S77" s="1"/>
      <c r="T77" s="1"/>
      <c r="U77" s="1"/>
      <c r="V77" s="1"/>
      <c r="W77" s="1"/>
      <c r="X77" s="1"/>
      <c r="Y77" s="1"/>
      <c r="Z77" s="1"/>
      <c r="AA77" s="1"/>
      <c r="AB77" s="1"/>
      <c r="AC77" s="1"/>
      <c r="AD77" s="1"/>
      <c r="AE77" s="1"/>
      <c r="AF77" s="1"/>
    </row>
    <row r="78" spans="2:32" ht="15" customHeight="1" x14ac:dyDescent="0.25">
      <c r="C78" s="1"/>
      <c r="D78" s="1"/>
      <c r="E78" s="1"/>
      <c r="F78" s="1"/>
      <c r="G78" s="1"/>
      <c r="H78" s="1"/>
      <c r="I78" s="1"/>
      <c r="J78" s="1"/>
      <c r="K78" s="1"/>
      <c r="L78" s="1"/>
      <c r="M78" s="92" t="s">
        <v>193</v>
      </c>
      <c r="N78" s="96">
        <f>N77-N71-N74</f>
        <v>41.385027004385087</v>
      </c>
      <c r="O78" s="1"/>
      <c r="P78" s="1"/>
      <c r="Q78" s="1"/>
      <c r="R78" s="1"/>
      <c r="S78" s="1"/>
      <c r="T78" s="1"/>
      <c r="U78" s="1"/>
      <c r="V78" s="1"/>
      <c r="W78" s="1"/>
      <c r="X78" s="1"/>
      <c r="Y78" s="1"/>
      <c r="Z78" s="1"/>
      <c r="AA78" s="1"/>
      <c r="AB78" s="1"/>
      <c r="AC78" s="1"/>
      <c r="AD78" s="1"/>
      <c r="AE78" s="1"/>
      <c r="AF78" s="1"/>
    </row>
    <row r="79" spans="2:32" ht="15" customHeight="1" x14ac:dyDescent="0.25">
      <c r="C79" s="1"/>
      <c r="D79" s="1"/>
      <c r="E79" s="1"/>
      <c r="F79" s="1"/>
      <c r="G79" s="1"/>
      <c r="H79" s="1"/>
      <c r="I79" s="1"/>
      <c r="J79" s="1"/>
      <c r="K79" s="1"/>
      <c r="L79" s="1"/>
      <c r="M79" s="92" t="s">
        <v>194</v>
      </c>
      <c r="N79" s="86">
        <v>48</v>
      </c>
      <c r="O79" s="1"/>
      <c r="P79" s="1"/>
      <c r="Q79" s="1"/>
      <c r="R79" s="1"/>
      <c r="S79" s="1"/>
      <c r="T79" s="1"/>
      <c r="U79" s="1"/>
      <c r="V79" s="1"/>
      <c r="W79" s="1"/>
      <c r="X79" s="1"/>
      <c r="Y79" s="1"/>
      <c r="Z79" s="1"/>
      <c r="AA79" s="1"/>
      <c r="AB79" s="1"/>
      <c r="AC79" s="1"/>
      <c r="AD79" s="1"/>
      <c r="AE79" s="1"/>
      <c r="AF79" s="1"/>
    </row>
    <row r="80" spans="2:32" ht="15" customHeight="1" x14ac:dyDescent="0.25">
      <c r="C80" s="1"/>
      <c r="D80" s="1"/>
      <c r="E80" s="1"/>
      <c r="F80" s="1"/>
      <c r="G80" s="1"/>
      <c r="H80" s="1"/>
      <c r="I80" s="1"/>
      <c r="J80" s="1"/>
      <c r="K80" s="1"/>
      <c r="L80" s="1"/>
      <c r="M80" s="93" t="s">
        <v>195</v>
      </c>
      <c r="N80" s="97">
        <f>N79/N78-1</f>
        <v>0.15983976511393849</v>
      </c>
      <c r="O80" s="1"/>
      <c r="P80" s="1"/>
      <c r="Q80" s="1"/>
      <c r="R80" s="1"/>
      <c r="S80" s="1"/>
      <c r="T80" s="1"/>
      <c r="U80" s="1"/>
      <c r="V80" s="1"/>
      <c r="W80" s="1"/>
      <c r="X80" s="1"/>
      <c r="Y80" s="1"/>
      <c r="Z80" s="1"/>
      <c r="AA80" s="1"/>
      <c r="AB80" s="1"/>
      <c r="AC80" s="1"/>
      <c r="AD80" s="1"/>
      <c r="AE80" s="1"/>
      <c r="AF80" s="1"/>
    </row>
    <row r="81" spans="2:32" ht="15" customHeight="1" x14ac:dyDescent="0.25">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spans="2:32" ht="15" customHeight="1" x14ac:dyDescent="0.25">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spans="2:32" ht="15" customHeight="1" x14ac:dyDescent="0.25">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spans="2:32" x14ac:dyDescent="0.25">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spans="2:32" x14ac:dyDescent="0.25">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spans="2:32" x14ac:dyDescent="0.25">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2:32" x14ac:dyDescent="0.25">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2:32" x14ac:dyDescent="0.25">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2:32" x14ac:dyDescent="0.25">
      <c r="B89" s="1"/>
      <c r="C89" s="1"/>
      <c r="D89" s="1"/>
      <c r="E89" s="1"/>
      <c r="F89" s="1"/>
      <c r="G89" s="1"/>
      <c r="H89" s="1"/>
      <c r="I89" s="1"/>
      <c r="K89" s="1"/>
      <c r="L89" s="1"/>
      <c r="M89" s="1"/>
      <c r="N89" s="1"/>
      <c r="O89" s="1"/>
      <c r="P89" s="1"/>
      <c r="Q89" s="1"/>
      <c r="R89" s="1"/>
      <c r="S89" s="1"/>
      <c r="T89" s="1"/>
      <c r="U89" s="1"/>
      <c r="V89" s="1"/>
      <c r="W89" s="1"/>
      <c r="X89" s="1"/>
      <c r="Y89" s="1"/>
      <c r="Z89" s="1"/>
      <c r="AA89" s="1"/>
      <c r="AB89" s="1"/>
      <c r="AC89" s="1"/>
      <c r="AD89" s="1"/>
      <c r="AE89" s="1"/>
      <c r="AF89" s="1"/>
    </row>
    <row r="90" spans="2:32" x14ac:dyDescent="0.25">
      <c r="B90" s="1"/>
      <c r="C90" s="1"/>
      <c r="D90" s="1"/>
      <c r="E90" s="1"/>
      <c r="F90" s="1"/>
      <c r="G90" s="1"/>
      <c r="H90" s="1"/>
      <c r="I90" s="1"/>
    </row>
    <row r="91" spans="2:32" x14ac:dyDescent="0.25">
      <c r="B91" s="1"/>
      <c r="C91" s="1"/>
      <c r="D91" s="1"/>
      <c r="E91" s="1"/>
      <c r="F91" s="1"/>
      <c r="G91" s="1"/>
      <c r="H91" s="1"/>
      <c r="I91" s="1"/>
    </row>
    <row r="92" spans="2:32" x14ac:dyDescent="0.25">
      <c r="B92" s="1"/>
      <c r="C92" s="1"/>
      <c r="D92" s="1"/>
      <c r="E92" s="1"/>
      <c r="F92" s="1"/>
      <c r="G92" s="1"/>
      <c r="H92" s="1"/>
      <c r="I92" s="1"/>
    </row>
    <row r="93" spans="2:32" x14ac:dyDescent="0.25">
      <c r="B93" s="1"/>
      <c r="C93" s="1"/>
      <c r="D93" s="1"/>
      <c r="E93" s="1"/>
      <c r="F93" s="1"/>
      <c r="G93" s="1"/>
      <c r="H93" s="1"/>
      <c r="I93" s="1"/>
    </row>
    <row r="94" spans="2:32" x14ac:dyDescent="0.25">
      <c r="B94" s="1"/>
      <c r="C94" s="1"/>
      <c r="D94" s="1"/>
      <c r="E94" s="1"/>
      <c r="F94" s="1"/>
      <c r="G94" s="1"/>
      <c r="H94" s="1"/>
      <c r="I94" s="1"/>
    </row>
  </sheetData>
  <mergeCells count="19">
    <mergeCell ref="B26:B34"/>
    <mergeCell ref="C34:G34"/>
    <mergeCell ref="B2:I3"/>
    <mergeCell ref="B6:B16"/>
    <mergeCell ref="C16:G16"/>
    <mergeCell ref="B17:B25"/>
    <mergeCell ref="C25:G25"/>
    <mergeCell ref="B4:I4"/>
    <mergeCell ref="B35:B44"/>
    <mergeCell ref="C44:G44"/>
    <mergeCell ref="B45:B54"/>
    <mergeCell ref="C54:G54"/>
    <mergeCell ref="B55:B57"/>
    <mergeCell ref="C57:G57"/>
    <mergeCell ref="B58:D61"/>
    <mergeCell ref="E58:G58"/>
    <mergeCell ref="E59:G59"/>
    <mergeCell ref="E60:G60"/>
    <mergeCell ref="E61:G6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9" sqref="E39"/>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C092D424C091748857CFABFDD9D8714" ma:contentTypeVersion="4" ma:contentTypeDescription="Create a new document." ma:contentTypeScope="" ma:versionID="753f36f93bb2c7a671edc690d6f79c3e">
  <xsd:schema xmlns:xsd="http://www.w3.org/2001/XMLSchema" xmlns:xs="http://www.w3.org/2001/XMLSchema" xmlns:p="http://schemas.microsoft.com/office/2006/metadata/properties" xmlns:ns2="2197759c-b7a7-485b-93aa-8f94fa60c6ed" targetNamespace="http://schemas.microsoft.com/office/2006/metadata/properties" ma:root="true" ma:fieldsID="92e50ee34a9eed3df16df6c9c9a50a7d" ns2:_="">
    <xsd:import namespace="2197759c-b7a7-485b-93aa-8f94fa60c6ed"/>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97759c-b7a7-485b-93aa-8f94fa60c6e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568469-E3FC-4E4E-BCAF-CB34B5949E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97759c-b7a7-485b-93aa-8f94fa60c6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3EB0FE-0E80-4175-A2A2-D8B1A801831A}">
  <ds:schemaRefs>
    <ds:schemaRef ds:uri="http://schemas.microsoft.com/office/2006/documentManagement/types"/>
    <ds:schemaRef ds:uri="http://schemas.microsoft.com/office/infopath/2007/PartnerControls"/>
    <ds:schemaRef ds:uri="2197759c-b7a7-485b-93aa-8f94fa60c6ed"/>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41A39A61-245A-4AA0-8B7A-B528025D25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Scaling Calculations</vt:lpstr>
      <vt:lpstr>Inputs</vt:lpstr>
      <vt:lpstr>Rocket Length</vt:lpstr>
      <vt:lpstr>Pipe Properties</vt:lpstr>
      <vt:lpstr>N2O Properties</vt:lpstr>
      <vt:lpstr>Mass Calculations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Andreas</cp:lastModifiedBy>
  <cp:revision/>
  <dcterms:created xsi:type="dcterms:W3CDTF">2017-01-08T22:08:02Z</dcterms:created>
  <dcterms:modified xsi:type="dcterms:W3CDTF">2017-09-17T05:41:38Z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0x0101000C092D424C091748857CFABFDD9D8714</vt:lpwstr>
  </property>
  <property fmtid="{D5CDD505-2E9C-101B-9397-08002B2CF9AE}" pid="3" name="WorkbookGuid">
    <vt:lpwstr>9e1bb234-e1bd-4291-baac-e5d569bf2bcd</vt:lpwstr>
  </property>
</Properties>
</file>