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crweaver\Documents\5_Conso\Inter Co\2017\Disputes\2017-06\"/>
    </mc:Choice>
  </mc:AlternateContent>
  <bookViews>
    <workbookView xWindow="0" yWindow="0" windowWidth="20325" windowHeight="9735" tabRatio="895" activeTab="1"/>
  </bookViews>
  <sheets>
    <sheet name="Table of Contents" sheetId="23" r:id="rId1"/>
    <sheet name="Summary_Short" sheetId="21" r:id="rId2"/>
    <sheet name="Summary" sheetId="1" r:id="rId3"/>
    <sheet name="MoM Absolute trend" sheetId="19" r:id="rId4"/>
    <sheet name="Clearing Rules" sheetId="22" r:id="rId5"/>
    <sheet name="APPSONE" sheetId="5" r:id="rId6"/>
    <sheet name="APPSTWO" sheetId="6" r:id="rId7"/>
    <sheet name="CC" sheetId="7" r:id="rId8"/>
    <sheet name="Infra" sheetId="8" r:id="rId9"/>
    <sheet name="BSv" sheetId="9" r:id="rId10"/>
    <sheet name="Sogeti" sheetId="17" r:id="rId11"/>
    <sheet name="Group" sheetId="10" r:id="rId12"/>
    <sheet name="Shared Service" sheetId="11" r:id="rId13"/>
    <sheet name="Insights and Data" sheetId="12" r:id="rId14"/>
    <sheet name="FS" sheetId="13" r:id="rId15"/>
    <sheet name="Supp-Benelux" sheetId="25" r:id="rId16"/>
    <sheet name="Supp-CE" sheetId="26" r:id="rId17"/>
    <sheet name="Supp-France" sheetId="27" r:id="rId18"/>
    <sheet name="Supp-Holding" sheetId="28" r:id="rId19"/>
    <sheet name="Supp-India" sheetId="29" r:id="rId20"/>
    <sheet name="Supp-Nordic" sheetId="30" r:id="rId21"/>
    <sheet name="Supp-NA" sheetId="31" r:id="rId22"/>
    <sheet name="Supp-UK" sheetId="32" r:id="rId23"/>
    <sheet name="DATA_CURRENT" sheetId="2" r:id="rId24"/>
    <sheet name="DATA_PRIOR" sheetId="3" r:id="rId25"/>
    <sheet name="iGate" sheetId="14" r:id="rId26"/>
    <sheet name="Sheet18" sheetId="18" state="hidden" r:id="rId27"/>
    <sheet name="Sheet6." sheetId="20" state="hidden" r:id="rId28"/>
  </sheets>
  <definedNames>
    <definedName name="_xlnm._FilterDatabase" localSheetId="5" hidden="1">APPSONE!$A$3:$AA$50</definedName>
    <definedName name="_xlnm._FilterDatabase" localSheetId="6" hidden="1">APPSTWO!$A$3:$AA$7</definedName>
    <definedName name="_xlnm._FilterDatabase" localSheetId="9" hidden="1">BSv!$A$3:$AA$9</definedName>
    <definedName name="_xlnm._FilterDatabase" localSheetId="7" hidden="1">CC!$A$3:$AA$10</definedName>
    <definedName name="_xlnm._FilterDatabase" localSheetId="23" hidden="1">DATA_CURRENT!$A$1:$AA$120</definedName>
    <definedName name="_xlnm._FilterDatabase" localSheetId="24" hidden="1">DATA_PRIOR!$A$1:$AB$170</definedName>
    <definedName name="_xlnm._FilterDatabase" localSheetId="14" hidden="1">FS!$A$3:$AA$19</definedName>
    <definedName name="_xlnm._FilterDatabase" localSheetId="11" hidden="1">Group!$A$3:$AA$5</definedName>
    <definedName name="_xlnm._FilterDatabase" localSheetId="8" hidden="1">Infra!$A$3:$AA$10</definedName>
    <definedName name="_xlnm._FilterDatabase" localSheetId="13" hidden="1">'Insights and Data'!$A$3:$AA$13</definedName>
    <definedName name="_xlnm._FilterDatabase" localSheetId="12" hidden="1">'Shared Service'!$A$3:$AA$18</definedName>
    <definedName name="_xlnm._FilterDatabase" localSheetId="10" hidden="1">Sogeti!$A$3:$AA$7</definedName>
    <definedName name="_xlnm._FilterDatabase" localSheetId="15" hidden="1">'Supp-Benelux'!$A$1:$AA$6</definedName>
    <definedName name="_xlnm._FilterDatabase" localSheetId="16" hidden="1">'Supp-CE'!$A$1:$AA$6</definedName>
    <definedName name="_xlnm._FilterDatabase" localSheetId="17" hidden="1">'Supp-France'!$A$1:$AA$6</definedName>
    <definedName name="_xlnm._FilterDatabase" localSheetId="18" hidden="1">'Supp-Holding'!$A$1:$AA$3</definedName>
    <definedName name="_xlnm._FilterDatabase" localSheetId="19" hidden="1">'Supp-India'!$A$1:$AA$78</definedName>
    <definedName name="_xlnm._FilterDatabase" localSheetId="21" hidden="1">'Supp-NA'!$A$1:$AA$27</definedName>
    <definedName name="_xlnm._FilterDatabase" localSheetId="20" hidden="1">'Supp-Nordic'!$A$1:$AA$2</definedName>
    <definedName name="_xlnm._FilterDatabase" localSheetId="22" hidden="1">'Supp-UK'!$A$1:$AA$5</definedName>
    <definedName name="TOC_Marker">'Table of Contents'!$C$5</definedName>
  </definedNames>
  <calcPr calcId="152511" iterate="1"/>
  <pivotCaches>
    <pivotCache cacheId="2" r:id="rId29"/>
    <pivotCache cacheId="3" r:id="rId30"/>
  </pivotCaches>
</workbook>
</file>

<file path=xl/calcChain.xml><?xml version="1.0" encoding="utf-8"?>
<calcChain xmlns="http://schemas.openxmlformats.org/spreadsheetml/2006/main">
  <c r="J59" i="21" l="1"/>
  <c r="I59" i="21"/>
  <c r="J58" i="21"/>
  <c r="I58" i="21"/>
  <c r="J57" i="21"/>
  <c r="I57" i="21"/>
  <c r="J56" i="21"/>
  <c r="I56" i="21"/>
  <c r="J55" i="21"/>
  <c r="I55" i="21"/>
  <c r="J54" i="21"/>
  <c r="I54" i="21"/>
  <c r="J53" i="21"/>
  <c r="I53" i="21"/>
  <c r="J52" i="21"/>
  <c r="I52" i="21"/>
  <c r="J51" i="21"/>
  <c r="I51" i="21"/>
  <c r="J50" i="21"/>
  <c r="I50" i="21"/>
  <c r="J49" i="21"/>
  <c r="I49" i="21"/>
  <c r="J38" i="21"/>
  <c r="I38" i="21"/>
  <c r="J37" i="21"/>
  <c r="I37" i="21"/>
  <c r="J36" i="21"/>
  <c r="I36" i="21"/>
  <c r="J35" i="21"/>
  <c r="I35" i="21"/>
  <c r="J34" i="21"/>
  <c r="I34" i="21"/>
  <c r="J33" i="21"/>
  <c r="I33" i="21"/>
  <c r="J32" i="21"/>
  <c r="I32" i="21"/>
  <c r="J31" i="21"/>
  <c r="I31" i="21"/>
  <c r="J30" i="21"/>
  <c r="I30" i="21"/>
  <c r="J29" i="21"/>
  <c r="I29" i="21"/>
  <c r="J28" i="21"/>
  <c r="I28" i="21"/>
  <c r="J27" i="21"/>
  <c r="I27" i="21"/>
  <c r="J26" i="21"/>
  <c r="I26" i="21"/>
  <c r="J25" i="21"/>
  <c r="I25" i="21"/>
  <c r="J16" i="21"/>
  <c r="I16" i="21"/>
  <c r="J15" i="21"/>
  <c r="I15" i="21"/>
  <c r="J14" i="21"/>
  <c r="I14" i="21"/>
  <c r="J13" i="21"/>
  <c r="I13" i="21"/>
  <c r="J12" i="21"/>
  <c r="I12" i="21"/>
  <c r="J11" i="21"/>
  <c r="I11" i="21"/>
  <c r="J10" i="21"/>
  <c r="I10" i="21"/>
  <c r="J9" i="21"/>
  <c r="I9" i="21"/>
  <c r="J8" i="21"/>
  <c r="I8" i="21"/>
  <c r="J7" i="21"/>
  <c r="I7" i="21"/>
  <c r="J6" i="21"/>
  <c r="I6" i="21"/>
  <c r="I46" i="21"/>
  <c r="I22" i="21"/>
  <c r="AA58" i="21" l="1"/>
  <c r="Z58" i="21"/>
  <c r="X58" i="21"/>
  <c r="W58" i="21"/>
  <c r="V58" i="21"/>
  <c r="U58" i="21"/>
  <c r="T58" i="21"/>
  <c r="AA57" i="21"/>
  <c r="Z57" i="21"/>
  <c r="X57" i="21"/>
  <c r="W57" i="21"/>
  <c r="V57" i="21"/>
  <c r="U57" i="21"/>
  <c r="T57" i="21"/>
  <c r="AA56" i="21"/>
  <c r="Z56" i="21"/>
  <c r="X56" i="21"/>
  <c r="W56" i="21"/>
  <c r="V56" i="21"/>
  <c r="U56" i="21"/>
  <c r="T56" i="21"/>
  <c r="AJ38" i="21"/>
  <c r="AI38" i="21"/>
  <c r="AH38" i="21"/>
  <c r="AF38" i="21"/>
  <c r="AE38" i="21"/>
  <c r="AD38" i="21"/>
  <c r="AA38" i="21"/>
  <c r="Z38" i="21"/>
  <c r="X38" i="21"/>
  <c r="W38" i="21"/>
  <c r="V38" i="21"/>
  <c r="U38" i="21"/>
  <c r="T38" i="21"/>
  <c r="AJ37" i="21"/>
  <c r="AI37" i="21"/>
  <c r="AH37" i="21"/>
  <c r="AF37" i="21"/>
  <c r="AE37" i="21"/>
  <c r="AD37" i="21"/>
  <c r="AA37" i="21"/>
  <c r="Z37" i="21"/>
  <c r="X37" i="21"/>
  <c r="W37" i="21"/>
  <c r="V37" i="21"/>
  <c r="U37" i="21"/>
  <c r="T37" i="21"/>
  <c r="AJ36" i="21"/>
  <c r="AI36" i="21"/>
  <c r="AH36" i="21"/>
  <c r="AF36" i="21"/>
  <c r="AE36" i="21"/>
  <c r="AD36" i="21"/>
  <c r="AA36" i="21"/>
  <c r="Z36" i="21"/>
  <c r="X36" i="21"/>
  <c r="W36" i="21"/>
  <c r="V36" i="21"/>
  <c r="U36" i="21"/>
  <c r="T36" i="21"/>
  <c r="AJ31" i="21"/>
  <c r="AI31" i="21"/>
  <c r="AH31" i="21"/>
  <c r="AF31" i="21"/>
  <c r="AE31" i="21"/>
  <c r="AD31" i="21"/>
  <c r="AA31" i="21"/>
  <c r="Z31" i="21"/>
  <c r="X31" i="21"/>
  <c r="W31" i="21"/>
  <c r="V31" i="21"/>
  <c r="U31" i="21"/>
  <c r="T31" i="21"/>
  <c r="AA16" i="21"/>
  <c r="Z16" i="21"/>
  <c r="X16" i="21"/>
  <c r="W16" i="21"/>
  <c r="V16" i="21"/>
  <c r="U16" i="21"/>
  <c r="T16" i="21"/>
  <c r="AA15" i="21"/>
  <c r="Z15" i="21"/>
  <c r="X15" i="21"/>
  <c r="W15" i="21"/>
  <c r="V15" i="21"/>
  <c r="U15" i="21"/>
  <c r="T15" i="21"/>
  <c r="AA14" i="21"/>
  <c r="Z14" i="21"/>
  <c r="X14" i="21"/>
  <c r="W14" i="21"/>
  <c r="V14" i="21"/>
  <c r="U14" i="21"/>
  <c r="T14" i="21"/>
  <c r="N58" i="21"/>
  <c r="L58" i="21"/>
  <c r="N57" i="21"/>
  <c r="L57" i="21"/>
  <c r="N56" i="21"/>
  <c r="L56" i="21"/>
  <c r="N55" i="21"/>
  <c r="L55" i="21"/>
  <c r="N53" i="21"/>
  <c r="L53" i="21"/>
  <c r="N52" i="21"/>
  <c r="L52" i="21"/>
  <c r="N51" i="21"/>
  <c r="L51" i="21"/>
  <c r="N49" i="21"/>
  <c r="L49" i="21"/>
  <c r="P46" i="21"/>
  <c r="M46" i="21"/>
  <c r="K46" i="21"/>
  <c r="N38" i="21"/>
  <c r="L38" i="21"/>
  <c r="N37" i="21"/>
  <c r="L37" i="21"/>
  <c r="N36" i="21"/>
  <c r="L36" i="21"/>
  <c r="N35" i="21"/>
  <c r="L35" i="21"/>
  <c r="N33" i="21"/>
  <c r="L33" i="21"/>
  <c r="N31" i="21"/>
  <c r="L31" i="21"/>
  <c r="N30" i="21"/>
  <c r="L30" i="21"/>
  <c r="N29" i="21"/>
  <c r="L29" i="21"/>
  <c r="N28" i="21"/>
  <c r="L28" i="21"/>
  <c r="N27" i="21"/>
  <c r="L27" i="21"/>
  <c r="N26" i="21"/>
  <c r="L26" i="21"/>
  <c r="N25" i="21"/>
  <c r="L25" i="21"/>
  <c r="P22" i="21"/>
  <c r="M22" i="21"/>
  <c r="K22" i="21"/>
  <c r="N16" i="21"/>
  <c r="L16" i="21"/>
  <c r="N15" i="21"/>
  <c r="L15" i="21"/>
  <c r="N14" i="21"/>
  <c r="L14" i="21"/>
  <c r="N13" i="21"/>
  <c r="L13" i="21"/>
  <c r="N12" i="21"/>
  <c r="L12" i="21"/>
  <c r="N10" i="21"/>
  <c r="L10" i="21"/>
  <c r="N9" i="21"/>
  <c r="L9" i="21"/>
  <c r="N8" i="21"/>
  <c r="L8" i="21"/>
  <c r="N6" i="21"/>
  <c r="L6" i="21"/>
  <c r="E59" i="21"/>
  <c r="D59" i="21"/>
  <c r="E58" i="21"/>
  <c r="D58" i="21"/>
  <c r="E57" i="21"/>
  <c r="D57" i="21"/>
  <c r="E56" i="21"/>
  <c r="D56" i="21"/>
  <c r="E55" i="21"/>
  <c r="D55" i="21"/>
  <c r="E54" i="21"/>
  <c r="D54" i="21"/>
  <c r="E53" i="21"/>
  <c r="D53" i="21"/>
  <c r="E52" i="21"/>
  <c r="D52" i="21"/>
  <c r="E51" i="21"/>
  <c r="D51" i="21"/>
  <c r="E50" i="21"/>
  <c r="D50" i="21"/>
  <c r="E49" i="21"/>
  <c r="D49" i="21"/>
  <c r="D60" i="21" s="1"/>
  <c r="D46" i="21"/>
  <c r="E38" i="21"/>
  <c r="D38" i="21"/>
  <c r="E37" i="21"/>
  <c r="D37" i="21"/>
  <c r="E36" i="21"/>
  <c r="D36" i="21"/>
  <c r="E35" i="21"/>
  <c r="D35" i="21"/>
  <c r="E34" i="21"/>
  <c r="D34" i="21"/>
  <c r="E33" i="21"/>
  <c r="D33" i="21"/>
  <c r="E32" i="21"/>
  <c r="D32" i="21"/>
  <c r="E31" i="21"/>
  <c r="D31" i="21"/>
  <c r="E30" i="21"/>
  <c r="D30" i="21"/>
  <c r="E29" i="21"/>
  <c r="D29" i="21"/>
  <c r="E28" i="21"/>
  <c r="D28" i="21"/>
  <c r="E27" i="21"/>
  <c r="D27" i="21"/>
  <c r="E26" i="21"/>
  <c r="D26" i="21"/>
  <c r="E25" i="21"/>
  <c r="E39" i="21" s="1"/>
  <c r="D25" i="21"/>
  <c r="D39" i="21" s="1"/>
  <c r="D22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D17" i="21" s="1"/>
  <c r="E17" i="21" l="1"/>
  <c r="E60" i="21"/>
  <c r="E63" i="21" s="1"/>
  <c r="AG37" i="21"/>
  <c r="AK31" i="21"/>
  <c r="AK37" i="21"/>
  <c r="Y14" i="21"/>
  <c r="AB14" i="21" s="1"/>
  <c r="AG31" i="21"/>
  <c r="Y31" i="21"/>
  <c r="AB31" i="21" s="1"/>
  <c r="AK38" i="21"/>
  <c r="Y38" i="21"/>
  <c r="AB38" i="21" s="1"/>
  <c r="Y56" i="21"/>
  <c r="AB56" i="21" s="1"/>
  <c r="AK36" i="21"/>
  <c r="Y36" i="21"/>
  <c r="AB36" i="21" s="1"/>
  <c r="Y37" i="21"/>
  <c r="AB37" i="21" s="1"/>
  <c r="Y57" i="21"/>
  <c r="AB57" i="21" s="1"/>
  <c r="Y58" i="21"/>
  <c r="AB58" i="21" s="1"/>
  <c r="AG38" i="21"/>
  <c r="Y15" i="21"/>
  <c r="AB15" i="21" s="1"/>
  <c r="Y16" i="21"/>
  <c r="AB16" i="21" s="1"/>
  <c r="AG36" i="21"/>
  <c r="D43" i="21"/>
  <c r="D63" i="21"/>
  <c r="E43" i="21"/>
  <c r="AA58" i="1"/>
  <c r="AA57" i="1"/>
  <c r="AA56" i="1"/>
  <c r="AA55" i="1"/>
  <c r="AA53" i="1"/>
  <c r="AA52" i="1"/>
  <c r="AA51" i="1"/>
  <c r="AA49" i="1"/>
  <c r="AA38" i="1"/>
  <c r="AA37" i="1"/>
  <c r="AA36" i="1"/>
  <c r="AA35" i="1"/>
  <c r="AA33" i="1"/>
  <c r="AA31" i="1"/>
  <c r="AA30" i="1"/>
  <c r="AA29" i="1"/>
  <c r="AA28" i="1"/>
  <c r="AA27" i="1"/>
  <c r="AA26" i="1"/>
  <c r="AA25" i="1"/>
  <c r="AA16" i="1"/>
  <c r="AA15" i="1"/>
  <c r="AA14" i="1"/>
  <c r="AA12" i="1"/>
  <c r="AA10" i="1"/>
  <c r="AA9" i="1"/>
  <c r="Z46" i="1"/>
  <c r="Z22" i="1"/>
  <c r="AM37" i="21" l="1"/>
  <c r="AM31" i="21"/>
  <c r="AM38" i="21"/>
  <c r="AM36" i="21"/>
  <c r="Q63" i="21" l="1"/>
  <c r="Q43" i="21"/>
  <c r="P63" i="21"/>
  <c r="P43" i="21"/>
  <c r="Y58" i="1"/>
  <c r="Y57" i="1"/>
  <c r="Y56" i="1"/>
  <c r="Y38" i="1"/>
  <c r="Y37" i="1"/>
  <c r="Y36" i="1"/>
  <c r="Y31" i="1"/>
  <c r="Y16" i="1"/>
  <c r="Y15" i="1"/>
  <c r="Y14" i="1"/>
  <c r="W58" i="1"/>
  <c r="W57" i="1"/>
  <c r="W56" i="1"/>
  <c r="W38" i="1"/>
  <c r="W37" i="1"/>
  <c r="W36" i="1"/>
  <c r="W31" i="1"/>
  <c r="W16" i="1"/>
  <c r="W15" i="1"/>
  <c r="W14" i="1"/>
  <c r="U58" i="1"/>
  <c r="U57" i="1"/>
  <c r="U56" i="1"/>
  <c r="U38" i="1"/>
  <c r="U37" i="1"/>
  <c r="U36" i="1"/>
  <c r="U31" i="1"/>
  <c r="U16" i="1"/>
  <c r="U15" i="1"/>
  <c r="U14" i="1"/>
  <c r="S58" i="1"/>
  <c r="S57" i="1"/>
  <c r="S56" i="1"/>
  <c r="S38" i="1"/>
  <c r="S37" i="1"/>
  <c r="S36" i="1"/>
  <c r="S31" i="1"/>
  <c r="S16" i="1"/>
  <c r="S15" i="1"/>
  <c r="S14" i="1"/>
  <c r="Q58" i="1"/>
  <c r="Q57" i="1"/>
  <c r="Q56" i="1"/>
  <c r="Q38" i="1"/>
  <c r="Q37" i="1"/>
  <c r="Q36" i="1"/>
  <c r="Q31" i="1"/>
  <c r="Q16" i="1"/>
  <c r="Q15" i="1"/>
  <c r="Q14" i="1"/>
  <c r="O58" i="1"/>
  <c r="O57" i="1"/>
  <c r="O56" i="1"/>
  <c r="O38" i="1"/>
  <c r="O37" i="1"/>
  <c r="O36" i="1"/>
  <c r="O31" i="1"/>
  <c r="O16" i="1"/>
  <c r="O15" i="1"/>
  <c r="O14" i="1"/>
  <c r="M58" i="1"/>
  <c r="M57" i="1"/>
  <c r="M56" i="1"/>
  <c r="M38" i="1"/>
  <c r="M37" i="1"/>
  <c r="M36" i="1"/>
  <c r="M31" i="1"/>
  <c r="M16" i="1"/>
  <c r="M15" i="1"/>
  <c r="M14" i="1"/>
  <c r="A120" i="2" l="1"/>
  <c r="A119" i="2"/>
  <c r="A118" i="2"/>
  <c r="A117" i="2"/>
  <c r="A116" i="2"/>
  <c r="A115" i="2"/>
  <c r="A114" i="2"/>
  <c r="A113" i="2"/>
  <c r="A112" i="2"/>
  <c r="A111" i="2"/>
  <c r="A110" i="2"/>
  <c r="B109" i="2"/>
  <c r="B108" i="2"/>
  <c r="B107" i="2"/>
  <c r="A107" i="2" s="1"/>
  <c r="A106" i="2"/>
  <c r="A105" i="2"/>
  <c r="A104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B80" i="2"/>
  <c r="A80" i="2" s="1"/>
  <c r="B79" i="2"/>
  <c r="A79" i="2" s="1"/>
  <c r="B78" i="2"/>
  <c r="B77" i="2"/>
  <c r="A77" i="2" s="1"/>
  <c r="B76" i="2"/>
  <c r="A75" i="2"/>
  <c r="A74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4" i="2"/>
  <c r="A22" i="2"/>
  <c r="A21" i="2"/>
  <c r="A18" i="2"/>
  <c r="A17" i="2"/>
  <c r="A16" i="2"/>
  <c r="AA6" i="1"/>
  <c r="A13" i="2"/>
  <c r="A12" i="2"/>
  <c r="A11" i="2"/>
  <c r="A10" i="2"/>
  <c r="A9" i="2"/>
  <c r="A8" i="2"/>
  <c r="A7" i="2"/>
  <c r="A6" i="2"/>
  <c r="A5" i="2"/>
  <c r="A4" i="2"/>
  <c r="AA13" i="1"/>
  <c r="BB18" i="21"/>
  <c r="BC18" i="21"/>
  <c r="K58" i="1"/>
  <c r="K38" i="1"/>
  <c r="K37" i="1"/>
  <c r="K36" i="1"/>
  <c r="K16" i="1"/>
  <c r="K15" i="1"/>
  <c r="X8" i="2"/>
  <c r="X16" i="2"/>
  <c r="Y16" i="2" s="1"/>
  <c r="X17" i="2"/>
  <c r="Y17" i="2" s="1"/>
  <c r="X26" i="2"/>
  <c r="Y26" i="2" s="1"/>
  <c r="B2" i="2"/>
  <c r="L50" i="21" l="1"/>
  <c r="N50" i="21"/>
  <c r="AA50" i="1"/>
  <c r="A109" i="2"/>
  <c r="N54" i="21"/>
  <c r="N34" i="21"/>
  <c r="L54" i="21"/>
  <c r="L34" i="21"/>
  <c r="AA54" i="1"/>
  <c r="AA34" i="1"/>
  <c r="M59" i="21"/>
  <c r="K58" i="21"/>
  <c r="M57" i="21"/>
  <c r="K56" i="21"/>
  <c r="M55" i="21"/>
  <c r="K54" i="21"/>
  <c r="M53" i="21"/>
  <c r="K52" i="21"/>
  <c r="M51" i="21"/>
  <c r="K50" i="21"/>
  <c r="M49" i="21"/>
  <c r="K59" i="21"/>
  <c r="M56" i="21"/>
  <c r="K51" i="21"/>
  <c r="N32" i="21"/>
  <c r="L7" i="21"/>
  <c r="K57" i="21"/>
  <c r="N59" i="21"/>
  <c r="K55" i="21"/>
  <c r="M52" i="21"/>
  <c r="L32" i="21"/>
  <c r="N7" i="21"/>
  <c r="L59" i="21"/>
  <c r="M50" i="21"/>
  <c r="K49" i="21"/>
  <c r="M38" i="21"/>
  <c r="K37" i="21"/>
  <c r="M36" i="21"/>
  <c r="K35" i="21"/>
  <c r="K34" i="21"/>
  <c r="M32" i="21"/>
  <c r="M31" i="21"/>
  <c r="K30" i="21"/>
  <c r="M29" i="21"/>
  <c r="K28" i="21"/>
  <c r="M27" i="21"/>
  <c r="K26" i="21"/>
  <c r="M25" i="21"/>
  <c r="K16" i="21"/>
  <c r="M15" i="21"/>
  <c r="M58" i="21"/>
  <c r="K38" i="21"/>
  <c r="M37" i="21"/>
  <c r="K36" i="21"/>
  <c r="M35" i="21"/>
  <c r="K31" i="21"/>
  <c r="M30" i="21"/>
  <c r="K29" i="21"/>
  <c r="M28" i="21"/>
  <c r="K27" i="21"/>
  <c r="M26" i="21"/>
  <c r="K25" i="21"/>
  <c r="M16" i="21"/>
  <c r="K15" i="21"/>
  <c r="M14" i="21"/>
  <c r="K13" i="21"/>
  <c r="M12" i="21"/>
  <c r="K6" i="21"/>
  <c r="M54" i="21"/>
  <c r="K53" i="21"/>
  <c r="M34" i="21"/>
  <c r="M33" i="21"/>
  <c r="M11" i="21"/>
  <c r="M10" i="21"/>
  <c r="K9" i="21"/>
  <c r="M8" i="21"/>
  <c r="K14" i="21"/>
  <c r="M13" i="21"/>
  <c r="K12" i="21"/>
  <c r="K11" i="21"/>
  <c r="M7" i="21"/>
  <c r="M6" i="21"/>
  <c r="K33" i="21"/>
  <c r="K32" i="21"/>
  <c r="K10" i="21"/>
  <c r="M9" i="21"/>
  <c r="K8" i="21"/>
  <c r="K7" i="21"/>
  <c r="AA59" i="1"/>
  <c r="Z59" i="1"/>
  <c r="Z57" i="1"/>
  <c r="Z55" i="1"/>
  <c r="Z53" i="1"/>
  <c r="Z51" i="1"/>
  <c r="Z49" i="1"/>
  <c r="Z37" i="1"/>
  <c r="Z35" i="1"/>
  <c r="Z33" i="1"/>
  <c r="Z31" i="1"/>
  <c r="Z29" i="1"/>
  <c r="Z27" i="1"/>
  <c r="Z25" i="1"/>
  <c r="AA32" i="1"/>
  <c r="AA39" i="1" s="1"/>
  <c r="Z58" i="1"/>
  <c r="Z56" i="1"/>
  <c r="Z54" i="1"/>
  <c r="Z52" i="1"/>
  <c r="Z50" i="1"/>
  <c r="Z38" i="1"/>
  <c r="Z36" i="1"/>
  <c r="Z34" i="1"/>
  <c r="Z32" i="1"/>
  <c r="Z30" i="1"/>
  <c r="Z28" i="1"/>
  <c r="Z26" i="1"/>
  <c r="Z8" i="2"/>
  <c r="L11" i="21"/>
  <c r="N11" i="21"/>
  <c r="A108" i="2"/>
  <c r="AA11" i="1"/>
  <c r="Z16" i="1"/>
  <c r="Z14" i="1"/>
  <c r="Z12" i="1"/>
  <c r="Z10" i="1"/>
  <c r="Z8" i="1"/>
  <c r="Z6" i="1"/>
  <c r="AA7" i="1"/>
  <c r="Z15" i="1"/>
  <c r="Z13" i="1"/>
  <c r="Z11" i="1"/>
  <c r="Z9" i="1"/>
  <c r="Z7" i="1"/>
  <c r="AA8" i="1"/>
  <c r="U13" i="1"/>
  <c r="W13" i="1"/>
  <c r="O13" i="1"/>
  <c r="S13" i="1"/>
  <c r="M13" i="1"/>
  <c r="Y13" i="1"/>
  <c r="Q13" i="1"/>
  <c r="A14" i="2"/>
  <c r="Y59" i="1"/>
  <c r="Y7" i="1"/>
  <c r="W59" i="1"/>
  <c r="Q7" i="1"/>
  <c r="O59" i="1"/>
  <c r="M7" i="1"/>
  <c r="M32" i="1"/>
  <c r="U32" i="1"/>
  <c r="S32" i="1"/>
  <c r="Q32" i="1"/>
  <c r="O32" i="1"/>
  <c r="Y32" i="1"/>
  <c r="W32" i="1"/>
  <c r="W7" i="1"/>
  <c r="U59" i="1"/>
  <c r="U7" i="1"/>
  <c r="S59" i="1"/>
  <c r="S7" i="1"/>
  <c r="Q59" i="1"/>
  <c r="O7" i="1"/>
  <c r="M59" i="1"/>
  <c r="A78" i="2"/>
  <c r="Y33" i="1"/>
  <c r="W33" i="1"/>
  <c r="U33" i="1"/>
  <c r="S33" i="1"/>
  <c r="Q33" i="1"/>
  <c r="M33" i="1"/>
  <c r="O33" i="1"/>
  <c r="A2" i="2"/>
  <c r="Y51" i="1"/>
  <c r="Y35" i="1"/>
  <c r="W51" i="1"/>
  <c r="W35" i="1"/>
  <c r="U51" i="1"/>
  <c r="U35" i="1"/>
  <c r="S51" i="1"/>
  <c r="S35" i="1"/>
  <c r="Q51" i="1"/>
  <c r="Q35" i="1"/>
  <c r="M51" i="1"/>
  <c r="M35" i="1"/>
  <c r="O12" i="1"/>
  <c r="X58" i="1"/>
  <c r="X56" i="1"/>
  <c r="X54" i="1"/>
  <c r="X52" i="1"/>
  <c r="X50" i="1"/>
  <c r="X38" i="1"/>
  <c r="X36" i="1"/>
  <c r="X34" i="1"/>
  <c r="X32" i="1"/>
  <c r="X30" i="1"/>
  <c r="X28" i="1"/>
  <c r="X26" i="1"/>
  <c r="X16" i="1"/>
  <c r="X14" i="1"/>
  <c r="X12" i="1"/>
  <c r="X10" i="1"/>
  <c r="X8" i="1"/>
  <c r="X6" i="1"/>
  <c r="V58" i="1"/>
  <c r="V56" i="1"/>
  <c r="V54" i="1"/>
  <c r="V52" i="1"/>
  <c r="V50" i="1"/>
  <c r="V38" i="1"/>
  <c r="V36" i="1"/>
  <c r="V34" i="1"/>
  <c r="V32" i="1"/>
  <c r="V30" i="1"/>
  <c r="V28" i="1"/>
  <c r="V26" i="1"/>
  <c r="V16" i="1"/>
  <c r="V14" i="1"/>
  <c r="V12" i="1"/>
  <c r="V10" i="1"/>
  <c r="V8" i="1"/>
  <c r="V6" i="1"/>
  <c r="T58" i="1"/>
  <c r="T56" i="1"/>
  <c r="T54" i="1"/>
  <c r="T52" i="1"/>
  <c r="T50" i="1"/>
  <c r="T38" i="1"/>
  <c r="T36" i="1"/>
  <c r="T34" i="1"/>
  <c r="T32" i="1"/>
  <c r="T30" i="1"/>
  <c r="T28" i="1"/>
  <c r="T26" i="1"/>
  <c r="T16" i="1"/>
  <c r="T14" i="1"/>
  <c r="T12" i="1"/>
  <c r="T10" i="1"/>
  <c r="T8" i="1"/>
  <c r="T6" i="1"/>
  <c r="R58" i="1"/>
  <c r="R56" i="1"/>
  <c r="R54" i="1"/>
  <c r="R52" i="1"/>
  <c r="R50" i="1"/>
  <c r="R38" i="1"/>
  <c r="R36" i="1"/>
  <c r="R34" i="1"/>
  <c r="R32" i="1"/>
  <c r="R30" i="1"/>
  <c r="R28" i="1"/>
  <c r="R26" i="1"/>
  <c r="R16" i="1"/>
  <c r="R14" i="1"/>
  <c r="R12" i="1"/>
  <c r="R10" i="1"/>
  <c r="R8" i="1"/>
  <c r="R6" i="1"/>
  <c r="P58" i="1"/>
  <c r="P56" i="1"/>
  <c r="P54" i="1"/>
  <c r="P52" i="1"/>
  <c r="P50" i="1"/>
  <c r="P38" i="1"/>
  <c r="P36" i="1"/>
  <c r="P34" i="1"/>
  <c r="P32" i="1"/>
  <c r="P30" i="1"/>
  <c r="P28" i="1"/>
  <c r="P26" i="1"/>
  <c r="P16" i="1"/>
  <c r="P14" i="1"/>
  <c r="P12" i="1"/>
  <c r="P10" i="1"/>
  <c r="P8" i="1"/>
  <c r="P6" i="1"/>
  <c r="N58" i="1"/>
  <c r="N56" i="1"/>
  <c r="N54" i="1"/>
  <c r="N52" i="1"/>
  <c r="N50" i="1"/>
  <c r="N38" i="1"/>
  <c r="N36" i="1"/>
  <c r="N34" i="1"/>
  <c r="N32" i="1"/>
  <c r="N30" i="1"/>
  <c r="N28" i="1"/>
  <c r="N26" i="1"/>
  <c r="N16" i="1"/>
  <c r="N14" i="1"/>
  <c r="N12" i="1"/>
  <c r="N10" i="1"/>
  <c r="N8" i="1"/>
  <c r="N6" i="1"/>
  <c r="L58" i="1"/>
  <c r="L56" i="1"/>
  <c r="L54" i="1"/>
  <c r="L52" i="1"/>
  <c r="L50" i="1"/>
  <c r="L38" i="1"/>
  <c r="L36" i="1"/>
  <c r="L34" i="1"/>
  <c r="L32" i="1"/>
  <c r="L30" i="1"/>
  <c r="L28" i="1"/>
  <c r="L26" i="1"/>
  <c r="L16" i="1"/>
  <c r="L14" i="1"/>
  <c r="L12" i="1"/>
  <c r="L10" i="1"/>
  <c r="L8" i="1"/>
  <c r="L6" i="1"/>
  <c r="W12" i="1"/>
  <c r="Y12" i="1"/>
  <c r="U12" i="1"/>
  <c r="S12" i="1"/>
  <c r="Q12" i="1"/>
  <c r="M12" i="1"/>
  <c r="X59" i="1"/>
  <c r="X57" i="1"/>
  <c r="X55" i="1"/>
  <c r="X53" i="1"/>
  <c r="X51" i="1"/>
  <c r="X49" i="1"/>
  <c r="X37" i="1"/>
  <c r="X35" i="1"/>
  <c r="X33" i="1"/>
  <c r="X31" i="1"/>
  <c r="X29" i="1"/>
  <c r="X27" i="1"/>
  <c r="X25" i="1"/>
  <c r="X15" i="1"/>
  <c r="X13" i="1"/>
  <c r="X11" i="1"/>
  <c r="X9" i="1"/>
  <c r="X7" i="1"/>
  <c r="V59" i="1"/>
  <c r="V57" i="1"/>
  <c r="V55" i="1"/>
  <c r="V53" i="1"/>
  <c r="V51" i="1"/>
  <c r="V49" i="1"/>
  <c r="V37" i="1"/>
  <c r="V35" i="1"/>
  <c r="V33" i="1"/>
  <c r="V31" i="1"/>
  <c r="V29" i="1"/>
  <c r="V27" i="1"/>
  <c r="V25" i="1"/>
  <c r="V15" i="1"/>
  <c r="V13" i="1"/>
  <c r="V11" i="1"/>
  <c r="V9" i="1"/>
  <c r="V7" i="1"/>
  <c r="T59" i="1"/>
  <c r="T57" i="1"/>
  <c r="T55" i="1"/>
  <c r="T53" i="1"/>
  <c r="T51" i="1"/>
  <c r="T49" i="1"/>
  <c r="T37" i="1"/>
  <c r="T35" i="1"/>
  <c r="T33" i="1"/>
  <c r="T31" i="1"/>
  <c r="T29" i="1"/>
  <c r="T27" i="1"/>
  <c r="T25" i="1"/>
  <c r="T15" i="1"/>
  <c r="T13" i="1"/>
  <c r="T11" i="1"/>
  <c r="T9" i="1"/>
  <c r="T7" i="1"/>
  <c r="R59" i="1"/>
  <c r="R57" i="1"/>
  <c r="R55" i="1"/>
  <c r="R53" i="1"/>
  <c r="R51" i="1"/>
  <c r="R49" i="1"/>
  <c r="R37" i="1"/>
  <c r="R35" i="1"/>
  <c r="R33" i="1"/>
  <c r="R31" i="1"/>
  <c r="R29" i="1"/>
  <c r="R27" i="1"/>
  <c r="R25" i="1"/>
  <c r="R15" i="1"/>
  <c r="R13" i="1"/>
  <c r="R11" i="1"/>
  <c r="R9" i="1"/>
  <c r="R7" i="1"/>
  <c r="P59" i="1"/>
  <c r="P57" i="1"/>
  <c r="P55" i="1"/>
  <c r="P53" i="1"/>
  <c r="P51" i="1"/>
  <c r="P49" i="1"/>
  <c r="P37" i="1"/>
  <c r="P35" i="1"/>
  <c r="P33" i="1"/>
  <c r="P31" i="1"/>
  <c r="P29" i="1"/>
  <c r="P27" i="1"/>
  <c r="P25" i="1"/>
  <c r="P15" i="1"/>
  <c r="P13" i="1"/>
  <c r="P11" i="1"/>
  <c r="P9" i="1"/>
  <c r="P7" i="1"/>
  <c r="N59" i="1"/>
  <c r="N57" i="1"/>
  <c r="N55" i="1"/>
  <c r="N53" i="1"/>
  <c r="N51" i="1"/>
  <c r="N49" i="1"/>
  <c r="N37" i="1"/>
  <c r="N35" i="1"/>
  <c r="N33" i="1"/>
  <c r="N31" i="1"/>
  <c r="N29" i="1"/>
  <c r="N27" i="1"/>
  <c r="N25" i="1"/>
  <c r="N15" i="1"/>
  <c r="N13" i="1"/>
  <c r="N11" i="1"/>
  <c r="N9" i="1"/>
  <c r="N7" i="1"/>
  <c r="L59" i="1"/>
  <c r="L57" i="1"/>
  <c r="L55" i="1"/>
  <c r="L53" i="1"/>
  <c r="L51" i="1"/>
  <c r="L49" i="1"/>
  <c r="L37" i="1"/>
  <c r="L35" i="1"/>
  <c r="L33" i="1"/>
  <c r="L31" i="1"/>
  <c r="L29" i="1"/>
  <c r="L27" i="1"/>
  <c r="L25" i="1"/>
  <c r="L15" i="1"/>
  <c r="L13" i="1"/>
  <c r="L11" i="1"/>
  <c r="L9" i="1"/>
  <c r="L7" i="1"/>
  <c r="O51" i="1"/>
  <c r="O35" i="1"/>
  <c r="A25" i="2"/>
  <c r="Y53" i="1"/>
  <c r="W53" i="1"/>
  <c r="U53" i="1"/>
  <c r="S53" i="1"/>
  <c r="Q53" i="1"/>
  <c r="M53" i="1"/>
  <c r="M8" i="1"/>
  <c r="W8" i="1"/>
  <c r="O8" i="1"/>
  <c r="Y8" i="1"/>
  <c r="U8" i="1"/>
  <c r="S8" i="1"/>
  <c r="Q8" i="1"/>
  <c r="O53" i="1"/>
  <c r="A73" i="2"/>
  <c r="Y27" i="1"/>
  <c r="W27" i="1"/>
  <c r="U27" i="1"/>
  <c r="S27" i="1"/>
  <c r="Q27" i="1"/>
  <c r="M27" i="1"/>
  <c r="O27" i="1"/>
  <c r="Y11" i="1"/>
  <c r="W11" i="1"/>
  <c r="U11" i="1"/>
  <c r="S11" i="1"/>
  <c r="O11" i="1"/>
  <c r="M54" i="1"/>
  <c r="S54" i="1"/>
  <c r="Q54" i="1"/>
  <c r="O54" i="1"/>
  <c r="Y54" i="1"/>
  <c r="W54" i="1"/>
  <c r="U54" i="1"/>
  <c r="Q11" i="1"/>
  <c r="M11" i="1"/>
  <c r="A20" i="2"/>
  <c r="W26" i="1"/>
  <c r="U52" i="1"/>
  <c r="U26" i="1"/>
  <c r="S26" i="1"/>
  <c r="Q26" i="1"/>
  <c r="O26" i="1"/>
  <c r="Y52" i="1"/>
  <c r="Y26" i="1"/>
  <c r="W52" i="1"/>
  <c r="S52" i="1"/>
  <c r="Q52" i="1"/>
  <c r="O52" i="1"/>
  <c r="M52" i="1"/>
  <c r="M26" i="1"/>
  <c r="A76" i="2"/>
  <c r="W30" i="1"/>
  <c r="U30" i="1"/>
  <c r="S30" i="1"/>
  <c r="Q30" i="1"/>
  <c r="O30" i="1"/>
  <c r="Y30" i="1"/>
  <c r="M30" i="1"/>
  <c r="M28" i="1"/>
  <c r="U10" i="1"/>
  <c r="S10" i="1"/>
  <c r="Q10" i="1"/>
  <c r="Y28" i="1"/>
  <c r="Y10" i="1"/>
  <c r="W28" i="1"/>
  <c r="W10" i="1"/>
  <c r="U28" i="1"/>
  <c r="S28" i="1"/>
  <c r="Q28" i="1"/>
  <c r="O28" i="1"/>
  <c r="O10" i="1"/>
  <c r="M10" i="1"/>
  <c r="A3" i="2"/>
  <c r="Y29" i="1"/>
  <c r="Y9" i="1"/>
  <c r="W29" i="1"/>
  <c r="U29" i="1"/>
  <c r="S29" i="1"/>
  <c r="Q29" i="1"/>
  <c r="Q9" i="1"/>
  <c r="M29" i="1"/>
  <c r="M9" i="1"/>
  <c r="U50" i="1"/>
  <c r="Y50" i="1"/>
  <c r="W50" i="1"/>
  <c r="S50" i="1"/>
  <c r="Q50" i="1"/>
  <c r="O50" i="1"/>
  <c r="W9" i="1"/>
  <c r="U9" i="1"/>
  <c r="S9" i="1"/>
  <c r="O29" i="1"/>
  <c r="O9" i="1"/>
  <c r="M50" i="1"/>
  <c r="A15" i="2"/>
  <c r="Y25" i="1"/>
  <c r="W25" i="1"/>
  <c r="O25" i="1"/>
  <c r="U25" i="1"/>
  <c r="S25" i="1"/>
  <c r="Q25" i="1"/>
  <c r="M25" i="1"/>
  <c r="A19" i="2"/>
  <c r="Y34" i="1"/>
  <c r="W34" i="1"/>
  <c r="U34" i="1"/>
  <c r="S34" i="1"/>
  <c r="Q34" i="1"/>
  <c r="O34" i="1"/>
  <c r="M34" i="1"/>
  <c r="A23" i="2"/>
  <c r="Y55" i="1"/>
  <c r="W55" i="1"/>
  <c r="U55" i="1"/>
  <c r="S55" i="1"/>
  <c r="Q55" i="1"/>
  <c r="M55" i="1"/>
  <c r="O55" i="1"/>
  <c r="A103" i="2"/>
  <c r="Y49" i="1"/>
  <c r="W49" i="1"/>
  <c r="U49" i="1"/>
  <c r="S49" i="1"/>
  <c r="Q49" i="1"/>
  <c r="M49" i="1"/>
  <c r="O49" i="1"/>
  <c r="O6" i="1"/>
  <c r="W6" i="1"/>
  <c r="M6" i="1"/>
  <c r="Y6" i="1"/>
  <c r="U6" i="1"/>
  <c r="S6" i="1"/>
  <c r="Q6" i="1"/>
  <c r="BC58" i="21"/>
  <c r="BC37" i="21"/>
  <c r="BC15" i="21"/>
  <c r="BC36" i="21"/>
  <c r="BC16" i="21"/>
  <c r="BC38" i="21"/>
  <c r="K12" i="1"/>
  <c r="K8" i="1"/>
  <c r="K26" i="1"/>
  <c r="K28" i="1"/>
  <c r="K30" i="1"/>
  <c r="K32" i="1"/>
  <c r="K34" i="1"/>
  <c r="K50" i="1"/>
  <c r="K52" i="1"/>
  <c r="K54" i="1"/>
  <c r="K56" i="1"/>
  <c r="J26" i="1"/>
  <c r="J28" i="1"/>
  <c r="J30" i="1"/>
  <c r="J32" i="1"/>
  <c r="J34" i="1"/>
  <c r="J36" i="1"/>
  <c r="J38" i="1"/>
  <c r="J50" i="1"/>
  <c r="J52" i="1"/>
  <c r="J54" i="1"/>
  <c r="J56" i="1"/>
  <c r="J58" i="1"/>
  <c r="K6" i="1"/>
  <c r="K7" i="1"/>
  <c r="K9" i="1"/>
  <c r="K11" i="1"/>
  <c r="K14" i="1"/>
  <c r="K25" i="1"/>
  <c r="K27" i="1"/>
  <c r="K29" i="1"/>
  <c r="K31" i="1"/>
  <c r="K33" i="1"/>
  <c r="K35" i="1"/>
  <c r="K49" i="1"/>
  <c r="K51" i="1"/>
  <c r="K53" i="1"/>
  <c r="K55" i="1"/>
  <c r="K57" i="1"/>
  <c r="K59" i="1"/>
  <c r="K10" i="1"/>
  <c r="K13" i="1"/>
  <c r="J6" i="1"/>
  <c r="J7" i="1"/>
  <c r="J8" i="1"/>
  <c r="J9" i="1"/>
  <c r="J10" i="1"/>
  <c r="J11" i="1"/>
  <c r="J12" i="1"/>
  <c r="J13" i="1"/>
  <c r="J14" i="1"/>
  <c r="J15" i="1"/>
  <c r="J16" i="1"/>
  <c r="J25" i="1"/>
  <c r="J27" i="1"/>
  <c r="J29" i="1"/>
  <c r="J31" i="1"/>
  <c r="J33" i="1"/>
  <c r="J35" i="1"/>
  <c r="J37" i="1"/>
  <c r="J49" i="1"/>
  <c r="J51" i="1"/>
  <c r="J53" i="1"/>
  <c r="J55" i="1"/>
  <c r="J57" i="1"/>
  <c r="J59" i="1"/>
  <c r="Z17" i="2"/>
  <c r="Z26" i="2"/>
  <c r="AA17" i="2"/>
  <c r="AA16" i="2"/>
  <c r="AA26" i="2"/>
  <c r="Z16" i="2"/>
  <c r="AA8" i="2"/>
  <c r="Y8" i="2"/>
  <c r="AB22" i="1"/>
  <c r="AB46" i="1"/>
  <c r="J39" i="21" l="1"/>
  <c r="M17" i="21"/>
  <c r="L39" i="21"/>
  <c r="Z39" i="1"/>
  <c r="M39" i="21"/>
  <c r="L17" i="21"/>
  <c r="AA60" i="1"/>
  <c r="K39" i="21"/>
  <c r="J60" i="21"/>
  <c r="Z60" i="1"/>
  <c r="I60" i="21"/>
  <c r="K60" i="21"/>
  <c r="J17" i="21"/>
  <c r="N39" i="21"/>
  <c r="N60" i="21"/>
  <c r="I17" i="21"/>
  <c r="K17" i="21"/>
  <c r="I39" i="21"/>
  <c r="N17" i="21"/>
  <c r="M60" i="21"/>
  <c r="L60" i="21"/>
  <c r="Z17" i="1"/>
  <c r="AA17" i="1"/>
  <c r="BC9" i="21"/>
  <c r="BB15" i="21"/>
  <c r="BB11" i="21"/>
  <c r="BB7" i="21"/>
  <c r="BC10" i="21"/>
  <c r="BC59" i="21"/>
  <c r="BC57" i="21"/>
  <c r="BC49" i="21"/>
  <c r="BC35" i="21"/>
  <c r="BC27" i="21"/>
  <c r="BC11" i="21"/>
  <c r="BB57" i="21"/>
  <c r="BB49" i="21"/>
  <c r="BB31" i="21"/>
  <c r="BB13" i="21"/>
  <c r="BB9" i="21"/>
  <c r="BC53" i="21"/>
  <c r="BC31" i="21"/>
  <c r="BC14" i="21"/>
  <c r="BC7" i="21"/>
  <c r="BB54" i="21"/>
  <c r="BB36" i="21"/>
  <c r="BB28" i="21"/>
  <c r="BC50" i="21"/>
  <c r="BC30" i="21"/>
  <c r="BC8" i="21"/>
  <c r="BB55" i="21"/>
  <c r="BB37" i="21"/>
  <c r="BB29" i="21"/>
  <c r="BB16" i="21"/>
  <c r="BB12" i="21"/>
  <c r="BB8" i="21"/>
  <c r="BC13" i="21"/>
  <c r="BC51" i="21"/>
  <c r="BC29" i="21"/>
  <c r="BB52" i="21"/>
  <c r="BB34" i="21"/>
  <c r="BB26" i="21"/>
  <c r="BC56" i="21"/>
  <c r="BC28" i="21"/>
  <c r="BB53" i="21"/>
  <c r="BB35" i="21"/>
  <c r="BB27" i="21"/>
  <c r="BC6" i="21"/>
  <c r="BB58" i="21"/>
  <c r="BB50" i="21"/>
  <c r="BB32" i="21"/>
  <c r="BC54" i="21"/>
  <c r="BC34" i="21"/>
  <c r="BC26" i="21"/>
  <c r="BC12" i="21"/>
  <c r="BB59" i="21"/>
  <c r="BB51" i="21"/>
  <c r="BB33" i="21"/>
  <c r="BB25" i="21"/>
  <c r="BB14" i="21"/>
  <c r="BB10" i="21"/>
  <c r="BB6" i="21"/>
  <c r="BC55" i="21"/>
  <c r="BC33" i="21"/>
  <c r="BC25" i="21"/>
  <c r="BB56" i="21"/>
  <c r="BB38" i="21"/>
  <c r="BB30" i="21"/>
  <c r="BC52" i="21"/>
  <c r="BC32" i="21"/>
  <c r="AN38" i="21"/>
  <c r="V60" i="1"/>
  <c r="J17" i="1"/>
  <c r="O60" i="1"/>
  <c r="S17" i="1"/>
  <c r="L60" i="1"/>
  <c r="P39" i="1"/>
  <c r="P17" i="1"/>
  <c r="Q17" i="1"/>
  <c r="U60" i="1"/>
  <c r="M39" i="1"/>
  <c r="J60" i="1"/>
  <c r="N39" i="1"/>
  <c r="V17" i="1"/>
  <c r="N17" i="1"/>
  <c r="S60" i="1"/>
  <c r="O39" i="1"/>
  <c r="P60" i="1"/>
  <c r="J39" i="1"/>
  <c r="T39" i="1"/>
  <c r="T17" i="1"/>
  <c r="Q39" i="1"/>
  <c r="N60" i="1"/>
  <c r="R39" i="1"/>
  <c r="R17" i="1"/>
  <c r="O17" i="1"/>
  <c r="W60" i="1"/>
  <c r="S39" i="1"/>
  <c r="T60" i="1"/>
  <c r="M60" i="1"/>
  <c r="K39" i="1"/>
  <c r="U39" i="1"/>
  <c r="M17" i="1"/>
  <c r="R60" i="1"/>
  <c r="V39" i="1"/>
  <c r="K60" i="1"/>
  <c r="W39" i="1"/>
  <c r="W17" i="1"/>
  <c r="K17" i="1"/>
  <c r="L39" i="1"/>
  <c r="L17" i="1"/>
  <c r="Q60" i="1"/>
  <c r="U17" i="1"/>
  <c r="AC59" i="1"/>
  <c r="AF59" i="1" s="1"/>
  <c r="AB59" i="1"/>
  <c r="AE59" i="1" s="1"/>
  <c r="AC58" i="1"/>
  <c r="AF58" i="1" s="1"/>
  <c r="AB58" i="1"/>
  <c r="AE58" i="1" s="1"/>
  <c r="AC57" i="1"/>
  <c r="AF57" i="1" s="1"/>
  <c r="AB57" i="1"/>
  <c r="AE57" i="1" s="1"/>
  <c r="AC56" i="1"/>
  <c r="AF56" i="1" s="1"/>
  <c r="AB56" i="1"/>
  <c r="AE56" i="1" s="1"/>
  <c r="AC55" i="1"/>
  <c r="AF55" i="1" s="1"/>
  <c r="AB55" i="1"/>
  <c r="AE55" i="1" s="1"/>
  <c r="AC54" i="1"/>
  <c r="AF54" i="1" s="1"/>
  <c r="AB54" i="1"/>
  <c r="AE54" i="1" s="1"/>
  <c r="AC53" i="1"/>
  <c r="AF53" i="1" s="1"/>
  <c r="AB53" i="1"/>
  <c r="AE53" i="1" s="1"/>
  <c r="AC52" i="1"/>
  <c r="AF52" i="1" s="1"/>
  <c r="AB52" i="1"/>
  <c r="AE52" i="1" s="1"/>
  <c r="AC51" i="1"/>
  <c r="AF51" i="1" s="1"/>
  <c r="AB51" i="1"/>
  <c r="AE51" i="1" s="1"/>
  <c r="AC50" i="1"/>
  <c r="AF50" i="1" s="1"/>
  <c r="AB50" i="1"/>
  <c r="AE50" i="1" s="1"/>
  <c r="AC49" i="1"/>
  <c r="AF49" i="1" s="1"/>
  <c r="AB49" i="1"/>
  <c r="AE49" i="1" s="1"/>
  <c r="AC38" i="1"/>
  <c r="AF38" i="1" s="1"/>
  <c r="AB38" i="1"/>
  <c r="AE38" i="1" s="1"/>
  <c r="AC37" i="1"/>
  <c r="AF37" i="1" s="1"/>
  <c r="G14" i="19" s="1"/>
  <c r="AB37" i="1"/>
  <c r="AE37" i="1" s="1"/>
  <c r="H14" i="19" s="1"/>
  <c r="AC36" i="1"/>
  <c r="AF36" i="1" s="1"/>
  <c r="G15" i="19" s="1"/>
  <c r="AB36" i="1"/>
  <c r="AE36" i="1" s="1"/>
  <c r="H15" i="19" s="1"/>
  <c r="AC35" i="1"/>
  <c r="AF35" i="1" s="1"/>
  <c r="G10" i="19" s="1"/>
  <c r="AB35" i="1"/>
  <c r="AE35" i="1" s="1"/>
  <c r="H10" i="19" s="1"/>
  <c r="AC34" i="1"/>
  <c r="AF34" i="1" s="1"/>
  <c r="G9" i="19" s="1"/>
  <c r="AB34" i="1"/>
  <c r="AE34" i="1" s="1"/>
  <c r="H9" i="19" s="1"/>
  <c r="AC33" i="1"/>
  <c r="AF33" i="1" s="1"/>
  <c r="G12" i="19" s="1"/>
  <c r="AB33" i="1"/>
  <c r="AE33" i="1" s="1"/>
  <c r="H12" i="19" s="1"/>
  <c r="AC32" i="1"/>
  <c r="AF32" i="1" s="1"/>
  <c r="G8" i="19" s="1"/>
  <c r="AB32" i="1"/>
  <c r="AE32" i="1" s="1"/>
  <c r="H8" i="19" s="1"/>
  <c r="AC31" i="1"/>
  <c r="AF31" i="1" s="1"/>
  <c r="G11" i="19" s="1"/>
  <c r="AB31" i="1"/>
  <c r="AE31" i="1" s="1"/>
  <c r="H11" i="19" s="1"/>
  <c r="AC30" i="1"/>
  <c r="AF30" i="1" s="1"/>
  <c r="G16" i="19" s="1"/>
  <c r="AB30" i="1"/>
  <c r="AE30" i="1" s="1"/>
  <c r="H16" i="19" s="1"/>
  <c r="AC29" i="1"/>
  <c r="AF29" i="1" s="1"/>
  <c r="G6" i="19" s="1"/>
  <c r="AB29" i="1"/>
  <c r="AE29" i="1" s="1"/>
  <c r="H6" i="19" s="1"/>
  <c r="AC28" i="1"/>
  <c r="AF28" i="1" s="1"/>
  <c r="G5" i="19" s="1"/>
  <c r="AB28" i="1"/>
  <c r="AE28" i="1" s="1"/>
  <c r="H5" i="19" s="1"/>
  <c r="AC27" i="1"/>
  <c r="AF27" i="1" s="1"/>
  <c r="G7" i="19" s="1"/>
  <c r="AB27" i="1"/>
  <c r="AE27" i="1" s="1"/>
  <c r="H7" i="19" s="1"/>
  <c r="AC26" i="1"/>
  <c r="AF26" i="1" s="1"/>
  <c r="G13" i="19" s="1"/>
  <c r="AB26" i="1"/>
  <c r="AE26" i="1" s="1"/>
  <c r="H13" i="19" s="1"/>
  <c r="AC25" i="1"/>
  <c r="AF25" i="1" s="1"/>
  <c r="G4" i="19" s="1"/>
  <c r="AB25" i="1"/>
  <c r="AE25" i="1" s="1"/>
  <c r="H4" i="19" s="1"/>
  <c r="AC16" i="1"/>
  <c r="AF16" i="1" s="1"/>
  <c r="AC15" i="1"/>
  <c r="AF15" i="1" s="1"/>
  <c r="AC14" i="1"/>
  <c r="AF14" i="1" s="1"/>
  <c r="AC13" i="1"/>
  <c r="AF13" i="1" s="1"/>
  <c r="AC12" i="1"/>
  <c r="AF12" i="1" s="1"/>
  <c r="AC11" i="1"/>
  <c r="AF11" i="1" s="1"/>
  <c r="AC10" i="1"/>
  <c r="AF10" i="1" s="1"/>
  <c r="AC9" i="1"/>
  <c r="AF9" i="1" s="1"/>
  <c r="AC8" i="1"/>
  <c r="AF8" i="1" s="1"/>
  <c r="AC7" i="1"/>
  <c r="AF7" i="1" s="1"/>
  <c r="AC6" i="1"/>
  <c r="AF6" i="1" s="1"/>
  <c r="AB16" i="1"/>
  <c r="AE16" i="1" s="1"/>
  <c r="AB15" i="1"/>
  <c r="AE15" i="1" s="1"/>
  <c r="AB14" i="1"/>
  <c r="AE14" i="1" s="1"/>
  <c r="AB13" i="1"/>
  <c r="AE13" i="1" s="1"/>
  <c r="AB12" i="1"/>
  <c r="AE12" i="1" s="1"/>
  <c r="AB11" i="1"/>
  <c r="AE11" i="1" s="1"/>
  <c r="AB10" i="1"/>
  <c r="AE10" i="1" s="1"/>
  <c r="AB9" i="1"/>
  <c r="AE9" i="1" s="1"/>
  <c r="AB8" i="1"/>
  <c r="AE8" i="1" s="1"/>
  <c r="AB7" i="1"/>
  <c r="AE7" i="1" s="1"/>
  <c r="AB6" i="1"/>
  <c r="AE6" i="1" s="1"/>
  <c r="AE18" i="1" l="1"/>
  <c r="N63" i="21"/>
  <c r="N43" i="21"/>
  <c r="M63" i="21"/>
  <c r="M43" i="21"/>
  <c r="AF18" i="1"/>
  <c r="BC60" i="21"/>
  <c r="BB60" i="21"/>
  <c r="BC17" i="21"/>
  <c r="BC39" i="21"/>
  <c r="BB39" i="21"/>
  <c r="BB17" i="21"/>
  <c r="AE46" i="1"/>
  <c r="AE22" i="1"/>
  <c r="X46" i="1"/>
  <c r="V46" i="1"/>
  <c r="T46" i="1"/>
  <c r="R46" i="1"/>
  <c r="P46" i="1"/>
  <c r="N46" i="1"/>
  <c r="L46" i="1"/>
  <c r="J46" i="1"/>
  <c r="X22" i="1"/>
  <c r="V22" i="1"/>
  <c r="T22" i="1"/>
  <c r="R22" i="1"/>
  <c r="P22" i="1"/>
  <c r="N22" i="1"/>
  <c r="L22" i="1"/>
  <c r="J22" i="1"/>
  <c r="D22" i="1"/>
  <c r="D46" i="1"/>
  <c r="AY38" i="1" l="1"/>
  <c r="AX38" i="1"/>
  <c r="AW38" i="1"/>
  <c r="AY36" i="1"/>
  <c r="AX36" i="1"/>
  <c r="AW36" i="1"/>
  <c r="AU38" i="1"/>
  <c r="AT38" i="1"/>
  <c r="AS38" i="1"/>
  <c r="AU36" i="1"/>
  <c r="AT36" i="1"/>
  <c r="AS36" i="1"/>
  <c r="E59" i="1" l="1"/>
  <c r="H59" i="1" s="1"/>
  <c r="E58" i="1"/>
  <c r="H58" i="1" s="1"/>
  <c r="E57" i="1"/>
  <c r="H57" i="1" s="1"/>
  <c r="E56" i="1"/>
  <c r="H56" i="1" s="1"/>
  <c r="E55" i="1"/>
  <c r="H55" i="1" s="1"/>
  <c r="E54" i="1"/>
  <c r="H54" i="1" s="1"/>
  <c r="E53" i="1"/>
  <c r="H53" i="1" s="1"/>
  <c r="E52" i="1"/>
  <c r="H52" i="1" s="1"/>
  <c r="E51" i="1"/>
  <c r="H51" i="1" s="1"/>
  <c r="E50" i="1"/>
  <c r="H50" i="1" s="1"/>
  <c r="E49" i="1"/>
  <c r="H49" i="1" s="1"/>
  <c r="D59" i="1"/>
  <c r="G59" i="1" s="1"/>
  <c r="D58" i="1"/>
  <c r="G58" i="1" s="1"/>
  <c r="D57" i="1"/>
  <c r="G57" i="1" s="1"/>
  <c r="D56" i="1"/>
  <c r="G56" i="1" s="1"/>
  <c r="D55" i="1"/>
  <c r="G55" i="1" s="1"/>
  <c r="D54" i="1"/>
  <c r="G54" i="1" s="1"/>
  <c r="D53" i="1"/>
  <c r="G53" i="1" s="1"/>
  <c r="D52" i="1"/>
  <c r="G52" i="1" s="1"/>
  <c r="D51" i="1"/>
  <c r="G51" i="1" s="1"/>
  <c r="D50" i="1"/>
  <c r="G50" i="1" s="1"/>
  <c r="D49" i="1"/>
  <c r="G49" i="1" s="1"/>
  <c r="E38" i="1"/>
  <c r="H38" i="1" s="1"/>
  <c r="E37" i="1"/>
  <c r="H37" i="1" s="1"/>
  <c r="E36" i="1"/>
  <c r="H36" i="1" s="1"/>
  <c r="E35" i="1"/>
  <c r="H35" i="1" s="1"/>
  <c r="E34" i="1"/>
  <c r="H34" i="1" s="1"/>
  <c r="E33" i="1"/>
  <c r="H33" i="1" s="1"/>
  <c r="E32" i="1"/>
  <c r="H32" i="1" s="1"/>
  <c r="E31" i="1"/>
  <c r="H31" i="1" s="1"/>
  <c r="E30" i="1"/>
  <c r="H30" i="1" s="1"/>
  <c r="E29" i="1"/>
  <c r="H29" i="1" s="1"/>
  <c r="E28" i="1"/>
  <c r="H28" i="1" s="1"/>
  <c r="E27" i="1"/>
  <c r="H27" i="1" s="1"/>
  <c r="E26" i="1"/>
  <c r="H26" i="1" s="1"/>
  <c r="E25" i="1"/>
  <c r="H25" i="1" s="1"/>
  <c r="D38" i="1"/>
  <c r="G38" i="1" s="1"/>
  <c r="D37" i="1"/>
  <c r="G37" i="1" s="1"/>
  <c r="D36" i="1"/>
  <c r="G36" i="1" s="1"/>
  <c r="D35" i="1"/>
  <c r="G35" i="1" s="1"/>
  <c r="D34" i="1"/>
  <c r="G34" i="1" s="1"/>
  <c r="D33" i="1"/>
  <c r="G33" i="1" s="1"/>
  <c r="D32" i="1"/>
  <c r="G32" i="1" s="1"/>
  <c r="D31" i="1"/>
  <c r="G31" i="1" s="1"/>
  <c r="D30" i="1"/>
  <c r="G30" i="1" s="1"/>
  <c r="D29" i="1"/>
  <c r="G29" i="1" s="1"/>
  <c r="D28" i="1"/>
  <c r="G28" i="1" s="1"/>
  <c r="D27" i="1"/>
  <c r="G27" i="1" s="1"/>
  <c r="D26" i="1"/>
  <c r="G26" i="1" s="1"/>
  <c r="D25" i="1"/>
  <c r="G25" i="1" s="1"/>
  <c r="E16" i="1"/>
  <c r="H16" i="1" s="1"/>
  <c r="E15" i="1"/>
  <c r="H15" i="1" s="1"/>
  <c r="E14" i="1"/>
  <c r="H14" i="1" s="1"/>
  <c r="E13" i="1"/>
  <c r="H13" i="1" s="1"/>
  <c r="E12" i="1"/>
  <c r="H12" i="1" s="1"/>
  <c r="E11" i="1"/>
  <c r="H11" i="1" s="1"/>
  <c r="E10" i="1"/>
  <c r="H10" i="1" s="1"/>
  <c r="E9" i="1"/>
  <c r="H9" i="1" s="1"/>
  <c r="E8" i="1"/>
  <c r="H8" i="1" s="1"/>
  <c r="E7" i="1"/>
  <c r="H7" i="1" s="1"/>
  <c r="E6" i="1"/>
  <c r="H6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Y39" i="1" l="1"/>
  <c r="X39" i="1"/>
  <c r="AU37" i="1" l="1"/>
  <c r="J43" i="1"/>
  <c r="R43" i="1"/>
  <c r="X17" i="1"/>
  <c r="K63" i="1"/>
  <c r="Q63" i="1"/>
  <c r="R63" i="1"/>
  <c r="Y17" i="1"/>
  <c r="AS37" i="1" l="1"/>
  <c r="AW37" i="1"/>
  <c r="AT37" i="1"/>
  <c r="AX37" i="1"/>
  <c r="AY37" i="1"/>
  <c r="N43" i="1"/>
  <c r="L43" i="1"/>
  <c r="S63" i="1"/>
  <c r="O43" i="1"/>
  <c r="J63" i="1"/>
  <c r="N63" i="1"/>
  <c r="L63" i="1"/>
  <c r="Q43" i="1"/>
  <c r="K43" i="1"/>
  <c r="O63" i="1"/>
  <c r="P43" i="1"/>
  <c r="P63" i="1"/>
  <c r="M43" i="1"/>
  <c r="M63" i="1"/>
  <c r="S43" i="1"/>
  <c r="AP58" i="1"/>
  <c r="AO58" i="1"/>
  <c r="AM58" i="1"/>
  <c r="AL58" i="1"/>
  <c r="AK58" i="1"/>
  <c r="AJ58" i="1"/>
  <c r="AI58" i="1"/>
  <c r="AP38" i="1"/>
  <c r="AO38" i="1"/>
  <c r="AM38" i="1"/>
  <c r="AL38" i="1"/>
  <c r="AK38" i="1"/>
  <c r="AJ38" i="1"/>
  <c r="AI38" i="1"/>
  <c r="AP36" i="1"/>
  <c r="AO36" i="1"/>
  <c r="AM36" i="1"/>
  <c r="AL36" i="1"/>
  <c r="AK36" i="1"/>
  <c r="AJ36" i="1"/>
  <c r="AI36" i="1"/>
  <c r="AP16" i="1"/>
  <c r="AO16" i="1"/>
  <c r="AP15" i="1"/>
  <c r="AO15" i="1"/>
  <c r="AM16" i="1"/>
  <c r="AL16" i="1"/>
  <c r="AK16" i="1"/>
  <c r="AJ16" i="1"/>
  <c r="AI16" i="1"/>
  <c r="AM15" i="1"/>
  <c r="AL15" i="1"/>
  <c r="AK15" i="1"/>
  <c r="AJ15" i="1"/>
  <c r="AI15" i="1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5" i="2"/>
  <c r="X24" i="2"/>
  <c r="X23" i="2"/>
  <c r="X22" i="2"/>
  <c r="X21" i="2"/>
  <c r="X20" i="2"/>
  <c r="X19" i="2"/>
  <c r="X18" i="2"/>
  <c r="X15" i="2"/>
  <c r="X14" i="2"/>
  <c r="X13" i="2"/>
  <c r="X12" i="2"/>
  <c r="X11" i="2"/>
  <c r="X10" i="2"/>
  <c r="X9" i="2"/>
  <c r="X7" i="2"/>
  <c r="X6" i="2"/>
  <c r="X5" i="2"/>
  <c r="X4" i="2"/>
  <c r="X3" i="2"/>
  <c r="X2" i="2"/>
  <c r="W30" i="21" l="1"/>
  <c r="X30" i="21"/>
  <c r="V30" i="21"/>
  <c r="AA30" i="21"/>
  <c r="U30" i="21"/>
  <c r="Z30" i="21"/>
  <c r="T30" i="21"/>
  <c r="W50" i="21"/>
  <c r="X50" i="21"/>
  <c r="Z50" i="21"/>
  <c r="AA50" i="21"/>
  <c r="V50" i="21"/>
  <c r="U50" i="21"/>
  <c r="T50" i="21"/>
  <c r="X12" i="21"/>
  <c r="V12" i="21"/>
  <c r="T12" i="21"/>
  <c r="Z12" i="21"/>
  <c r="AA12" i="21"/>
  <c r="U12" i="21"/>
  <c r="W12" i="21"/>
  <c r="AA51" i="21"/>
  <c r="V51" i="21"/>
  <c r="Z34" i="21"/>
  <c r="U34" i="21"/>
  <c r="X51" i="21"/>
  <c r="X34" i="21"/>
  <c r="W51" i="21"/>
  <c r="W34" i="21"/>
  <c r="U51" i="21"/>
  <c r="V34" i="21"/>
  <c r="Z51" i="21"/>
  <c r="T51" i="21"/>
  <c r="AA34" i="21"/>
  <c r="T34" i="21"/>
  <c r="Z33" i="21"/>
  <c r="U33" i="21"/>
  <c r="X33" i="21"/>
  <c r="W33" i="21"/>
  <c r="V33" i="21"/>
  <c r="AA33" i="21"/>
  <c r="T33" i="21"/>
  <c r="X53" i="21"/>
  <c r="T53" i="21"/>
  <c r="AA53" i="21"/>
  <c r="U53" i="21"/>
  <c r="Z53" i="21"/>
  <c r="W53" i="21"/>
  <c r="V53" i="21"/>
  <c r="W28" i="21"/>
  <c r="Z28" i="21"/>
  <c r="T28" i="21"/>
  <c r="X28" i="21"/>
  <c r="V28" i="21"/>
  <c r="U28" i="21"/>
  <c r="AA28" i="21"/>
  <c r="AA27" i="21"/>
  <c r="V27" i="21"/>
  <c r="X27" i="21"/>
  <c r="W27" i="21"/>
  <c r="U27" i="21"/>
  <c r="Z27" i="21"/>
  <c r="T27" i="21"/>
  <c r="Z54" i="21"/>
  <c r="U54" i="21"/>
  <c r="X54" i="21"/>
  <c r="W54" i="21"/>
  <c r="V54" i="21"/>
  <c r="AA54" i="21"/>
  <c r="T54" i="21"/>
  <c r="X35" i="21"/>
  <c r="T35" i="21"/>
  <c r="V35" i="21"/>
  <c r="AA35" i="21"/>
  <c r="U35" i="21"/>
  <c r="Z35" i="21"/>
  <c r="W35" i="21"/>
  <c r="AA6" i="21"/>
  <c r="V6" i="21"/>
  <c r="U6" i="21"/>
  <c r="Z6" i="21"/>
  <c r="T6" i="21"/>
  <c r="X6" i="21"/>
  <c r="W6" i="21"/>
  <c r="AA59" i="21"/>
  <c r="V59" i="21"/>
  <c r="AA32" i="21"/>
  <c r="V32" i="21"/>
  <c r="W7" i="21"/>
  <c r="Z59" i="21"/>
  <c r="T59" i="21"/>
  <c r="U32" i="21"/>
  <c r="Z7" i="21"/>
  <c r="T7" i="21"/>
  <c r="X59" i="21"/>
  <c r="Z32" i="21"/>
  <c r="T32" i="21"/>
  <c r="X7" i="21"/>
  <c r="W59" i="21"/>
  <c r="X32" i="21"/>
  <c r="V7" i="21"/>
  <c r="U59" i="21"/>
  <c r="U7" i="21"/>
  <c r="W32" i="21"/>
  <c r="AA7" i="21"/>
  <c r="AA55" i="21"/>
  <c r="V55" i="21"/>
  <c r="AA29" i="21"/>
  <c r="V29" i="21"/>
  <c r="Z9" i="21"/>
  <c r="U9" i="21"/>
  <c r="W55" i="21"/>
  <c r="W29" i="21"/>
  <c r="V9" i="21"/>
  <c r="U55" i="21"/>
  <c r="U29" i="21"/>
  <c r="AA9" i="21"/>
  <c r="T9" i="21"/>
  <c r="Z55" i="21"/>
  <c r="T55" i="21"/>
  <c r="Z29" i="21"/>
  <c r="T29" i="21"/>
  <c r="X9" i="21"/>
  <c r="X55" i="21"/>
  <c r="W9" i="21"/>
  <c r="X29" i="21"/>
  <c r="X8" i="21"/>
  <c r="T8" i="21"/>
  <c r="W8" i="21"/>
  <c r="V8" i="21"/>
  <c r="AA8" i="21"/>
  <c r="U8" i="21"/>
  <c r="Z8" i="21"/>
  <c r="X49" i="21"/>
  <c r="T49" i="21"/>
  <c r="W25" i="21"/>
  <c r="V49" i="21"/>
  <c r="AA25" i="21"/>
  <c r="U25" i="21"/>
  <c r="AA49" i="21"/>
  <c r="U49" i="21"/>
  <c r="Z25" i="21"/>
  <c r="T25" i="21"/>
  <c r="Z49" i="21"/>
  <c r="X25" i="21"/>
  <c r="W49" i="21"/>
  <c r="V25" i="21"/>
  <c r="AA10" i="21"/>
  <c r="V10" i="21"/>
  <c r="Z10" i="21"/>
  <c r="T10" i="21"/>
  <c r="X10" i="21"/>
  <c r="W10" i="21"/>
  <c r="U10" i="21"/>
  <c r="W52" i="21"/>
  <c r="W26" i="21"/>
  <c r="Z13" i="21"/>
  <c r="U13" i="21"/>
  <c r="V52" i="21"/>
  <c r="AA26" i="21"/>
  <c r="U26" i="21"/>
  <c r="AA13" i="21"/>
  <c r="T13" i="21"/>
  <c r="AA52" i="21"/>
  <c r="U52" i="21"/>
  <c r="Z26" i="21"/>
  <c r="T26" i="21"/>
  <c r="X13" i="21"/>
  <c r="Z52" i="21"/>
  <c r="T52" i="21"/>
  <c r="X26" i="21"/>
  <c r="W13" i="21"/>
  <c r="X52" i="21"/>
  <c r="V13" i="21"/>
  <c r="V26" i="21"/>
  <c r="W11" i="21"/>
  <c r="X11" i="21"/>
  <c r="V11" i="21"/>
  <c r="AA11" i="21"/>
  <c r="U11" i="21"/>
  <c r="Z11" i="21"/>
  <c r="T11" i="21"/>
  <c r="Y10" i="2"/>
  <c r="AA10" i="2"/>
  <c r="Z10" i="2"/>
  <c r="Y5" i="2"/>
  <c r="AA5" i="2"/>
  <c r="Z5" i="2"/>
  <c r="Y29" i="2"/>
  <c r="AA29" i="2"/>
  <c r="Z29" i="2"/>
  <c r="Y12" i="2"/>
  <c r="AA12" i="2"/>
  <c r="Z12" i="2"/>
  <c r="Y3" i="2"/>
  <c r="AA3" i="2"/>
  <c r="Z3" i="2"/>
  <c r="Y7" i="2"/>
  <c r="AA7" i="2"/>
  <c r="Z7" i="2"/>
  <c r="Y11" i="2"/>
  <c r="AA11" i="2"/>
  <c r="Z11" i="2"/>
  <c r="Y15" i="2"/>
  <c r="AA15" i="2"/>
  <c r="Z15" i="2"/>
  <c r="Y19" i="2"/>
  <c r="AA19" i="2"/>
  <c r="Z19" i="2"/>
  <c r="Y23" i="2"/>
  <c r="AA23" i="2"/>
  <c r="Z23" i="2"/>
  <c r="Y27" i="2"/>
  <c r="AA27" i="2"/>
  <c r="Z27" i="2"/>
  <c r="Y31" i="2"/>
  <c r="AA31" i="2"/>
  <c r="Z31" i="2"/>
  <c r="Y35" i="2"/>
  <c r="AA35" i="2"/>
  <c r="Z35" i="2"/>
  <c r="Y39" i="2"/>
  <c r="AA39" i="2"/>
  <c r="Z39" i="2"/>
  <c r="Y43" i="2"/>
  <c r="AA43" i="2"/>
  <c r="Z43" i="2"/>
  <c r="Y47" i="2"/>
  <c r="AA47" i="2"/>
  <c r="Z47" i="2"/>
  <c r="Y51" i="2"/>
  <c r="AA51" i="2"/>
  <c r="Z51" i="2"/>
  <c r="Y55" i="2"/>
  <c r="AA55" i="2"/>
  <c r="Z55" i="2"/>
  <c r="Y59" i="2"/>
  <c r="AA59" i="2"/>
  <c r="Z59" i="2"/>
  <c r="Y63" i="2"/>
  <c r="AA63" i="2"/>
  <c r="Z63" i="2"/>
  <c r="Y67" i="2"/>
  <c r="AA67" i="2"/>
  <c r="Z67" i="2"/>
  <c r="Y71" i="2"/>
  <c r="AA71" i="2"/>
  <c r="Z71" i="2"/>
  <c r="Y75" i="2"/>
  <c r="AA75" i="2"/>
  <c r="Z75" i="2"/>
  <c r="Y79" i="2"/>
  <c r="AA79" i="2"/>
  <c r="Z79" i="2"/>
  <c r="Y83" i="2"/>
  <c r="AA83" i="2"/>
  <c r="Z83" i="2"/>
  <c r="Y87" i="2"/>
  <c r="AA87" i="2"/>
  <c r="Z87" i="2"/>
  <c r="Y91" i="2"/>
  <c r="AA91" i="2"/>
  <c r="Z91" i="2"/>
  <c r="Y95" i="2"/>
  <c r="AA95" i="2"/>
  <c r="Z95" i="2"/>
  <c r="Y99" i="2"/>
  <c r="AA99" i="2"/>
  <c r="Z99" i="2"/>
  <c r="Y103" i="2"/>
  <c r="AA103" i="2"/>
  <c r="Z103" i="2"/>
  <c r="Y107" i="2"/>
  <c r="AA107" i="2"/>
  <c r="Z107" i="2"/>
  <c r="Y111" i="2"/>
  <c r="AA111" i="2"/>
  <c r="Z111" i="2"/>
  <c r="Y115" i="2"/>
  <c r="AA115" i="2"/>
  <c r="Z115" i="2"/>
  <c r="Y119" i="2"/>
  <c r="AA119" i="2"/>
  <c r="Z119" i="2"/>
  <c r="Y14" i="2"/>
  <c r="AA14" i="2"/>
  <c r="Z14" i="2"/>
  <c r="Y22" i="2"/>
  <c r="AA22" i="2"/>
  <c r="Z22" i="2"/>
  <c r="Y30" i="2"/>
  <c r="AA30" i="2"/>
  <c r="Z30" i="2"/>
  <c r="Y34" i="2"/>
  <c r="AA34" i="2"/>
  <c r="Z34" i="2"/>
  <c r="Y38" i="2"/>
  <c r="AA38" i="2"/>
  <c r="Z38" i="2"/>
  <c r="Y42" i="2"/>
  <c r="AA42" i="2"/>
  <c r="Z42" i="2"/>
  <c r="Y46" i="2"/>
  <c r="AA46" i="2"/>
  <c r="Z46" i="2"/>
  <c r="Y50" i="2"/>
  <c r="AA50" i="2"/>
  <c r="Z50" i="2"/>
  <c r="Y54" i="2"/>
  <c r="AA54" i="2"/>
  <c r="Z54" i="2"/>
  <c r="Y58" i="2"/>
  <c r="AA58" i="2"/>
  <c r="Z58" i="2"/>
  <c r="Y62" i="2"/>
  <c r="AA62" i="2"/>
  <c r="Z62" i="2"/>
  <c r="Y66" i="2"/>
  <c r="AA66" i="2"/>
  <c r="Z66" i="2"/>
  <c r="Y70" i="2"/>
  <c r="AA70" i="2"/>
  <c r="Z70" i="2"/>
  <c r="Y74" i="2"/>
  <c r="AA74" i="2"/>
  <c r="Z74" i="2"/>
  <c r="Y78" i="2"/>
  <c r="AA78" i="2"/>
  <c r="Z78" i="2"/>
  <c r="Y82" i="2"/>
  <c r="AA82" i="2"/>
  <c r="Z82" i="2"/>
  <c r="Y86" i="2"/>
  <c r="AA86" i="2"/>
  <c r="Z86" i="2"/>
  <c r="Y90" i="2"/>
  <c r="AA90" i="2"/>
  <c r="Z90" i="2"/>
  <c r="Y94" i="2"/>
  <c r="AA94" i="2"/>
  <c r="Z94" i="2"/>
  <c r="Y98" i="2"/>
  <c r="AA98" i="2"/>
  <c r="Z98" i="2"/>
  <c r="Y102" i="2"/>
  <c r="AA102" i="2"/>
  <c r="Z102" i="2"/>
  <c r="Y106" i="2"/>
  <c r="AA106" i="2"/>
  <c r="Z106" i="2"/>
  <c r="Y110" i="2"/>
  <c r="AA110" i="2"/>
  <c r="Z110" i="2"/>
  <c r="Y114" i="2"/>
  <c r="AA114" i="2"/>
  <c r="Z114" i="2"/>
  <c r="Y118" i="2"/>
  <c r="AA118" i="2"/>
  <c r="Z118" i="2"/>
  <c r="Y6" i="2"/>
  <c r="AA6" i="2"/>
  <c r="Z6" i="2"/>
  <c r="Y9" i="2"/>
  <c r="AA9" i="2"/>
  <c r="Z9" i="2"/>
  <c r="Y21" i="2"/>
  <c r="AA21" i="2"/>
  <c r="Z21" i="2"/>
  <c r="Y33" i="2"/>
  <c r="AA33" i="2"/>
  <c r="Z33" i="2"/>
  <c r="Y37" i="2"/>
  <c r="AA37" i="2"/>
  <c r="Z37" i="2"/>
  <c r="Y41" i="2"/>
  <c r="AA41" i="2"/>
  <c r="Z41" i="2"/>
  <c r="Y45" i="2"/>
  <c r="AA45" i="2"/>
  <c r="Z45" i="2"/>
  <c r="Y49" i="2"/>
  <c r="AA49" i="2"/>
  <c r="Z49" i="2"/>
  <c r="Y53" i="2"/>
  <c r="AA53" i="2"/>
  <c r="Z53" i="2"/>
  <c r="Y57" i="2"/>
  <c r="AA57" i="2"/>
  <c r="Z57" i="2"/>
  <c r="Y61" i="2"/>
  <c r="AA61" i="2"/>
  <c r="Z61" i="2"/>
  <c r="Y65" i="2"/>
  <c r="AA65" i="2"/>
  <c r="Z65" i="2"/>
  <c r="Y69" i="2"/>
  <c r="AA69" i="2"/>
  <c r="Z69" i="2"/>
  <c r="Y73" i="2"/>
  <c r="AA73" i="2"/>
  <c r="Z73" i="2"/>
  <c r="Y77" i="2"/>
  <c r="AA77" i="2"/>
  <c r="Z77" i="2"/>
  <c r="Y81" i="2"/>
  <c r="AA81" i="2"/>
  <c r="Z81" i="2"/>
  <c r="Y85" i="2"/>
  <c r="AA85" i="2"/>
  <c r="Z85" i="2"/>
  <c r="Y89" i="2"/>
  <c r="AA89" i="2"/>
  <c r="Z89" i="2"/>
  <c r="Y93" i="2"/>
  <c r="AA93" i="2"/>
  <c r="Z93" i="2"/>
  <c r="Y97" i="2"/>
  <c r="AA97" i="2"/>
  <c r="Z97" i="2"/>
  <c r="Y101" i="2"/>
  <c r="AA101" i="2"/>
  <c r="Z101" i="2"/>
  <c r="Y105" i="2"/>
  <c r="AA105" i="2"/>
  <c r="Z105" i="2"/>
  <c r="Y109" i="2"/>
  <c r="AA109" i="2"/>
  <c r="Z109" i="2"/>
  <c r="Y113" i="2"/>
  <c r="AA113" i="2"/>
  <c r="Z113" i="2"/>
  <c r="Y117" i="2"/>
  <c r="AA117" i="2"/>
  <c r="Z117" i="2"/>
  <c r="Y2" i="2"/>
  <c r="Z2" i="2"/>
  <c r="AA2" i="2"/>
  <c r="Y18" i="2"/>
  <c r="AA18" i="2"/>
  <c r="Z18" i="2"/>
  <c r="Y13" i="2"/>
  <c r="AA13" i="2"/>
  <c r="Z13" i="2"/>
  <c r="Y25" i="2"/>
  <c r="AA25" i="2"/>
  <c r="Z25" i="2"/>
  <c r="Y4" i="2"/>
  <c r="AA4" i="2"/>
  <c r="Z4" i="2"/>
  <c r="Y20" i="2"/>
  <c r="AA20" i="2"/>
  <c r="Z20" i="2"/>
  <c r="Y24" i="2"/>
  <c r="AA24" i="2"/>
  <c r="Z24" i="2"/>
  <c r="Y28" i="2"/>
  <c r="AA28" i="2"/>
  <c r="Z28" i="2"/>
  <c r="Y32" i="2"/>
  <c r="AA32" i="2"/>
  <c r="Z32" i="2"/>
  <c r="Y36" i="2"/>
  <c r="AA36" i="2"/>
  <c r="Z36" i="2"/>
  <c r="Y40" i="2"/>
  <c r="AA40" i="2"/>
  <c r="Z40" i="2"/>
  <c r="Y44" i="2"/>
  <c r="AA44" i="2"/>
  <c r="Z44" i="2"/>
  <c r="Y48" i="2"/>
  <c r="AA48" i="2"/>
  <c r="Z48" i="2"/>
  <c r="Y52" i="2"/>
  <c r="AA52" i="2"/>
  <c r="Z52" i="2"/>
  <c r="Y56" i="2"/>
  <c r="AA56" i="2"/>
  <c r="Z56" i="2"/>
  <c r="Y60" i="2"/>
  <c r="AA60" i="2"/>
  <c r="Z60" i="2"/>
  <c r="Y64" i="2"/>
  <c r="AA64" i="2"/>
  <c r="Z64" i="2"/>
  <c r="Y68" i="2"/>
  <c r="AA68" i="2"/>
  <c r="Z68" i="2"/>
  <c r="Y72" i="2"/>
  <c r="AA72" i="2"/>
  <c r="Z72" i="2"/>
  <c r="Y76" i="2"/>
  <c r="AA76" i="2"/>
  <c r="Z76" i="2"/>
  <c r="Y80" i="2"/>
  <c r="AA80" i="2"/>
  <c r="Z80" i="2"/>
  <c r="Y84" i="2"/>
  <c r="AA84" i="2"/>
  <c r="Z84" i="2"/>
  <c r="Y88" i="2"/>
  <c r="AA88" i="2"/>
  <c r="Z88" i="2"/>
  <c r="Y92" i="2"/>
  <c r="AA92" i="2"/>
  <c r="Z92" i="2"/>
  <c r="Y96" i="2"/>
  <c r="AA96" i="2"/>
  <c r="Z96" i="2"/>
  <c r="Y100" i="2"/>
  <c r="AA100" i="2"/>
  <c r="Z100" i="2"/>
  <c r="Y104" i="2"/>
  <c r="AA104" i="2"/>
  <c r="Z104" i="2"/>
  <c r="Y108" i="2"/>
  <c r="AA108" i="2"/>
  <c r="Z108" i="2"/>
  <c r="Y112" i="2"/>
  <c r="AA112" i="2"/>
  <c r="Z112" i="2"/>
  <c r="Y116" i="2"/>
  <c r="AA116" i="2"/>
  <c r="Z116" i="2"/>
  <c r="Y120" i="2"/>
  <c r="AA120" i="2"/>
  <c r="Z120" i="2"/>
  <c r="AP26" i="1"/>
  <c r="AK37" i="1"/>
  <c r="AP37" i="1"/>
  <c r="AP57" i="1"/>
  <c r="AK29" i="1"/>
  <c r="AL54" i="1"/>
  <c r="AO29" i="1"/>
  <c r="AJ29" i="1"/>
  <c r="AK54" i="1"/>
  <c r="AM29" i="1"/>
  <c r="AI29" i="1"/>
  <c r="AP54" i="1"/>
  <c r="AJ54" i="1"/>
  <c r="AL29" i="1"/>
  <c r="AO54" i="1"/>
  <c r="AM54" i="1"/>
  <c r="AI54" i="1"/>
  <c r="AO56" i="1"/>
  <c r="AK56" i="1"/>
  <c r="AM35" i="1"/>
  <c r="AI35" i="1"/>
  <c r="AL35" i="1"/>
  <c r="AJ35" i="1"/>
  <c r="AP35" i="1"/>
  <c r="AK35" i="1"/>
  <c r="AO35" i="1"/>
  <c r="AM30" i="1"/>
  <c r="AI30" i="1"/>
  <c r="AL30" i="1"/>
  <c r="AO30" i="1"/>
  <c r="AJ30" i="1"/>
  <c r="AP30" i="1"/>
  <c r="AK30" i="1"/>
  <c r="AP55" i="1"/>
  <c r="AK55" i="1"/>
  <c r="AO55" i="1"/>
  <c r="AJ55" i="1"/>
  <c r="AM55" i="1"/>
  <c r="AI55" i="1"/>
  <c r="AL55" i="1"/>
  <c r="AJ52" i="1"/>
  <c r="AM52" i="1"/>
  <c r="AI52" i="1"/>
  <c r="AP52" i="1"/>
  <c r="AL52" i="1"/>
  <c r="AO52" i="1"/>
  <c r="AK52" i="1"/>
  <c r="AM27" i="1"/>
  <c r="AI27" i="1"/>
  <c r="AL27" i="1"/>
  <c r="AP27" i="1"/>
  <c r="AK27" i="1"/>
  <c r="AJ57" i="1"/>
  <c r="AM33" i="1"/>
  <c r="AI33" i="1"/>
  <c r="AL34" i="1"/>
  <c r="AP53" i="1"/>
  <c r="AM53" i="1"/>
  <c r="AI53" i="1"/>
  <c r="AO53" i="1"/>
  <c r="AL53" i="1"/>
  <c r="AK53" i="1"/>
  <c r="AJ53" i="1"/>
  <c r="AP28" i="1"/>
  <c r="AK28" i="1"/>
  <c r="AI25" i="1"/>
  <c r="AJ27" i="1"/>
  <c r="AL28" i="1"/>
  <c r="AP29" i="1"/>
  <c r="AP59" i="1"/>
  <c r="AK59" i="1"/>
  <c r="AO32" i="1"/>
  <c r="AJ32" i="1"/>
  <c r="AO59" i="1"/>
  <c r="AJ59" i="1"/>
  <c r="AM32" i="1"/>
  <c r="AI32" i="1"/>
  <c r="AP32" i="1"/>
  <c r="AK32" i="1"/>
  <c r="AM59" i="1"/>
  <c r="AI59" i="1"/>
  <c r="AL32" i="1"/>
  <c r="AL59" i="1"/>
  <c r="AL51" i="1"/>
  <c r="AL50" i="1"/>
  <c r="AK50" i="1"/>
  <c r="AP50" i="1"/>
  <c r="AJ50" i="1"/>
  <c r="AO50" i="1"/>
  <c r="AM50" i="1"/>
  <c r="AI50" i="1"/>
  <c r="AJ49" i="1"/>
  <c r="AP31" i="1"/>
  <c r="AK31" i="1"/>
  <c r="AO31" i="1"/>
  <c r="AJ31" i="1"/>
  <c r="AM31" i="1"/>
  <c r="AI31" i="1"/>
  <c r="AL31" i="1"/>
  <c r="AP51" i="1"/>
  <c r="AP34" i="1"/>
  <c r="AL33" i="1"/>
  <c r="AO28" i="1"/>
  <c r="AM25" i="1"/>
  <c r="AK26" i="1"/>
  <c r="AO27" i="1"/>
  <c r="AJ25" i="1"/>
  <c r="AO25" i="1"/>
  <c r="AL26" i="1"/>
  <c r="AI28" i="1"/>
  <c r="AM28" i="1"/>
  <c r="AJ33" i="1"/>
  <c r="AO33" i="1"/>
  <c r="AI34" i="1"/>
  <c r="AM34" i="1"/>
  <c r="AL37" i="1"/>
  <c r="AK49" i="1"/>
  <c r="AI51" i="1"/>
  <c r="AM51" i="1"/>
  <c r="AL56" i="1"/>
  <c r="AK57" i="1"/>
  <c r="AP56" i="1"/>
  <c r="AK25" i="1"/>
  <c r="AP25" i="1"/>
  <c r="AI26" i="1"/>
  <c r="AM26" i="1"/>
  <c r="AJ28" i="1"/>
  <c r="AK33" i="1"/>
  <c r="AP33" i="1"/>
  <c r="AJ34" i="1"/>
  <c r="AO34" i="1"/>
  <c r="AI37" i="1"/>
  <c r="AM37" i="1"/>
  <c r="AL49" i="1"/>
  <c r="AJ51" i="1"/>
  <c r="AI56" i="1"/>
  <c r="AM56" i="1"/>
  <c r="AL57" i="1"/>
  <c r="AO49" i="1"/>
  <c r="AO51" i="1"/>
  <c r="AO57" i="1"/>
  <c r="AL25" i="1"/>
  <c r="AJ26" i="1"/>
  <c r="AO26" i="1"/>
  <c r="AK34" i="1"/>
  <c r="AJ37" i="1"/>
  <c r="AO37" i="1"/>
  <c r="AI49" i="1"/>
  <c r="AM49" i="1"/>
  <c r="AK51" i="1"/>
  <c r="AJ56" i="1"/>
  <c r="AI57" i="1"/>
  <c r="AM57" i="1"/>
  <c r="AP49" i="1"/>
  <c r="AI14" i="1"/>
  <c r="AI13" i="1"/>
  <c r="AL7" i="1"/>
  <c r="AK11" i="1"/>
  <c r="AJ8" i="1"/>
  <c r="AO14" i="1"/>
  <c r="AO10" i="1"/>
  <c r="AO6" i="1"/>
  <c r="AM13" i="1"/>
  <c r="AP9" i="1"/>
  <c r="AL9" i="1"/>
  <c r="AO9" i="1"/>
  <c r="AK9" i="1"/>
  <c r="AI6" i="1"/>
  <c r="AL10" i="1"/>
  <c r="AJ12" i="1"/>
  <c r="AO8" i="1"/>
  <c r="AJ9" i="1"/>
  <c r="AM10" i="1"/>
  <c r="AK12" i="1"/>
  <c r="AP8" i="1"/>
  <c r="AL6" i="1"/>
  <c r="AM9" i="1"/>
  <c r="AL14" i="1"/>
  <c r="AK7" i="1"/>
  <c r="AI9" i="1"/>
  <c r="AO12" i="1"/>
  <c r="AP7" i="1"/>
  <c r="AJ7" i="1"/>
  <c r="AO7" i="1"/>
  <c r="AM7" i="1"/>
  <c r="AI7" i="1"/>
  <c r="AP13" i="1"/>
  <c r="AL13" i="1"/>
  <c r="AO13" i="1"/>
  <c r="AK13" i="1"/>
  <c r="AP11" i="1"/>
  <c r="AJ11" i="1"/>
  <c r="AO11" i="1"/>
  <c r="AM11" i="1"/>
  <c r="AI11" i="1"/>
  <c r="AJ6" i="1"/>
  <c r="AP12" i="1"/>
  <c r="AM12" i="1"/>
  <c r="AI12" i="1"/>
  <c r="AL12" i="1"/>
  <c r="AM8" i="1"/>
  <c r="AI8" i="1"/>
  <c r="AL8" i="1"/>
  <c r="AK6" i="1"/>
  <c r="AK14" i="1"/>
  <c r="AJ14" i="1"/>
  <c r="AK10" i="1"/>
  <c r="AJ10" i="1"/>
  <c r="AM6" i="1"/>
  <c r="AK8" i="1"/>
  <c r="AI10" i="1"/>
  <c r="AL11" i="1"/>
  <c r="AJ13" i="1"/>
  <c r="AM14" i="1"/>
  <c r="AP6" i="1"/>
  <c r="AP10" i="1"/>
  <c r="AP14" i="1"/>
  <c r="Y50" i="21" l="1"/>
  <c r="AB50" i="21" s="1"/>
  <c r="AA60" i="21"/>
  <c r="V60" i="21"/>
  <c r="Y30" i="21"/>
  <c r="AB30" i="21" s="1"/>
  <c r="X39" i="21"/>
  <c r="Y11" i="21"/>
  <c r="AB11" i="21" s="1"/>
  <c r="Z60" i="21"/>
  <c r="W39" i="21"/>
  <c r="Y8" i="21"/>
  <c r="AB8" i="21" s="1"/>
  <c r="Y55" i="21"/>
  <c r="AB55" i="21" s="1"/>
  <c r="Y32" i="21"/>
  <c r="AB32" i="21" s="1"/>
  <c r="W17" i="21"/>
  <c r="U17" i="21"/>
  <c r="Y35" i="21"/>
  <c r="AB35" i="21" s="1"/>
  <c r="Y53" i="21"/>
  <c r="AB53" i="21" s="1"/>
  <c r="Y12" i="21"/>
  <c r="AB12" i="21" s="1"/>
  <c r="AH32" i="21"/>
  <c r="AJ32" i="21"/>
  <c r="AD32" i="21"/>
  <c r="AI32" i="21"/>
  <c r="AF32" i="21"/>
  <c r="AE32" i="21"/>
  <c r="AI26" i="21"/>
  <c r="AD26" i="21"/>
  <c r="AJ26" i="21"/>
  <c r="AH26" i="21"/>
  <c r="AF26" i="21"/>
  <c r="AE26" i="21"/>
  <c r="AI28" i="21"/>
  <c r="AD28" i="21"/>
  <c r="AH28" i="21"/>
  <c r="AF28" i="21"/>
  <c r="AE28" i="21"/>
  <c r="AJ28" i="21"/>
  <c r="Y26" i="21"/>
  <c r="AB26" i="21" s="1"/>
  <c r="W60" i="21"/>
  <c r="Y10" i="21"/>
  <c r="AB10" i="21" s="1"/>
  <c r="V39" i="21"/>
  <c r="Y25" i="21"/>
  <c r="T39" i="21"/>
  <c r="U39" i="21"/>
  <c r="Y49" i="21"/>
  <c r="Y9" i="21"/>
  <c r="AB9" i="21" s="1"/>
  <c r="Y59" i="21"/>
  <c r="AB59" i="21" s="1"/>
  <c r="X17" i="21"/>
  <c r="V17" i="21"/>
  <c r="Y27" i="21"/>
  <c r="AB27" i="21" s="1"/>
  <c r="Y28" i="21"/>
  <c r="AB28" i="21" s="1"/>
  <c r="Y34" i="21"/>
  <c r="AB34" i="21" s="1"/>
  <c r="AI33" i="21"/>
  <c r="AE33" i="21"/>
  <c r="AF33" i="21"/>
  <c r="AJ33" i="21"/>
  <c r="AD33" i="21"/>
  <c r="AH33" i="21"/>
  <c r="AF27" i="21"/>
  <c r="AJ27" i="21"/>
  <c r="AE27" i="21"/>
  <c r="AI27" i="21"/>
  <c r="AD27" i="21"/>
  <c r="AH27" i="21"/>
  <c r="AI30" i="21"/>
  <c r="AD30" i="21"/>
  <c r="AF30" i="21"/>
  <c r="AE30" i="21"/>
  <c r="AJ30" i="21"/>
  <c r="AH30" i="21"/>
  <c r="AH25" i="21"/>
  <c r="AF25" i="21"/>
  <c r="AJ25" i="21"/>
  <c r="AE25" i="21"/>
  <c r="AI25" i="21"/>
  <c r="AD25" i="21"/>
  <c r="AI35" i="21"/>
  <c r="AE35" i="21"/>
  <c r="AJ35" i="21"/>
  <c r="AD35" i="21"/>
  <c r="AH35" i="21"/>
  <c r="AF35" i="21"/>
  <c r="Y52" i="21"/>
  <c r="AB52" i="21" s="1"/>
  <c r="Y13" i="21"/>
  <c r="AB13" i="21" s="1"/>
  <c r="Z39" i="21"/>
  <c r="AA39" i="21"/>
  <c r="Y29" i="21"/>
  <c r="AB29" i="21" s="1"/>
  <c r="Y7" i="21"/>
  <c r="AB7" i="21" s="1"/>
  <c r="Y6" i="21"/>
  <c r="T17" i="21"/>
  <c r="AA17" i="21"/>
  <c r="Y33" i="21"/>
  <c r="AB33" i="21" s="1"/>
  <c r="X60" i="21"/>
  <c r="X63" i="21" s="1"/>
  <c r="AF34" i="21"/>
  <c r="AH34" i="21"/>
  <c r="AE34" i="21"/>
  <c r="AJ34" i="21"/>
  <c r="AD34" i="21"/>
  <c r="AI34" i="21"/>
  <c r="AJ29" i="21"/>
  <c r="AE29" i="21"/>
  <c r="AI29" i="21"/>
  <c r="AD29" i="21"/>
  <c r="AH29" i="21"/>
  <c r="AF29" i="21"/>
  <c r="X44" i="21"/>
  <c r="X45" i="21"/>
  <c r="U60" i="21"/>
  <c r="Z17" i="21"/>
  <c r="Y54" i="21"/>
  <c r="AB54" i="21" s="1"/>
  <c r="T60" i="21"/>
  <c r="Y51" i="21"/>
  <c r="AB51" i="21" s="1"/>
  <c r="AY33" i="1"/>
  <c r="AU25" i="1"/>
  <c r="AU30" i="1"/>
  <c r="AT31" i="1"/>
  <c r="AX33" i="1"/>
  <c r="AT28" i="1"/>
  <c r="AS31" i="1"/>
  <c r="AW31" i="1"/>
  <c r="AW25" i="1"/>
  <c r="AU33" i="1"/>
  <c r="AT33" i="1"/>
  <c r="AW30" i="1"/>
  <c r="AU29" i="1"/>
  <c r="AY26" i="1"/>
  <c r="AU34" i="1"/>
  <c r="AS28" i="1"/>
  <c r="AU31" i="1"/>
  <c r="AS33" i="1"/>
  <c r="AW33" i="1"/>
  <c r="AT25" i="1"/>
  <c r="AT30" i="1"/>
  <c r="AY30" i="1"/>
  <c r="AY31" i="1"/>
  <c r="AY34" i="1"/>
  <c r="AX30" i="1"/>
  <c r="AY25" i="1"/>
  <c r="AX25" i="1"/>
  <c r="AS30" i="1"/>
  <c r="AX34" i="1"/>
  <c r="AS25" i="1"/>
  <c r="AW28" i="1"/>
  <c r="AX26" i="1"/>
  <c r="AS32" i="1"/>
  <c r="AT27" i="1"/>
  <c r="AX31" i="1"/>
  <c r="AW32" i="1"/>
  <c r="AX29" i="1"/>
  <c r="AY27" i="1"/>
  <c r="AX27" i="1"/>
  <c r="AT35" i="1"/>
  <c r="AT32" i="1"/>
  <c r="AW34" i="1"/>
  <c r="AX28" i="1"/>
  <c r="AU28" i="1"/>
  <c r="AS29" i="1"/>
  <c r="AS27" i="1"/>
  <c r="AU26" i="1"/>
  <c r="AW27" i="1"/>
  <c r="AS35" i="1"/>
  <c r="AT34" i="1"/>
  <c r="AS34" i="1"/>
  <c r="AY28" i="1"/>
  <c r="AW29" i="1"/>
  <c r="AY32" i="1"/>
  <c r="AU35" i="1"/>
  <c r="AY35" i="1"/>
  <c r="AW26" i="1"/>
  <c r="AU27" i="1"/>
  <c r="AT29" i="1"/>
  <c r="AX32" i="1"/>
  <c r="AU32" i="1"/>
  <c r="AX35" i="1"/>
  <c r="AT26" i="1"/>
  <c r="AS26" i="1"/>
  <c r="AY29" i="1"/>
  <c r="AW35" i="1"/>
  <c r="AC39" i="1"/>
  <c r="AF39" i="1" s="1"/>
  <c r="AB39" i="1"/>
  <c r="AE39" i="1" s="1"/>
  <c r="I4" i="19"/>
  <c r="I16" i="19"/>
  <c r="Y60" i="1"/>
  <c r="X60" i="1"/>
  <c r="AK29" i="21" l="1"/>
  <c r="AK35" i="21"/>
  <c r="AG33" i="21"/>
  <c r="AG29" i="21"/>
  <c r="AG35" i="21"/>
  <c r="AK27" i="21"/>
  <c r="AK26" i="21"/>
  <c r="AG28" i="21"/>
  <c r="AJ39" i="21"/>
  <c r="Y60" i="21"/>
  <c r="AB49" i="21"/>
  <c r="AB60" i="21" s="1"/>
  <c r="V45" i="21"/>
  <c r="V44" i="21"/>
  <c r="V63" i="21"/>
  <c r="AK34" i="21"/>
  <c r="AD39" i="21"/>
  <c r="AG25" i="21"/>
  <c r="AF39" i="21"/>
  <c r="U63" i="21"/>
  <c r="U45" i="21"/>
  <c r="U44" i="21"/>
  <c r="AK32" i="21"/>
  <c r="AG34" i="21"/>
  <c r="AA63" i="21"/>
  <c r="AA45" i="21"/>
  <c r="AA44" i="21"/>
  <c r="AI39" i="21"/>
  <c r="AH39" i="21"/>
  <c r="AK25" i="21"/>
  <c r="AG27" i="21"/>
  <c r="AM27" i="21" s="1"/>
  <c r="T44" i="21"/>
  <c r="T63" i="21"/>
  <c r="T45" i="21"/>
  <c r="AG26" i="21"/>
  <c r="W44" i="21"/>
  <c r="W45" i="21"/>
  <c r="W63" i="21"/>
  <c r="AB6" i="21"/>
  <c r="AB17" i="21" s="1"/>
  <c r="Y17" i="21"/>
  <c r="Z45" i="21"/>
  <c r="Z44" i="21"/>
  <c r="Z63" i="21"/>
  <c r="AE39" i="21"/>
  <c r="AK30" i="21"/>
  <c r="AG30" i="21"/>
  <c r="AK33" i="21"/>
  <c r="AB25" i="21"/>
  <c r="AB39" i="21" s="1"/>
  <c r="AB63" i="21" s="1"/>
  <c r="Y39" i="21"/>
  <c r="AK28" i="21"/>
  <c r="AG32" i="21"/>
  <c r="H18" i="21"/>
  <c r="I6" i="19"/>
  <c r="I8" i="19"/>
  <c r="I14" i="19"/>
  <c r="I5" i="19"/>
  <c r="I11" i="19"/>
  <c r="I9" i="19"/>
  <c r="I12" i="19"/>
  <c r="I15" i="19"/>
  <c r="I13" i="19"/>
  <c r="I10" i="19"/>
  <c r="I7" i="19"/>
  <c r="H17" i="19"/>
  <c r="AM35" i="21" l="1"/>
  <c r="AN35" i="21" s="1"/>
  <c r="Y63" i="21"/>
  <c r="AM29" i="21"/>
  <c r="AN29" i="21" s="1"/>
  <c r="AM33" i="21"/>
  <c r="AN33" i="21" s="1"/>
  <c r="AM26" i="21"/>
  <c r="AN26" i="21" s="1"/>
  <c r="AM28" i="21"/>
  <c r="AN28" i="21" s="1"/>
  <c r="AM34" i="21"/>
  <c r="AN34" i="21" s="1"/>
  <c r="Y45" i="21"/>
  <c r="AB45" i="21" s="1"/>
  <c r="AK39" i="21"/>
  <c r="AM25" i="21"/>
  <c r="AN25" i="21" s="1"/>
  <c r="AM32" i="21"/>
  <c r="AN32" i="21" s="1"/>
  <c r="AM30" i="21"/>
  <c r="AN30" i="21" s="1"/>
  <c r="AG39" i="21"/>
  <c r="Y44" i="21"/>
  <c r="AB44" i="21" s="1"/>
  <c r="H63" i="21"/>
  <c r="H43" i="21"/>
  <c r="G63" i="21"/>
  <c r="G43" i="21"/>
  <c r="AN27" i="21"/>
  <c r="AN31" i="21"/>
  <c r="G17" i="19"/>
  <c r="I17" i="19" s="1"/>
  <c r="AG41" i="21" l="1"/>
  <c r="AM39" i="21"/>
  <c r="AN39" i="21" s="1"/>
  <c r="AK41" i="21"/>
  <c r="T28" i="18"/>
  <c r="T27" i="18"/>
  <c r="T26" i="18"/>
  <c r="T25" i="18"/>
  <c r="T24" i="18"/>
  <c r="T23" i="18"/>
  <c r="T22" i="18"/>
  <c r="T21" i="18"/>
  <c r="T20" i="18"/>
  <c r="T19" i="18"/>
  <c r="T18" i="18"/>
  <c r="T17" i="18"/>
  <c r="D60" i="1" l="1"/>
  <c r="G60" i="1" s="1"/>
  <c r="D39" i="1"/>
  <c r="G39" i="1" s="1"/>
  <c r="E17" i="1"/>
  <c r="H17" i="1" s="1"/>
  <c r="D17" i="1"/>
  <c r="G17" i="1" s="1"/>
  <c r="AN58" i="1"/>
  <c r="AQ58" i="1" s="1"/>
  <c r="AN16" i="1"/>
  <c r="AQ16" i="1" s="1"/>
  <c r="AN6" i="1"/>
  <c r="AQ6" i="1" s="1"/>
  <c r="AN15" i="1"/>
  <c r="AQ15" i="1" s="1"/>
  <c r="E60" i="1"/>
  <c r="H60" i="1" s="1"/>
  <c r="E39" i="1"/>
  <c r="H39" i="1" s="1"/>
  <c r="D43" i="1" l="1"/>
  <c r="D63" i="1"/>
  <c r="AN53" i="1"/>
  <c r="AQ53" i="1" s="1"/>
  <c r="AN14" i="1"/>
  <c r="AQ14" i="1" s="1"/>
  <c r="AZ29" i="1"/>
  <c r="AN51" i="1"/>
  <c r="AQ51" i="1" s="1"/>
  <c r="AM17" i="1"/>
  <c r="AN56" i="1"/>
  <c r="AQ56" i="1" s="1"/>
  <c r="AN12" i="1"/>
  <c r="AQ12" i="1" s="1"/>
  <c r="AN54" i="1"/>
  <c r="AQ54" i="1" s="1"/>
  <c r="AN55" i="1"/>
  <c r="AQ55" i="1" s="1"/>
  <c r="AN11" i="1"/>
  <c r="AQ11" i="1" s="1"/>
  <c r="AZ33" i="1"/>
  <c r="AI17" i="1"/>
  <c r="AV33" i="1"/>
  <c r="AV29" i="1"/>
  <c r="AJ17" i="1"/>
  <c r="AP17" i="1"/>
  <c r="AC60" i="1"/>
  <c r="AF60" i="1" s="1"/>
  <c r="AN9" i="1"/>
  <c r="AQ9" i="1" s="1"/>
  <c r="AN29" i="1"/>
  <c r="AQ29" i="1" s="1"/>
  <c r="AO17" i="1"/>
  <c r="AM60" i="1"/>
  <c r="AI39" i="1"/>
  <c r="AK17" i="1"/>
  <c r="AN32" i="1"/>
  <c r="AQ32" i="1" s="1"/>
  <c r="AK60" i="1"/>
  <c r="AN38" i="1"/>
  <c r="AQ38" i="1" s="1"/>
  <c r="AN36" i="1"/>
  <c r="AQ36" i="1" s="1"/>
  <c r="AN28" i="1"/>
  <c r="AQ28" i="1" s="1"/>
  <c r="AN25" i="1"/>
  <c r="AQ25" i="1" s="1"/>
  <c r="AM39" i="1"/>
  <c r="AN13" i="1"/>
  <c r="AQ13" i="1" s="1"/>
  <c r="AC17" i="1"/>
  <c r="AF17" i="1" s="1"/>
  <c r="AN7" i="1"/>
  <c r="AQ7" i="1" s="1"/>
  <c r="AV25" i="1"/>
  <c r="AB60" i="1"/>
  <c r="AE60" i="1" s="1"/>
  <c r="AZ31" i="1"/>
  <c r="AN30" i="1"/>
  <c r="AQ30" i="1" s="1"/>
  <c r="AL17" i="1"/>
  <c r="AN59" i="1"/>
  <c r="AQ59" i="1" s="1"/>
  <c r="AN57" i="1"/>
  <c r="AQ57" i="1" s="1"/>
  <c r="AJ60" i="1"/>
  <c r="AO39" i="1"/>
  <c r="AO45" i="1" s="1"/>
  <c r="AN35" i="1"/>
  <c r="AQ35" i="1" s="1"/>
  <c r="AZ36" i="1"/>
  <c r="AN10" i="1"/>
  <c r="AQ10" i="1" s="1"/>
  <c r="AZ25" i="1"/>
  <c r="AI60" i="1"/>
  <c r="AN49" i="1"/>
  <c r="AN37" i="1"/>
  <c r="AQ37" i="1" s="1"/>
  <c r="AN33" i="1"/>
  <c r="AQ33" i="1" s="1"/>
  <c r="AN50" i="1"/>
  <c r="AQ50" i="1" s="1"/>
  <c r="AK39" i="1"/>
  <c r="AK45" i="1" s="1"/>
  <c r="AN31" i="1"/>
  <c r="AQ31" i="1" s="1"/>
  <c r="AV36" i="1"/>
  <c r="AN8" i="1"/>
  <c r="AO60" i="1"/>
  <c r="E43" i="1"/>
  <c r="E63" i="1"/>
  <c r="AN34" i="1"/>
  <c r="AQ34" i="1" s="1"/>
  <c r="AN26" i="1"/>
  <c r="AQ26" i="1" s="1"/>
  <c r="AL39" i="1"/>
  <c r="AL45" i="1" s="1"/>
  <c r="AN27" i="1"/>
  <c r="AQ27" i="1" s="1"/>
  <c r="AZ28" i="1"/>
  <c r="AZ38" i="1"/>
  <c r="AN52" i="1"/>
  <c r="AQ52" i="1" s="1"/>
  <c r="AP60" i="1"/>
  <c r="AB17" i="1"/>
  <c r="AE17" i="1" s="1"/>
  <c r="AJ39" i="1"/>
  <c r="AJ45" i="1" s="1"/>
  <c r="AV31" i="1"/>
  <c r="AP39" i="1"/>
  <c r="AP45" i="1" s="1"/>
  <c r="AV30" i="1"/>
  <c r="AZ30" i="1"/>
  <c r="AV28" i="1"/>
  <c r="AV38" i="1"/>
  <c r="AL60" i="1"/>
  <c r="AM45" i="1" l="1"/>
  <c r="AM44" i="1"/>
  <c r="AI44" i="1"/>
  <c r="AI45" i="1"/>
  <c r="AZ37" i="1"/>
  <c r="AV37" i="1"/>
  <c r="AV27" i="1"/>
  <c r="BB33" i="1"/>
  <c r="BC33" i="1" s="1"/>
  <c r="BB29" i="1"/>
  <c r="BC29" i="1" s="1"/>
  <c r="AZ27" i="1"/>
  <c r="AX39" i="1"/>
  <c r="AZ26" i="1"/>
  <c r="AT39" i="1"/>
  <c r="AM63" i="1"/>
  <c r="AZ35" i="1"/>
  <c r="AU39" i="1"/>
  <c r="AI63" i="1"/>
  <c r="AY39" i="1"/>
  <c r="AL44" i="1"/>
  <c r="AL63" i="1"/>
  <c r="AN60" i="1"/>
  <c r="AQ49" i="1"/>
  <c r="AQ60" i="1" s="1"/>
  <c r="AZ34" i="1"/>
  <c r="AC63" i="1"/>
  <c r="AC43" i="1"/>
  <c r="AQ8" i="1"/>
  <c r="AQ17" i="1" s="1"/>
  <c r="AN17" i="1"/>
  <c r="AK44" i="1"/>
  <c r="AK63" i="1"/>
  <c r="AV26" i="1"/>
  <c r="AZ32" i="1"/>
  <c r="AW39" i="1"/>
  <c r="BB31" i="1"/>
  <c r="BC31" i="1" s="1"/>
  <c r="AN39" i="1"/>
  <c r="AP44" i="1"/>
  <c r="AP63" i="1"/>
  <c r="AB63" i="1"/>
  <c r="AB43" i="1"/>
  <c r="BB25" i="1"/>
  <c r="BC25" i="1" s="1"/>
  <c r="AO63" i="1"/>
  <c r="AO44" i="1"/>
  <c r="BB30" i="1"/>
  <c r="BC30" i="1" s="1"/>
  <c r="BB38" i="1"/>
  <c r="BC38" i="1" s="1"/>
  <c r="BB28" i="1"/>
  <c r="BC28" i="1" s="1"/>
  <c r="AV35" i="1"/>
  <c r="BB36" i="1"/>
  <c r="AQ39" i="1"/>
  <c r="AJ63" i="1"/>
  <c r="AJ44" i="1"/>
  <c r="AV32" i="1"/>
  <c r="AV34" i="1"/>
  <c r="AS39" i="1"/>
  <c r="AN45" i="1" l="1"/>
  <c r="AQ45" i="1" s="1"/>
  <c r="AN44" i="1"/>
  <c r="AQ44" i="1" s="1"/>
  <c r="BB37" i="1"/>
  <c r="BB27" i="1"/>
  <c r="BC27" i="1" s="1"/>
  <c r="AQ63" i="1"/>
  <c r="BB35" i="1"/>
  <c r="BC35" i="1" s="1"/>
  <c r="AZ39" i="1"/>
  <c r="AV39" i="1"/>
  <c r="AN63" i="1"/>
  <c r="BB26" i="1"/>
  <c r="BC26" i="1" s="1"/>
  <c r="BB32" i="1"/>
  <c r="BC32" i="1" s="1"/>
  <c r="G63" i="1"/>
  <c r="AF43" i="1"/>
  <c r="AF63" i="1"/>
  <c r="H63" i="1"/>
  <c r="AE43" i="1"/>
  <c r="AE63" i="1"/>
  <c r="BB34" i="1"/>
  <c r="BC34" i="1" s="1"/>
  <c r="H43" i="1" l="1"/>
  <c r="G43" i="1"/>
  <c r="H18" i="1"/>
  <c r="AV41" i="1"/>
  <c r="AZ41" i="1"/>
  <c r="BB39" i="1"/>
  <c r="BC39" i="1" s="1"/>
</calcChain>
</file>

<file path=xl/sharedStrings.xml><?xml version="1.0" encoding="utf-8"?>
<sst xmlns="http://schemas.openxmlformats.org/spreadsheetml/2006/main" count="9532" uniqueCount="481">
  <si>
    <t>Oct'16</t>
  </si>
  <si>
    <t>Resolved</t>
  </si>
  <si>
    <t>unresolved (from August)</t>
  </si>
  <si>
    <t>unresolved (from October)</t>
  </si>
  <si>
    <t>Added (from 150-180days)</t>
  </si>
  <si>
    <t>Nov'16</t>
  </si>
  <si>
    <t>Supplier Region</t>
  </si>
  <si>
    <t>Invoices</t>
  </si>
  <si>
    <t>Amount</t>
  </si>
  <si>
    <t>DISAGREEMENT</t>
  </si>
  <si>
    <t>Hold Payment</t>
  </si>
  <si>
    <t>Missing Info/ Attach</t>
  </si>
  <si>
    <t>Grand Total</t>
  </si>
  <si>
    <t>6/7</t>
  </si>
  <si>
    <t>CENTRAL EUROPE</t>
  </si>
  <si>
    <t>INDIA</t>
  </si>
  <si>
    <t>INDIA (APAC)</t>
  </si>
  <si>
    <t>UK &amp; IRELAND</t>
  </si>
  <si>
    <t>HOLDING</t>
  </si>
  <si>
    <t>NORDIC</t>
  </si>
  <si>
    <t>NORTH AMERICA</t>
  </si>
  <si>
    <t>FRANCE</t>
  </si>
  <si>
    <t>BENELUX</t>
  </si>
  <si>
    <t>IBERIA</t>
  </si>
  <si>
    <t>ITALY</t>
  </si>
  <si>
    <t>CPM- BR</t>
  </si>
  <si>
    <t>LATAM</t>
  </si>
  <si>
    <t>Group Clearing Rule : Supplier Pays</t>
  </si>
  <si>
    <t>Group Clearing Rule : Client Pays</t>
  </si>
  <si>
    <t>Supplier SBU</t>
  </si>
  <si>
    <t>Supplier 100%</t>
  </si>
  <si>
    <t>50% / 50%</t>
  </si>
  <si>
    <t>Client 75% / Supplier 25%</t>
  </si>
  <si>
    <t>Client 100%</t>
  </si>
  <si>
    <t>[A]</t>
  </si>
  <si>
    <t>[B]</t>
  </si>
  <si>
    <t>[A+B]</t>
  </si>
  <si>
    <t>04. INFRA</t>
  </si>
  <si>
    <t>Infra</t>
  </si>
  <si>
    <t>02. APPSTWO</t>
  </si>
  <si>
    <t>AppsTwo</t>
  </si>
  <si>
    <t>01. APPSONE</t>
  </si>
  <si>
    <t>AppsOne</t>
  </si>
  <si>
    <t>03. CC</t>
  </si>
  <si>
    <t>CC</t>
  </si>
  <si>
    <t>07. GROUP</t>
  </si>
  <si>
    <t>Group</t>
  </si>
  <si>
    <t>05. BUSINESS SERVICES</t>
  </si>
  <si>
    <t>Business Services</t>
  </si>
  <si>
    <t>14. DIGITAL</t>
  </si>
  <si>
    <t>Digital</t>
  </si>
  <si>
    <t>Sogeti</t>
  </si>
  <si>
    <t>11. FS</t>
  </si>
  <si>
    <t>FS</t>
  </si>
  <si>
    <t>10. IND</t>
  </si>
  <si>
    <t>Insight &amp; Data</t>
  </si>
  <si>
    <t>08. SHARED SERVICES</t>
  </si>
  <si>
    <t>Shared Services</t>
  </si>
  <si>
    <t>06. SOGETI</t>
  </si>
  <si>
    <t>12. iGATE</t>
  </si>
  <si>
    <t>iGATE</t>
  </si>
  <si>
    <t>16. TESTING</t>
  </si>
  <si>
    <t>TESTING</t>
  </si>
  <si>
    <t>09. LATAM</t>
  </si>
  <si>
    <t>Latam</t>
  </si>
  <si>
    <t>Group Clearing Rule</t>
  </si>
  <si>
    <t>Supplier</t>
  </si>
  <si>
    <t>Client Region</t>
  </si>
  <si>
    <t>Status</t>
  </si>
  <si>
    <t>Status2</t>
  </si>
  <si>
    <t>Supplier Code</t>
  </si>
  <si>
    <t>Supplier Name</t>
  </si>
  <si>
    <t>Supplier Region Code</t>
  </si>
  <si>
    <t>Supplier Region Name</t>
  </si>
  <si>
    <t>Client Code</t>
  </si>
  <si>
    <t>Client Name</t>
  </si>
  <si>
    <t>Client Region Code</t>
  </si>
  <si>
    <t>Client Region Name</t>
  </si>
  <si>
    <t>Local Invoice Number</t>
  </si>
  <si>
    <t>Supplier BU</t>
  </si>
  <si>
    <t>Client SBU</t>
  </si>
  <si>
    <t>Creation Date_Final</t>
  </si>
  <si>
    <t>DT_Source</t>
  </si>
  <si>
    <t>Major Category</t>
  </si>
  <si>
    <t>Dispute Date_Final</t>
  </si>
  <si>
    <t>Period</t>
  </si>
  <si>
    <t>Invoice Age</t>
  </si>
  <si>
    <t>Aging Bucket</t>
  </si>
  <si>
    <t>Currency Amount</t>
  </si>
  <si>
    <t>Currency</t>
  </si>
  <si>
    <t>Intra/inter</t>
  </si>
  <si>
    <t>Keuro</t>
  </si>
  <si>
    <t>Number</t>
  </si>
  <si>
    <t>DT_Code</t>
  </si>
  <si>
    <t>Supplier Pays Amount</t>
  </si>
  <si>
    <t>Client Pays Amount</t>
  </si>
  <si>
    <t>Added</t>
  </si>
  <si>
    <t>Capgemini Mexico S. de R.L. de C.V.</t>
  </si>
  <si>
    <t>1.No signed SoW</t>
  </si>
  <si>
    <t>181 - 365 Days</t>
  </si>
  <si>
    <t>EUR</t>
  </si>
  <si>
    <t>INTER</t>
  </si>
  <si>
    <t>Unresolved</t>
  </si>
  <si>
    <t>Unresolved (Oct)</t>
  </si>
  <si>
    <t>2.Disagreed rates or price</t>
  </si>
  <si>
    <t>INTRA</t>
  </si>
  <si>
    <t>Sogeti USA LLC</t>
  </si>
  <si>
    <t>Sogeti High Tech S.A.S.</t>
  </si>
  <si>
    <t>Sogeti France S.A.S.</t>
  </si>
  <si>
    <t>8.Invoice awaiting Prime’s approval or PO</t>
  </si>
  <si>
    <t>Capgemini Service S.A.S.</t>
  </si>
  <si>
    <t>85201130003085CR</t>
  </si>
  <si>
    <t>Capgemini Polska Sp z.o.o</t>
  </si>
  <si>
    <t>Capgemini Belgium N.V./S.A.</t>
  </si>
  <si>
    <t>Capgemini UK Plc</t>
  </si>
  <si>
    <t>Capgemini Sverige AB</t>
  </si>
  <si>
    <t>GBP</t>
  </si>
  <si>
    <t>6.Missing or wrong information on invoice</t>
  </si>
  <si>
    <t>Missing Information or Attachment</t>
  </si>
  <si>
    <t>INR</t>
  </si>
  <si>
    <t>Capgemini Australia Pty Ltd.</t>
  </si>
  <si>
    <t>3.Disagreed days, volume or deliverables</t>
  </si>
  <si>
    <t>4.Disagreed expenses</t>
  </si>
  <si>
    <t>Capgemini Norge AS</t>
  </si>
  <si>
    <t>Capgemini America Inc</t>
  </si>
  <si>
    <t>Capgemini Deutschland GmbH</t>
  </si>
  <si>
    <t>7.Missing attachments</t>
  </si>
  <si>
    <t>Capgemini America Inc. (FS)</t>
  </si>
  <si>
    <t>USD</t>
  </si>
  <si>
    <t>Capgemini Financial Services UK Ltd. - South Africa Branch</t>
  </si>
  <si>
    <t>ZAR</t>
  </si>
  <si>
    <t>Unresolved (Aug)</t>
  </si>
  <si>
    <t>FS-Others</t>
  </si>
  <si>
    <t>8</t>
  </si>
  <si>
    <t>2</t>
  </si>
  <si>
    <t>1</t>
  </si>
  <si>
    <t>GROUP SHARED SERVICES</t>
  </si>
  <si>
    <t>I and D India ACIS</t>
  </si>
  <si>
    <t>3</t>
  </si>
  <si>
    <t>NA PBS</t>
  </si>
  <si>
    <t>4</t>
  </si>
  <si>
    <t>Apps UK AM</t>
  </si>
  <si>
    <t>MCOS</t>
  </si>
  <si>
    <t>IGATE Global Solutions Limited</t>
  </si>
  <si>
    <t>SEK</t>
  </si>
  <si>
    <t>NA Insurance</t>
  </si>
  <si>
    <t>BFS</t>
  </si>
  <si>
    <t>Row Labels</t>
  </si>
  <si>
    <t>Sum of Number</t>
  </si>
  <si>
    <t>Values</t>
  </si>
  <si>
    <t>Sum of Keuro</t>
  </si>
  <si>
    <t>Count</t>
  </si>
  <si>
    <t>NOV'16</t>
  </si>
  <si>
    <t>OCT'16</t>
  </si>
  <si>
    <t>Comment</t>
  </si>
  <si>
    <t>Cleared all disputes from previous month</t>
  </si>
  <si>
    <t>Need to action on reducing, 18 disputes from previous month</t>
  </si>
  <si>
    <t>Good job here on clearing most disputes</t>
  </si>
  <si>
    <t>Absolute Mom Trend</t>
  </si>
  <si>
    <t>35% of total disputes from here, need action as most are high value dispute</t>
  </si>
  <si>
    <t xml:space="preserve">One old incident from July over </t>
  </si>
  <si>
    <t>Over 0.07M old incidents; before august, need to resolve immediately</t>
  </si>
  <si>
    <t>Over 0.04M old incidents; before august, need to resolve immediately</t>
  </si>
  <si>
    <t>Not Material</t>
  </si>
  <si>
    <t>One old incident from Sept</t>
  </si>
  <si>
    <t>IGATE Global Solutions Switzerland</t>
  </si>
  <si>
    <t>Capgemini Switzerland (Outsourcing Services)</t>
  </si>
  <si>
    <t>3400003198/16-17</t>
  </si>
  <si>
    <t>CHF</t>
  </si>
  <si>
    <t>3400002844/15-16</t>
  </si>
  <si>
    <t>3400003492/16-17</t>
  </si>
  <si>
    <t>3400003687/16-17</t>
  </si>
  <si>
    <t>Unresolved (Nov)</t>
  </si>
  <si>
    <t>Capgemini Services Romania s.r.l.</t>
  </si>
  <si>
    <t>Capgemini Outsourcing Services S.A.S.</t>
  </si>
  <si>
    <t xml:space="preserve">Infra Central Europe </t>
  </si>
  <si>
    <t>Enabling</t>
  </si>
  <si>
    <t>India Service</t>
  </si>
  <si>
    <t>Capgemini Saudi Ltd.</t>
  </si>
  <si>
    <t>5010081353/16-17</t>
  </si>
  <si>
    <t>IGATE Global Solutions Sweden</t>
  </si>
  <si>
    <t>Sogeti Sverige AB</t>
  </si>
  <si>
    <t>5400000891/16-17</t>
  </si>
  <si>
    <t>unresolved (from November)</t>
  </si>
  <si>
    <t>Client</t>
  </si>
  <si>
    <t>K Euro</t>
  </si>
  <si>
    <t>Capgemini Technology Services India Limited</t>
  </si>
  <si>
    <t>Capgemini Technology Services</t>
  </si>
  <si>
    <t>Capgemini Nederland B.V.</t>
  </si>
  <si>
    <t>Capgemini Technologies LLC</t>
  </si>
  <si>
    <t>Capgemini Consulting S.A.S.</t>
  </si>
  <si>
    <t>Capgemini Canada Inc</t>
  </si>
  <si>
    <t>85202110001194A</t>
  </si>
  <si>
    <t>85202010000655A</t>
  </si>
  <si>
    <t>85201110009121A</t>
  </si>
  <si>
    <t>85201110009363A</t>
  </si>
  <si>
    <t>85201110009686A</t>
  </si>
  <si>
    <t>Withholding Tax_M</t>
  </si>
  <si>
    <t xml:space="preserve">Sogeti France </t>
  </si>
  <si>
    <t>India Users Run Services</t>
  </si>
  <si>
    <t>ID Shared Services</t>
  </si>
  <si>
    <t>APPS1 OFFSHORE CENTRAL</t>
  </si>
  <si>
    <t>CC SWEDEN - CCNOSE - BU</t>
  </si>
  <si>
    <t>NA SHARED SVCS</t>
  </si>
  <si>
    <t>NA CAPTECH</t>
  </si>
  <si>
    <t>Q1 2016</t>
  </si>
  <si>
    <t>Q3 2016</t>
  </si>
  <si>
    <t>Q2 2016</t>
  </si>
  <si>
    <t>5.Invoice issued too late</t>
  </si>
  <si>
    <t>PLN</t>
  </si>
  <si>
    <t>Unresolved (Dec)</t>
  </si>
  <si>
    <t>unresolved (from December)</t>
  </si>
  <si>
    <t>5</t>
  </si>
  <si>
    <t>Capgemini Gouvieux S.A.S.</t>
  </si>
  <si>
    <t>INV 2015000305</t>
  </si>
  <si>
    <t>831016FIS01251</t>
  </si>
  <si>
    <t>831016FIS01250</t>
  </si>
  <si>
    <t>Apps COE Digital</t>
  </si>
  <si>
    <t>Apps_NL_MU_TTT</t>
  </si>
  <si>
    <t xml:space="preserve">Sogeti HTC  </t>
  </si>
  <si>
    <t>DE01 - CC Market Units</t>
  </si>
  <si>
    <t>India Data Run Services</t>
  </si>
  <si>
    <t>#N/A</t>
  </si>
  <si>
    <t>Unresolved (Jan)</t>
  </si>
  <si>
    <t>unresolved (from January)</t>
  </si>
  <si>
    <t xml:space="preserve">Infra France </t>
  </si>
  <si>
    <t>950110009234..</t>
  </si>
  <si>
    <t>950110009235..</t>
  </si>
  <si>
    <t>Sogeti UK Ltd.</t>
  </si>
  <si>
    <t>IGATE Information Services (UK) Limited</t>
  </si>
  <si>
    <t>XSUK.16.09.240</t>
  </si>
  <si>
    <t>Sogeti Nederland B.V.</t>
  </si>
  <si>
    <t>Capgemini Consulting Österreich AG</t>
  </si>
  <si>
    <t>831015FIS01576</t>
  </si>
  <si>
    <t>831015FIS01657</t>
  </si>
  <si>
    <t>831015FIS01829</t>
  </si>
  <si>
    <t>831015FIS00087</t>
  </si>
  <si>
    <t>831016FIS00117</t>
  </si>
  <si>
    <t>831016FIS00249</t>
  </si>
  <si>
    <t>831016FBP01771</t>
  </si>
  <si>
    <t>831015FBP01250_8104</t>
  </si>
  <si>
    <t>831016FIS00473</t>
  </si>
  <si>
    <t>831016FIS01046</t>
  </si>
  <si>
    <t>Capgemini Japan K.K.</t>
  </si>
  <si>
    <t>9020110001550A</t>
  </si>
  <si>
    <t>19600510058369A</t>
  </si>
  <si>
    <t xml:space="preserve"> CC FR </t>
  </si>
  <si>
    <t>GROUP SHARED SERVICES - SBU</t>
  </si>
  <si>
    <t xml:space="preserve">Sogeti UK Conso </t>
  </si>
  <si>
    <t>APAC Platform</t>
  </si>
  <si>
    <t>BPO POLAND - BPOPL- BU</t>
  </si>
  <si>
    <t>Japan</t>
  </si>
  <si>
    <t>Above 365 Days</t>
  </si>
  <si>
    <t>Unresolved (Feb)</t>
  </si>
  <si>
    <t>unresolved (from February)</t>
  </si>
  <si>
    <t>Need to clear these new Unresolved (Jan) disputes</t>
  </si>
  <si>
    <t>Supplier Pay</t>
  </si>
  <si>
    <t>Client Pay</t>
  </si>
  <si>
    <t>APR'17</t>
  </si>
  <si>
    <t>831016FIS01426</t>
  </si>
  <si>
    <t>INFRA US</t>
  </si>
  <si>
    <t>Q4 2016</t>
  </si>
  <si>
    <t>Unresolved (Mar)</t>
  </si>
  <si>
    <t>unresolved (from March)</t>
  </si>
  <si>
    <t xml:space="preserve">Unresolved </t>
  </si>
  <si>
    <t>CC_CCFR_Credit Nord - IFRS</t>
  </si>
  <si>
    <t xml:space="preserve">Sogeti Netherlands </t>
  </si>
  <si>
    <t>Sogeti Corporate Services S.A.S.</t>
  </si>
  <si>
    <t>Capgemini North America Inc</t>
  </si>
  <si>
    <t>HQ</t>
  </si>
  <si>
    <t>Global Sales</t>
  </si>
  <si>
    <t>MSA</t>
  </si>
  <si>
    <t>Capgemini France S.A.S.</t>
  </si>
  <si>
    <t>KBS</t>
  </si>
  <si>
    <t>CES MCOS</t>
  </si>
  <si>
    <t>CC NA</t>
  </si>
  <si>
    <t>NA EU</t>
  </si>
  <si>
    <t>Unresolved (Apr)</t>
  </si>
  <si>
    <t>unresolved (from April)</t>
  </si>
  <si>
    <t>May'17</t>
  </si>
  <si>
    <t>MAY'17</t>
  </si>
  <si>
    <t>Code 1 - No signed iSoW</t>
  </si>
  <si>
    <t>Code 2 - Disagreement on Rates or Price</t>
  </si>
  <si>
    <t>Code 3 - Disagreement on Days, Volume, or deliverables</t>
  </si>
  <si>
    <t>Code 4 - Disagreement on Expenses</t>
  </si>
  <si>
    <t>Code 5 - Invoice Issued too late</t>
  </si>
  <si>
    <t>Hold Payment - Awaiting Approval, PO or Pass-through iSOW</t>
  </si>
  <si>
    <t>Reminder of the Arbitration Clearing Rules for items &gt;180days:</t>
  </si>
  <si>
    <t>•</t>
  </si>
  <si>
    <t>No signed iSoW: Supplier takes a write off</t>
  </si>
  <si>
    <t>Disagreed rates, price or anything else: 50/50</t>
  </si>
  <si>
    <t>Invoice issued too late: Client Pays</t>
  </si>
  <si>
    <t>Missing or wrong information on invoice: 50/50</t>
  </si>
  <si>
    <t>Invoice awaiting prime approval or PO: Client pays 75%</t>
  </si>
  <si>
    <t>Multiple dispute codes: 50/50</t>
  </si>
  <si>
    <t>List of Worksheets</t>
  </si>
  <si>
    <t>Table of Contents</t>
  </si>
  <si>
    <t>MoM Absolute trend</t>
  </si>
  <si>
    <t>Summary_Short</t>
  </si>
  <si>
    <t>Summary</t>
  </si>
  <si>
    <t>Clearing Rules</t>
  </si>
  <si>
    <t>APPSONE</t>
  </si>
  <si>
    <t>APPSTWO</t>
  </si>
  <si>
    <t>BSv</t>
  </si>
  <si>
    <t>Shared Service</t>
  </si>
  <si>
    <t>Insights and Data</t>
  </si>
  <si>
    <t>DATA_CURRENT</t>
  </si>
  <si>
    <t>DATA_PRIOR</t>
  </si>
  <si>
    <t>iGate</t>
  </si>
  <si>
    <t>Sheet18</t>
  </si>
  <si>
    <t>Sheet6.</t>
  </si>
  <si>
    <t>SBU as a Supplier</t>
  </si>
  <si>
    <t>Region as a Supplier</t>
  </si>
  <si>
    <t>85200810000428</t>
  </si>
  <si>
    <t>85203010001172</t>
  </si>
  <si>
    <t>85200410039726</t>
  </si>
  <si>
    <t>85200410039727</t>
  </si>
  <si>
    <t>85200410039872</t>
  </si>
  <si>
    <t>85200410039873</t>
  </si>
  <si>
    <t>85200410039874</t>
  </si>
  <si>
    <t>85200410039875</t>
  </si>
  <si>
    <t>85200410039876</t>
  </si>
  <si>
    <t>85200410039877</t>
  </si>
  <si>
    <t>85200410039878</t>
  </si>
  <si>
    <t>85200410039879</t>
  </si>
  <si>
    <t>85200410039880</t>
  </si>
  <si>
    <t>85200410039881</t>
  </si>
  <si>
    <t>85200410039882</t>
  </si>
  <si>
    <t>85200410039883</t>
  </si>
  <si>
    <t>85200410040068</t>
  </si>
  <si>
    <t>85200410040069</t>
  </si>
  <si>
    <t>85200410040070</t>
  </si>
  <si>
    <t>85200410040071</t>
  </si>
  <si>
    <t>85200410040072</t>
  </si>
  <si>
    <t>85200410040073</t>
  </si>
  <si>
    <t>85200410040074</t>
  </si>
  <si>
    <t>85200410040075</t>
  </si>
  <si>
    <t>85200410040076</t>
  </si>
  <si>
    <t>85200810000413</t>
  </si>
  <si>
    <t>85203010001104</t>
  </si>
  <si>
    <t>85200330012979</t>
  </si>
  <si>
    <t>85200310079143</t>
  </si>
  <si>
    <t>85200310082069</t>
  </si>
  <si>
    <t>85200410038967</t>
  </si>
  <si>
    <t>85200410038968</t>
  </si>
  <si>
    <t>85200410038969</t>
  </si>
  <si>
    <t>85200410038970</t>
  </si>
  <si>
    <t>85200410038971</t>
  </si>
  <si>
    <t>85200410038972</t>
  </si>
  <si>
    <t>85200410038973</t>
  </si>
  <si>
    <t>85200410038974</t>
  </si>
  <si>
    <t>85200410038975</t>
  </si>
  <si>
    <t>85200410038977</t>
  </si>
  <si>
    <t>85200410038978</t>
  </si>
  <si>
    <t>85200410038979</t>
  </si>
  <si>
    <t>85200410038980</t>
  </si>
  <si>
    <t>85200410038182</t>
  </si>
  <si>
    <t>85200410038183</t>
  </si>
  <si>
    <t>85200410038185</t>
  </si>
  <si>
    <t>85200410038186</t>
  </si>
  <si>
    <t>85200330013613</t>
  </si>
  <si>
    <t>85200330013614</t>
  </si>
  <si>
    <t>85200330013615</t>
  </si>
  <si>
    <t>85200330013612</t>
  </si>
  <si>
    <t>85200310077649</t>
  </si>
  <si>
    <t>1320130002432</t>
  </si>
  <si>
    <t>1320130002426</t>
  </si>
  <si>
    <t>1320130002425</t>
  </si>
  <si>
    <t>85200310077672</t>
  </si>
  <si>
    <t>85200310078160</t>
  </si>
  <si>
    <t>199030003131</t>
  </si>
  <si>
    <t>1320130002422</t>
  </si>
  <si>
    <t>1320130002423</t>
  </si>
  <si>
    <t>1320130002424</t>
  </si>
  <si>
    <t>4130110158156</t>
  </si>
  <si>
    <t>4130110158423</t>
  </si>
  <si>
    <t>63503300004708</t>
  </si>
  <si>
    <t>85200310085043</t>
  </si>
  <si>
    <t>4200110022693</t>
  </si>
  <si>
    <t>82430160091290</t>
  </si>
  <si>
    <t>82430160091291</t>
  </si>
  <si>
    <t>69308300001418</t>
  </si>
  <si>
    <t>13500210092554</t>
  </si>
  <si>
    <t>1990110057418</t>
  </si>
  <si>
    <t>1990110057419</t>
  </si>
  <si>
    <t>1990110055559</t>
  </si>
  <si>
    <t>1990110055560</t>
  </si>
  <si>
    <t>1990110057492</t>
  </si>
  <si>
    <t>1990110055561</t>
  </si>
  <si>
    <t>69201111605674</t>
  </si>
  <si>
    <t>85200710012329</t>
  </si>
  <si>
    <t>85200910002072</t>
  </si>
  <si>
    <t>85200710012736</t>
  </si>
  <si>
    <t>85200710012477</t>
  </si>
  <si>
    <t>85203510000091</t>
  </si>
  <si>
    <t>1990110055177</t>
  </si>
  <si>
    <t>1990110055178</t>
  </si>
  <si>
    <t>199030003062</t>
  </si>
  <si>
    <t>85200710013074</t>
  </si>
  <si>
    <t>85200710012978</t>
  </si>
  <si>
    <t>85200710012386</t>
  </si>
  <si>
    <t>85200710012708</t>
  </si>
  <si>
    <t>85200710012569</t>
  </si>
  <si>
    <t>85200710011562</t>
  </si>
  <si>
    <t>30220110058151</t>
  </si>
  <si>
    <t>30140110136164</t>
  </si>
  <si>
    <t>30190110007798</t>
  </si>
  <si>
    <t>950110009338</t>
  </si>
  <si>
    <t>950110008726</t>
  </si>
  <si>
    <t>950110008727</t>
  </si>
  <si>
    <t>950110009795</t>
  </si>
  <si>
    <t>63503300004994</t>
  </si>
  <si>
    <t>260013008109</t>
  </si>
  <si>
    <t>260013008121</t>
  </si>
  <si>
    <t>260013008122</t>
  </si>
  <si>
    <t>85200630003360</t>
  </si>
  <si>
    <t>85200330013844</t>
  </si>
  <si>
    <t>852031000107</t>
  </si>
  <si>
    <t>85200310084976</t>
  </si>
  <si>
    <t>85200310084701</t>
  </si>
  <si>
    <t>85200330013723</t>
  </si>
  <si>
    <t>85200330013495</t>
  </si>
  <si>
    <t>199030002896</t>
  </si>
  <si>
    <t>199030002898</t>
  </si>
  <si>
    <t>85200310084954</t>
  </si>
  <si>
    <t>85200410039938</t>
  </si>
  <si>
    <t>85200710012913</t>
  </si>
  <si>
    <t>85200910002098</t>
  </si>
  <si>
    <t>85200910002111</t>
  </si>
  <si>
    <t>85202710000464</t>
  </si>
  <si>
    <t>85202710000471</t>
  </si>
  <si>
    <t>85200910002028</t>
  </si>
  <si>
    <t>85200910002058</t>
  </si>
  <si>
    <t>85202710000419</t>
  </si>
  <si>
    <t>85202710000434</t>
  </si>
  <si>
    <t>85202710000456</t>
  </si>
  <si>
    <t>85202710000461</t>
  </si>
  <si>
    <t>85202710000451</t>
  </si>
  <si>
    <t>85200910002084</t>
  </si>
  <si>
    <t>85200910002092</t>
  </si>
  <si>
    <t>85200330013623</t>
  </si>
  <si>
    <t>85200910002065</t>
  </si>
  <si>
    <t>85202710000440</t>
  </si>
  <si>
    <t>85202710000441</t>
  </si>
  <si>
    <t>85201110010268</t>
  </si>
  <si>
    <t>85202010000897</t>
  </si>
  <si>
    <t>85201210002664</t>
  </si>
  <si>
    <t>85201710001385</t>
  </si>
  <si>
    <t>19600510062725</t>
  </si>
  <si>
    <t>19600510062729</t>
  </si>
  <si>
    <t>19600510066778</t>
  </si>
  <si>
    <t>19600510065279</t>
  </si>
  <si>
    <t>198504300000002</t>
  </si>
  <si>
    <t>Supp-Benelux</t>
  </si>
  <si>
    <t>Supp-CE</t>
  </si>
  <si>
    <t>Supp-France</t>
  </si>
  <si>
    <t>Supp-Holding</t>
  </si>
  <si>
    <t>Supp-India</t>
  </si>
  <si>
    <t>Supp-Nordic</t>
  </si>
  <si>
    <t>Supp-NA</t>
  </si>
  <si>
    <t>Supp-UK</t>
  </si>
  <si>
    <t>DE01 – SSC HR</t>
  </si>
  <si>
    <t>India BPO</t>
  </si>
  <si>
    <t>831016FIS01755</t>
  </si>
  <si>
    <t>831016FIS01645</t>
  </si>
  <si>
    <t>Apps Norway MS CPRDT and Other</t>
  </si>
  <si>
    <t>Unresolved (May)</t>
  </si>
  <si>
    <t>unresolved (from May)</t>
  </si>
  <si>
    <t>June'17</t>
  </si>
  <si>
    <t>JUN'17</t>
  </si>
  <si>
    <t>3 new incidents are added. The count of unresolved incidents have been considerably reduced and unresolved are of May only.</t>
  </si>
  <si>
    <t>6 new incidents are added. The amount of unresolved incidents are majorly increased.</t>
  </si>
  <si>
    <t xml:space="preserve">No new incidents added. </t>
  </si>
  <si>
    <t>10 new incidents added, whereas there is a huge fall in amount of unresolved issues. Majorly may issues are are pending</t>
  </si>
  <si>
    <t>6 new incidents are added. Unresolved Disputes are majorly from Jan and Mar</t>
  </si>
  <si>
    <t>7 new incidents are added. The amount of unresolved is almost doubled, however out of unresolved major amount is coming from Unresolved (Jan).</t>
  </si>
  <si>
    <t>No new incidents added. Almost half of amount of disputes are resolved and unresolved are from May only.</t>
  </si>
  <si>
    <t>Only 1 new incident added. There is a major drop in dispute balance attributes and now the unresolved disputes are from May only.</t>
  </si>
  <si>
    <t>2 new incidents added. More than half of the disputes are resolved.</t>
  </si>
  <si>
    <t>Overall reduction in dispute balance by 41% .</t>
  </si>
  <si>
    <t>unresolved (flagged before May)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</si>
</sst>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\€#,##0_ ;\-\€#,##0\ "/>
    <numFmt numFmtId="166" formatCode="0.0"/>
    <numFmt numFmtId="167" formatCode="m/d/yy\ h:mm;@"/>
    <numFmt numFmtId="168" formatCode="_(* #,##0_);_(* \(#,##0\);_(* &quot;-&quot;??_);_(@_)"/>
    <numFmt numFmtId="169" formatCode="#,##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9"/>
      <color rgb="FFFFFFFF"/>
      <name val="Calibri"/>
      <family val="2"/>
    </font>
    <font>
      <sz val="10"/>
      <color theme="1"/>
      <name val="Times New Roman"/>
      <family val="1"/>
    </font>
    <font>
      <sz val="8"/>
      <color theme="3" tint="-0.499984740745262"/>
      <name val="Calibri"/>
      <family val="2"/>
      <scheme val="minor"/>
    </font>
    <font>
      <sz val="10"/>
      <color rgb="FF002060"/>
      <name val="Calibri"/>
      <family val="2"/>
    </font>
    <font>
      <sz val="10"/>
      <color rgb="FF002060"/>
      <name val="Times New Roman"/>
      <family val="1"/>
    </font>
    <font>
      <i/>
      <sz val="11"/>
      <color theme="1"/>
      <name val="Calibri"/>
      <family val="2"/>
      <scheme val="minor"/>
    </font>
    <font>
      <b/>
      <sz val="10"/>
      <color rgb="FF002060"/>
      <name val="Calibri"/>
      <family val="2"/>
    </font>
    <font>
      <b/>
      <sz val="9"/>
      <color theme="0"/>
      <name val="Calibri"/>
      <family val="2"/>
      <scheme val="minor"/>
    </font>
    <font>
      <sz val="9"/>
      <name val="Calibri"/>
      <family val="2"/>
    </font>
    <font>
      <i/>
      <sz val="10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u/>
      <sz val="10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8"/>
      <name val="Calibri"/>
      <family val="2"/>
      <scheme val="minor"/>
    </font>
    <font>
      <u/>
      <sz val="11"/>
      <color indexed="9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color theme="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/>
      <top/>
      <bottom style="medium">
        <color rgb="FFC0504D"/>
      </bottom>
      <diagonal/>
    </border>
    <border>
      <left/>
      <right/>
      <top/>
      <bottom style="medium">
        <color rgb="FF632523"/>
      </bottom>
      <diagonal/>
    </border>
    <border>
      <left style="thick">
        <color rgb="FFFF0000"/>
      </left>
      <right/>
      <top/>
      <bottom style="medium">
        <color rgb="FF632523"/>
      </bottom>
      <diagonal/>
    </border>
    <border>
      <left/>
      <right style="thick">
        <color rgb="FFFF0000"/>
      </right>
      <top/>
      <bottom style="medium">
        <color rgb="FF632523"/>
      </bottom>
      <diagonal/>
    </border>
    <border>
      <left/>
      <right/>
      <top style="medium">
        <color rgb="FFC0504D"/>
      </top>
      <bottom style="thin">
        <color theme="0" tint="-0.499984740745262"/>
      </bottom>
      <diagonal/>
    </border>
    <border>
      <left style="thick">
        <color rgb="FFFF0000"/>
      </left>
      <right/>
      <top style="medium">
        <color rgb="FFC0504D"/>
      </top>
      <bottom style="thin">
        <color theme="0" tint="-0.499984740745262"/>
      </bottom>
      <diagonal/>
    </border>
    <border>
      <left/>
      <right style="thick">
        <color rgb="FFFF0000"/>
      </right>
      <top style="medium">
        <color rgb="FFC0504D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ck">
        <color rgb="FFFF0000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rgb="FFFF000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ck">
        <color rgb="FFFF0000"/>
      </left>
      <right/>
      <top style="thin">
        <color theme="0" tint="-0.499984740745262"/>
      </top>
      <bottom/>
      <diagonal/>
    </border>
    <border>
      <left/>
      <right style="thick">
        <color rgb="FFFF0000"/>
      </right>
      <top style="thin">
        <color theme="0" tint="-0.499984740745262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medium">
        <color rgb="FF632523"/>
      </top>
      <bottom/>
      <diagonal/>
    </border>
    <border>
      <left/>
      <right style="thick">
        <color rgb="FFFF0000"/>
      </right>
      <top style="thick">
        <color rgb="FFFF0000"/>
      </top>
      <bottom style="medium">
        <color rgb="FF632523"/>
      </bottom>
      <diagonal/>
    </border>
    <border>
      <left style="thick">
        <color rgb="FFFF0000"/>
      </left>
      <right/>
      <top style="medium">
        <color rgb="FF632523"/>
      </top>
      <bottom style="medium">
        <color rgb="FFC0504D"/>
      </bottom>
      <diagonal/>
    </border>
    <border>
      <left style="thick">
        <color rgb="FFFF0000"/>
      </left>
      <right/>
      <top style="thick">
        <color rgb="FFFF0000"/>
      </top>
      <bottom style="medium">
        <color rgb="FF632523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22" fillId="0" borderId="0">
      <alignment vertical="center"/>
    </xf>
  </cellStyleXfs>
  <cellXfs count="154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4" fillId="3" borderId="6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/>
    </xf>
    <xf numFmtId="0" fontId="0" fillId="0" borderId="5" xfId="0" applyBorder="1"/>
    <xf numFmtId="0" fontId="4" fillId="3" borderId="6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/>
    </xf>
    <xf numFmtId="0" fontId="4" fillId="3" borderId="6" xfId="0" quotePrefix="1" applyFont="1" applyFill="1" applyBorder="1" applyAlignment="1">
      <alignment horizontal="right" vertical="center"/>
    </xf>
    <xf numFmtId="0" fontId="6" fillId="3" borderId="6" xfId="0" applyFont="1" applyFill="1" applyBorder="1"/>
    <xf numFmtId="0" fontId="7" fillId="4" borderId="0" xfId="0" applyFont="1" applyFill="1"/>
    <xf numFmtId="0" fontId="8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/>
    </xf>
    <xf numFmtId="165" fontId="8" fillId="5" borderId="10" xfId="0" applyNumberFormat="1" applyFont="1" applyFill="1" applyBorder="1" applyAlignment="1">
      <alignment horizontal="right" vertical="center"/>
    </xf>
    <xf numFmtId="0" fontId="9" fillId="0" borderId="11" xfId="0" applyFont="1" applyFill="1" applyBorder="1" applyAlignment="1">
      <alignment horizontal="center"/>
    </xf>
    <xf numFmtId="165" fontId="8" fillId="5" borderId="12" xfId="0" applyNumberFormat="1" applyFont="1" applyFill="1" applyBorder="1" applyAlignment="1">
      <alignment horizontal="right" vertical="center"/>
    </xf>
    <xf numFmtId="165" fontId="8" fillId="0" borderId="10" xfId="0" applyNumberFormat="1" applyFont="1" applyFill="1" applyBorder="1" applyAlignment="1">
      <alignment horizontal="right" vertical="center"/>
    </xf>
    <xf numFmtId="165" fontId="9" fillId="0" borderId="10" xfId="0" applyNumberFormat="1" applyFont="1" applyFill="1" applyBorder="1" applyAlignment="1">
      <alignment horizontal="right"/>
    </xf>
    <xf numFmtId="165" fontId="9" fillId="0" borderId="13" xfId="0" applyNumberFormat="1" applyFont="1" applyFill="1" applyBorder="1" applyAlignment="1">
      <alignment horizontal="right"/>
    </xf>
    <xf numFmtId="165" fontId="0" fillId="0" borderId="0" xfId="0" applyNumberFormat="1"/>
    <xf numFmtId="0" fontId="8" fillId="0" borderId="13" xfId="0" applyFont="1" applyFill="1" applyBorder="1" applyAlignment="1">
      <alignment vertical="center"/>
    </xf>
    <xf numFmtId="0" fontId="9" fillId="0" borderId="13" xfId="0" applyFont="1" applyFill="1" applyBorder="1" applyAlignment="1">
      <alignment horizontal="center"/>
    </xf>
    <xf numFmtId="165" fontId="8" fillId="5" borderId="13" xfId="0" applyNumberFormat="1" applyFont="1" applyFill="1" applyBorder="1" applyAlignment="1">
      <alignment horizontal="right" vertical="center"/>
    </xf>
    <xf numFmtId="0" fontId="9" fillId="0" borderId="14" xfId="0" applyFont="1" applyFill="1" applyBorder="1" applyAlignment="1">
      <alignment horizontal="center"/>
    </xf>
    <xf numFmtId="165" fontId="8" fillId="5" borderId="15" xfId="0" applyNumberFormat="1" applyFont="1" applyFill="1" applyBorder="1" applyAlignment="1">
      <alignment horizontal="right" vertical="center"/>
    </xf>
    <xf numFmtId="165" fontId="8" fillId="0" borderId="13" xfId="0" applyNumberFormat="1" applyFont="1" applyFill="1" applyBorder="1" applyAlignment="1">
      <alignment horizontal="right" vertical="center"/>
    </xf>
    <xf numFmtId="0" fontId="4" fillId="3" borderId="16" xfId="0" applyFont="1" applyFill="1" applyBorder="1" applyAlignment="1">
      <alignment vertical="center"/>
    </xf>
    <xf numFmtId="0" fontId="4" fillId="3" borderId="16" xfId="0" applyFont="1" applyFill="1" applyBorder="1" applyAlignment="1">
      <alignment horizontal="center" vertical="center"/>
    </xf>
    <xf numFmtId="165" fontId="4" fillId="3" borderId="16" xfId="0" applyNumberFormat="1" applyFont="1" applyFill="1" applyBorder="1" applyAlignment="1">
      <alignment horizontal="right" vertical="center"/>
    </xf>
    <xf numFmtId="0" fontId="4" fillId="3" borderId="17" xfId="0" applyFont="1" applyFill="1" applyBorder="1" applyAlignment="1">
      <alignment horizontal="center" vertical="center"/>
    </xf>
    <xf numFmtId="165" fontId="4" fillId="3" borderId="18" xfId="0" applyNumberFormat="1" applyFont="1" applyFill="1" applyBorder="1" applyAlignment="1">
      <alignment horizontal="right" vertical="center"/>
    </xf>
    <xf numFmtId="0" fontId="10" fillId="0" borderId="0" xfId="0" applyFont="1"/>
    <xf numFmtId="9" fontId="0" fillId="0" borderId="0" xfId="1" applyFont="1"/>
    <xf numFmtId="0" fontId="0" fillId="0" borderId="19" xfId="0" applyBorder="1"/>
    <xf numFmtId="0" fontId="0" fillId="0" borderId="20" xfId="0" applyBorder="1"/>
    <xf numFmtId="0" fontId="11" fillId="0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 applyFill="1" applyBorder="1" applyAlignment="1">
      <alignment vertical="center"/>
    </xf>
    <xf numFmtId="9" fontId="0" fillId="0" borderId="0" xfId="0" applyNumberFormat="1"/>
    <xf numFmtId="0" fontId="12" fillId="6" borderId="21" xfId="0" applyFont="1" applyFill="1" applyBorder="1" applyAlignment="1">
      <alignment horizontal="center" vertical="center" wrapText="1"/>
    </xf>
    <xf numFmtId="0" fontId="12" fillId="7" borderId="21" xfId="0" applyFont="1" applyFill="1" applyBorder="1" applyAlignment="1">
      <alignment horizontal="center" vertical="center" wrapText="1"/>
    </xf>
    <xf numFmtId="0" fontId="12" fillId="7" borderId="21" xfId="0" applyFont="1" applyFill="1" applyBorder="1" applyAlignment="1">
      <alignment horizontal="center" vertical="center"/>
    </xf>
    <xf numFmtId="1" fontId="12" fillId="7" borderId="21" xfId="0" applyNumberFormat="1" applyFont="1" applyFill="1" applyBorder="1" applyAlignment="1">
      <alignment horizontal="center" vertical="center" wrapText="1"/>
    </xf>
    <xf numFmtId="0" fontId="0" fillId="0" borderId="21" xfId="0" applyBorder="1"/>
    <xf numFmtId="1" fontId="0" fillId="0" borderId="21" xfId="0" applyNumberFormat="1" applyBorder="1"/>
    <xf numFmtId="22" fontId="0" fillId="0" borderId="21" xfId="0" applyNumberFormat="1" applyBorder="1" applyAlignment="1"/>
    <xf numFmtId="0" fontId="13" fillId="0" borderId="2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8" borderId="21" xfId="0" applyFill="1" applyBorder="1"/>
    <xf numFmtId="2" fontId="0" fillId="0" borderId="21" xfId="0" applyNumberFormat="1" applyBorder="1"/>
    <xf numFmtId="1" fontId="0" fillId="0" borderId="0" xfId="0" applyNumberForma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8" borderId="26" xfId="0" applyFill="1" applyBorder="1"/>
    <xf numFmtId="0" fontId="0" fillId="0" borderId="26" xfId="0" applyBorder="1"/>
    <xf numFmtId="0" fontId="0" fillId="0" borderId="25" xfId="0" applyBorder="1" applyAlignment="1">
      <alignment horizontal="left"/>
    </xf>
    <xf numFmtId="0" fontId="0" fillId="0" borderId="27" xfId="0" applyBorder="1"/>
    <xf numFmtId="2" fontId="0" fillId="0" borderId="28" xfId="0" applyNumberFormat="1" applyBorder="1"/>
    <xf numFmtId="1" fontId="0" fillId="0" borderId="28" xfId="0" applyNumberFormat="1" applyBorder="1"/>
    <xf numFmtId="0" fontId="0" fillId="0" borderId="29" xfId="0" applyBorder="1"/>
    <xf numFmtId="166" fontId="0" fillId="0" borderId="0" xfId="0" applyNumberFormat="1"/>
    <xf numFmtId="167" fontId="0" fillId="0" borderId="0" xfId="0" applyNumberFormat="1"/>
    <xf numFmtId="167" fontId="12" fillId="7" borderId="21" xfId="0" applyNumberFormat="1" applyFont="1" applyFill="1" applyBorder="1" applyAlignment="1">
      <alignment horizontal="center" vertical="center" wrapText="1"/>
    </xf>
    <xf numFmtId="167" fontId="0" fillId="0" borderId="21" xfId="0" applyNumberFormat="1" applyBorder="1"/>
    <xf numFmtId="22" fontId="13" fillId="0" borderId="21" xfId="0" applyNumberFormat="1" applyFont="1" applyBorder="1" applyAlignment="1">
      <alignment horizontal="center" vertical="center"/>
    </xf>
    <xf numFmtId="165" fontId="9" fillId="9" borderId="13" xfId="0" applyNumberFormat="1" applyFont="1" applyFill="1" applyBorder="1" applyAlignment="1">
      <alignment horizontal="right"/>
    </xf>
    <xf numFmtId="9" fontId="8" fillId="5" borderId="0" xfId="1" applyFont="1" applyFill="1" applyBorder="1" applyAlignment="1">
      <alignment horizontal="right" vertical="center"/>
    </xf>
    <xf numFmtId="0" fontId="0" fillId="0" borderId="29" xfId="0" applyBorder="1" applyAlignment="1">
      <alignment wrapText="1"/>
    </xf>
    <xf numFmtId="0" fontId="0" fillId="0" borderId="32" xfId="0" applyBorder="1" applyAlignment="1"/>
    <xf numFmtId="1" fontId="13" fillId="0" borderId="21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0" xfId="0" quotePrefix="1"/>
    <xf numFmtId="0" fontId="13" fillId="0" borderId="32" xfId="0" applyFont="1" applyBorder="1" applyAlignment="1">
      <alignment horizontal="left" vertical="center"/>
    </xf>
    <xf numFmtId="10" fontId="0" fillId="0" borderId="0" xfId="1" applyNumberFormat="1" applyFont="1"/>
    <xf numFmtId="164" fontId="0" fillId="0" borderId="0" xfId="2" applyFont="1"/>
    <xf numFmtId="168" fontId="0" fillId="0" borderId="0" xfId="2" applyNumberFormat="1" applyFont="1"/>
    <xf numFmtId="0" fontId="0" fillId="0" borderId="26" xfId="0" applyFill="1" applyBorder="1"/>
    <xf numFmtId="0" fontId="9" fillId="0" borderId="0" xfId="0" applyFont="1" applyFill="1" applyBorder="1" applyAlignment="1">
      <alignment horizontal="center"/>
    </xf>
    <xf numFmtId="0" fontId="3" fillId="8" borderId="31" xfId="0" applyFont="1" applyFill="1" applyBorder="1" applyAlignment="1">
      <alignment horizontal="center"/>
    </xf>
    <xf numFmtId="0" fontId="13" fillId="0" borderId="32" xfId="0" applyFont="1" applyBorder="1" applyAlignment="1">
      <alignment horizontal="center" vertical="center"/>
    </xf>
    <xf numFmtId="1" fontId="13" fillId="0" borderId="32" xfId="0" applyNumberFormat="1" applyFont="1" applyBorder="1" applyAlignment="1">
      <alignment horizontal="center" vertical="center"/>
    </xf>
    <xf numFmtId="22" fontId="13" fillId="0" borderId="32" xfId="0" applyNumberFormat="1" applyFont="1" applyBorder="1" applyAlignment="1">
      <alignment horizontal="center" vertical="center"/>
    </xf>
    <xf numFmtId="0" fontId="13" fillId="0" borderId="32" xfId="0" applyNumberFormat="1" applyFont="1" applyBorder="1" applyAlignment="1">
      <alignment horizontal="center" vertical="center"/>
    </xf>
    <xf numFmtId="2" fontId="0" fillId="0" borderId="0" xfId="0" applyNumberFormat="1"/>
    <xf numFmtId="0" fontId="0" fillId="0" borderId="34" xfId="0" applyBorder="1"/>
    <xf numFmtId="0" fontId="0" fillId="0" borderId="35" xfId="0" applyBorder="1"/>
    <xf numFmtId="0" fontId="4" fillId="3" borderId="36" xfId="0" applyFont="1" applyFill="1" applyBorder="1" applyAlignment="1">
      <alignment vertical="center" wrapText="1"/>
    </xf>
    <xf numFmtId="0" fontId="3" fillId="8" borderId="30" xfId="0" applyFont="1" applyFill="1" applyBorder="1" applyAlignment="1">
      <alignment horizontal="center"/>
    </xf>
    <xf numFmtId="0" fontId="0" fillId="0" borderId="26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8" fillId="4" borderId="0" xfId="0" applyFont="1" applyFill="1"/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0" fontId="17" fillId="4" borderId="0" xfId="0" applyFont="1" applyFill="1"/>
    <xf numFmtId="0" fontId="3" fillId="0" borderId="0" xfId="0" applyFont="1"/>
    <xf numFmtId="0" fontId="19" fillId="0" borderId="0" xfId="3" applyFont="1" applyFill="1"/>
    <xf numFmtId="0" fontId="19" fillId="10" borderId="0" xfId="3" applyFont="1" applyFill="1"/>
    <xf numFmtId="0" fontId="20" fillId="11" borderId="0" xfId="3" applyFont="1" applyFill="1"/>
    <xf numFmtId="0" fontId="20" fillId="12" borderId="0" xfId="3" applyFont="1" applyFill="1"/>
    <xf numFmtId="0" fontId="19" fillId="13" borderId="0" xfId="3" applyFont="1" applyFill="1"/>
    <xf numFmtId="0" fontId="19" fillId="14" borderId="0" xfId="3" applyFont="1" applyFill="1"/>
    <xf numFmtId="14" fontId="12" fillId="7" borderId="21" xfId="0" applyNumberFormat="1" applyFont="1" applyFill="1" applyBorder="1" applyAlignment="1">
      <alignment horizontal="center" vertical="center" wrapText="1"/>
    </xf>
    <xf numFmtId="14" fontId="13" fillId="0" borderId="32" xfId="0" applyNumberFormat="1" applyFont="1" applyBorder="1" applyAlignment="1">
      <alignment horizontal="center" vertical="center"/>
    </xf>
    <xf numFmtId="14" fontId="0" fillId="0" borderId="0" xfId="0" applyNumberFormat="1"/>
    <xf numFmtId="166" fontId="12" fillId="6" borderId="21" xfId="0" applyNumberFormat="1" applyFont="1" applyFill="1" applyBorder="1" applyAlignment="1">
      <alignment horizontal="center" vertical="center" wrapText="1"/>
    </xf>
    <xf numFmtId="166" fontId="0" fillId="0" borderId="21" xfId="0" applyNumberFormat="1" applyBorder="1"/>
    <xf numFmtId="3" fontId="12" fillId="7" borderId="21" xfId="0" applyNumberFormat="1" applyFont="1" applyFill="1" applyBorder="1" applyAlignment="1">
      <alignment horizontal="center" vertical="center" wrapText="1"/>
    </xf>
    <xf numFmtId="3" fontId="13" fillId="0" borderId="32" xfId="0" applyNumberFormat="1" applyFont="1" applyBorder="1" applyAlignment="1">
      <alignment horizontal="center" vertical="center"/>
    </xf>
    <xf numFmtId="3" fontId="0" fillId="0" borderId="0" xfId="0" applyNumberFormat="1"/>
    <xf numFmtId="169" fontId="12" fillId="7" borderId="21" xfId="0" applyNumberFormat="1" applyFont="1" applyFill="1" applyBorder="1" applyAlignment="1">
      <alignment horizontal="center" vertical="center" wrapText="1"/>
    </xf>
    <xf numFmtId="169" fontId="13" fillId="0" borderId="32" xfId="0" applyNumberFormat="1" applyFont="1" applyBorder="1" applyAlignment="1">
      <alignment horizontal="center" vertical="center"/>
    </xf>
    <xf numFmtId="169" fontId="0" fillId="0" borderId="0" xfId="0" applyNumberFormat="1"/>
    <xf numFmtId="0" fontId="0" fillId="0" borderId="21" xfId="0" applyBorder="1" applyAlignment="1">
      <alignment horizontal="center"/>
    </xf>
    <xf numFmtId="14" fontId="13" fillId="0" borderId="21" xfId="0" applyNumberFormat="1" applyFont="1" applyBorder="1" applyAlignment="1">
      <alignment horizontal="center" vertical="center"/>
    </xf>
    <xf numFmtId="169" fontId="0" fillId="0" borderId="21" xfId="0" applyNumberFormat="1" applyBorder="1"/>
    <xf numFmtId="169" fontId="12" fillId="6" borderId="21" xfId="0" applyNumberFormat="1" applyFont="1" applyFill="1" applyBorder="1" applyAlignment="1">
      <alignment horizontal="center" vertical="center" wrapText="1"/>
    </xf>
    <xf numFmtId="49" fontId="12" fillId="7" borderId="21" xfId="0" applyNumberFormat="1" applyFont="1" applyFill="1" applyBorder="1" applyAlignment="1">
      <alignment horizontal="center" vertical="center" wrapText="1"/>
    </xf>
    <xf numFmtId="49" fontId="0" fillId="0" borderId="32" xfId="0" applyNumberFormat="1" applyBorder="1" applyAlignment="1"/>
    <xf numFmtId="49" fontId="0" fillId="0" borderId="0" xfId="0" applyNumberFormat="1"/>
    <xf numFmtId="49" fontId="13" fillId="0" borderId="32" xfId="0" applyNumberFormat="1" applyFont="1" applyBorder="1" applyAlignment="1">
      <alignment horizontal="center" vertical="center"/>
    </xf>
    <xf numFmtId="0" fontId="0" fillId="0" borderId="0" xfId="0"/>
    <xf numFmtId="0" fontId="13" fillId="0" borderId="32" xfId="4" applyFont="1" applyBorder="1" applyAlignment="1">
      <alignment horizontal="center" vertical="center"/>
    </xf>
    <xf numFmtId="22" fontId="13" fillId="0" borderId="32" xfId="4" applyNumberFormat="1" applyFont="1" applyBorder="1" applyAlignment="1">
      <alignment horizontal="center" vertical="center"/>
    </xf>
    <xf numFmtId="0" fontId="13" fillId="0" borderId="32" xfId="4" applyNumberFormat="1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165" fontId="21" fillId="0" borderId="0" xfId="0" applyNumberFormat="1" applyFont="1"/>
    <xf numFmtId="0" fontId="0" fillId="0" borderId="37" xfId="0" applyBorder="1"/>
    <xf numFmtId="0" fontId="5" fillId="3" borderId="38" xfId="0" applyFont="1" applyFill="1" applyBorder="1" applyAlignment="1">
      <alignment vertical="center" wrapText="1"/>
    </xf>
    <xf numFmtId="0" fontId="0" fillId="2" borderId="33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0" fillId="2" borderId="20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3" fillId="8" borderId="30" xfId="0" applyFont="1" applyFill="1" applyBorder="1" applyAlignment="1">
      <alignment horizontal="center"/>
    </xf>
    <xf numFmtId="0" fontId="3" fillId="8" borderId="3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8" borderId="23" xfId="0" applyFont="1" applyFill="1" applyBorder="1" applyAlignment="1">
      <alignment horizontal="center"/>
    </xf>
  </cellXfs>
  <cellStyles count="5">
    <cellStyle name="Comma" xfId="2" builtinId="3"/>
    <cellStyle name="Hyperlink" xfId="3" builtinId="8"/>
    <cellStyle name="Normal" xfId="0" builtinId="0"/>
    <cellStyle name="Normal 4" xfId="4"/>
    <cellStyle name="Percent" xfId="1" builtinId="5"/>
  </cellStyles>
  <dxfs count="57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171451</xdr:colOff>
      <xdr:row>10</xdr:row>
      <xdr:rowOff>38099</xdr:rowOff>
    </xdr:from>
    <xdr:to>
      <xdr:col>3</xdr:col>
      <xdr:colOff>514351</xdr:colOff>
      <xdr:row>19</xdr:row>
      <xdr:rowOff>152400</xdr:rowOff>
    </xdr:to>
    <xdr:sp macro="" textlink="">
      <xdr:nvSpPr>
        <xdr:cNvPr id="2" name="Right Brace 1"/>
        <xdr:cNvSpPr/>
      </xdr:nvSpPr>
      <xdr:spPr>
        <a:xfrm>
          <a:off x="2695576" y="1943099"/>
          <a:ext cx="342900" cy="1828801"/>
        </a:xfrm>
        <a:prstGeom prst="rightBrace">
          <a:avLst>
            <a:gd name="adj1" fmla="val 8333"/>
            <a:gd name="adj2" fmla="val 5313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152400</xdr:colOff>
      <xdr:row>19</xdr:row>
      <xdr:rowOff>171450</xdr:rowOff>
    </xdr:from>
    <xdr:to>
      <xdr:col>3</xdr:col>
      <xdr:colOff>581025</xdr:colOff>
      <xdr:row>27</xdr:row>
      <xdr:rowOff>152400</xdr:rowOff>
    </xdr:to>
    <xdr:sp macro="" textlink="">
      <xdr:nvSpPr>
        <xdr:cNvPr id="3" name="Right Brace 2"/>
        <xdr:cNvSpPr/>
      </xdr:nvSpPr>
      <xdr:spPr>
        <a:xfrm>
          <a:off x="2676525" y="3790950"/>
          <a:ext cx="428625" cy="1504950"/>
        </a:xfrm>
        <a:prstGeom prst="rightBrace">
          <a:avLst>
            <a:gd name="adj1" fmla="val 8333"/>
            <a:gd name="adj2" fmla="val 4494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58</xdr:col>
      <xdr:colOff>200623</xdr:colOff>
      <xdr:row>45</xdr:row>
      <xdr:rowOff>389312</xdr:rowOff>
    </xdr:from>
    <xdr:to>
      <xdr:col>65</xdr:col>
      <xdr:colOff>215684</xdr:colOff>
      <xdr:row>59</xdr:row>
      <xdr:rowOff>167013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61427" y="10345205"/>
          <a:ext cx="4301311" cy="3145469"/>
        </a:xfrm>
        <a:prstGeom prst="rect">
          <a:avLst/>
        </a:prstGeom>
      </xdr:spPr>
    </xdr:pic>
    <xdr:clientData/>
  </xdr:twoCellAnchor>
  <xdr:twoCellAnchor editAs="oneCell">
    <xdr:from>
      <xdr:col>28</xdr:col>
      <xdr:colOff>430893</xdr:colOff>
      <xdr:row>45</xdr:row>
      <xdr:rowOff>464911</xdr:rowOff>
    </xdr:from>
    <xdr:to>
      <xdr:col>34</xdr:col>
      <xdr:colOff>491311</xdr:colOff>
      <xdr:row>60</xdr:row>
      <xdr:rowOff>49844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523482" y="10420804"/>
          <a:ext cx="4301311" cy="3145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121702</xdr:colOff>
      <xdr:row>45</xdr:row>
      <xdr:rowOff>582080</xdr:rowOff>
    </xdr:from>
    <xdr:to>
      <xdr:col>49</xdr:col>
      <xdr:colOff>613013</xdr:colOff>
      <xdr:row>60</xdr:row>
      <xdr:rowOff>167013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93845" y="11127616"/>
          <a:ext cx="4301311" cy="31454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19</xdr:row>
      <xdr:rowOff>38100</xdr:rowOff>
    </xdr:from>
    <xdr:to>
      <xdr:col>7</xdr:col>
      <xdr:colOff>476250</xdr:colOff>
      <xdr:row>34</xdr:row>
      <xdr:rowOff>152400</xdr:rowOff>
    </xdr:to>
    <xdr:grpSp>
      <xdr:nvGrpSpPr>
        <xdr:cNvPr id="2" name="Group 1"/>
        <xdr:cNvGrpSpPr/>
      </xdr:nvGrpSpPr>
      <xdr:grpSpPr>
        <a:xfrm>
          <a:off x="247650" y="3657600"/>
          <a:ext cx="4076700" cy="2971800"/>
          <a:chOff x="247650" y="3657600"/>
          <a:chExt cx="4076700" cy="2971800"/>
        </a:xfrm>
      </xdr:grpSpPr>
      <xdr:sp macro="" textlink="">
        <xdr:nvSpPr>
          <xdr:cNvPr id="3" name="Rounded Rectangle 2"/>
          <xdr:cNvSpPr/>
        </xdr:nvSpPr>
        <xdr:spPr>
          <a:xfrm>
            <a:off x="247650" y="3657600"/>
            <a:ext cx="4076700" cy="297180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600075" y="3790950"/>
            <a:ext cx="3409524" cy="2666667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therga" refreshedDate="42711.689961226853" createdVersion="3" refreshedVersion="3" minRefreshableVersion="3" recordCount="78">
  <cacheSource type="worksheet">
    <worksheetSource ref="A1:AD1" sheet="DATA_PRIOR"/>
  </cacheSource>
  <cacheFields count="30">
    <cacheField name="Status" numFmtId="0">
      <sharedItems/>
    </cacheField>
    <cacheField name="Status2" numFmtId="0">
      <sharedItems/>
    </cacheField>
    <cacheField name="Supplier Code" numFmtId="0">
      <sharedItems containsSemiMixedTypes="0" containsString="0" containsNumber="1" containsInteger="1" minValue="95" maxValue="8520"/>
    </cacheField>
    <cacheField name="Supplier Name" numFmtId="0">
      <sharedItems/>
    </cacheField>
    <cacheField name="Supplier Region Code" numFmtId="0">
      <sharedItems containsSemiMixedTypes="0" containsString="0" containsNumber="1" containsInteger="1" minValue="83" maxValue="2800"/>
    </cacheField>
    <cacheField name="Supplier Region Name" numFmtId="0">
      <sharedItems/>
    </cacheField>
    <cacheField name="Client Code" numFmtId="0">
      <sharedItems containsSemiMixedTypes="0" containsString="0" containsNumber="1" containsInteger="1" minValue="95" maxValue="8520"/>
    </cacheField>
    <cacheField name="Client Name" numFmtId="0">
      <sharedItems/>
    </cacheField>
    <cacheField name="Client Region Code" numFmtId="0">
      <sharedItems containsSemiMixedTypes="0" containsString="0" containsNumber="1" containsInteger="1" minValue="83" maxValue="2800"/>
    </cacheField>
    <cacheField name="Client Region Name" numFmtId="0">
      <sharedItems/>
    </cacheField>
    <cacheField name="Local Invoice Number" numFmtId="1">
      <sharedItems containsMixedTypes="1" containsNumber="1" containsInteger="1" minValue="30008945" maxValue="198504300000002"/>
    </cacheField>
    <cacheField name="Supplier SBU" numFmtId="1">
      <sharedItems count="11">
        <s v="11. FS"/>
        <s v="12. iGATE"/>
        <s v="07. GROUP"/>
        <s v="02. APPSTWO"/>
        <s v="08. SHARED SERVICES"/>
        <s v="04. INFRA"/>
        <s v="10. IND"/>
        <s v="05. BUSINESS SERVICES"/>
        <s v="01. APPSONE"/>
        <s v="03. CC"/>
        <s v="14. DIGITAL"/>
      </sharedItems>
    </cacheField>
    <cacheField name="Supplier BU" numFmtId="1">
      <sharedItems/>
    </cacheField>
    <cacheField name="Client SBU" numFmtId="0">
      <sharedItems containsNonDate="0" containsString="0" containsBlank="1"/>
    </cacheField>
    <cacheField name="Creation Date_Final" numFmtId="22">
      <sharedItems containsSemiMixedTypes="0" containsNonDate="0" containsDate="1" containsString="0" minDate="2013-06-27T00:00:00" maxDate="2016-05-05T00:00:00"/>
    </cacheField>
    <cacheField name="DT_Source" numFmtId="0">
      <sharedItems/>
    </cacheField>
    <cacheField name="Major Category" numFmtId="0">
      <sharedItems/>
    </cacheField>
    <cacheField name="Dispute Date_Final" numFmtId="22">
      <sharedItems containsSemiMixedTypes="0" containsNonDate="0" containsDate="1" containsString="0" minDate="2015-03-04T00:00:00" maxDate="2016-05-07T00:00:00"/>
    </cacheField>
    <cacheField name="Period" numFmtId="22">
      <sharedItems/>
    </cacheField>
    <cacheField name="Invoice Age" numFmtId="0">
      <sharedItems containsSemiMixedTypes="0" containsString="0" containsNumber="1" containsInteger="1" minValue="185" maxValue="614"/>
    </cacheField>
    <cacheField name="Aging Bucket" numFmtId="22">
      <sharedItems/>
    </cacheField>
    <cacheField name="Currency Amount" numFmtId="0">
      <sharedItems containsSemiMixedTypes="0" containsString="0" containsNumber="1" minValue="-432223" maxValue="2769800"/>
    </cacheField>
    <cacheField name="Currency" numFmtId="0">
      <sharedItems/>
    </cacheField>
    <cacheField name="Intra/inter" numFmtId="0">
      <sharedItems/>
    </cacheField>
    <cacheField name="Keuro" numFmtId="0">
      <sharedItems containsSemiMixedTypes="0" containsString="0" containsNumber="1" minValue="-6.18" maxValue="278.37"/>
    </cacheField>
    <cacheField name="Number" numFmtId="0">
      <sharedItems containsSemiMixedTypes="0" containsString="0" containsNumber="1" containsInteger="1" minValue="1" maxValue="1"/>
    </cacheField>
    <cacheField name="DT_Code" numFmtId="0">
      <sharedItems/>
    </cacheField>
    <cacheField name="Group Clearing Rule" numFmtId="0">
      <sharedItems/>
    </cacheField>
    <cacheField name="Supplier Pays Amount" numFmtId="0">
      <sharedItems containsSemiMixedTypes="0" containsString="0" containsNumber="1" minValue="-1.5449999999999999" maxValue="139.185"/>
    </cacheField>
    <cacheField name="Client Pays Amount" numFmtId="0">
      <sharedItems containsSemiMixedTypes="0" containsString="0" containsNumber="1" minValue="-4.6349999999999998" maxValue="139.1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datar" refreshedDate="42803.796560995368" createdVersion="3" refreshedVersion="3" minRefreshableVersion="3" recordCount="23">
  <cacheSource type="worksheet">
    <worksheetSource ref="A1:AA24" sheet="DATA_CURRENT"/>
  </cacheSource>
  <cacheFields count="27">
    <cacheField name="Status" numFmtId="0">
      <sharedItems/>
    </cacheField>
    <cacheField name="Status2" numFmtId="0">
      <sharedItems/>
    </cacheField>
    <cacheField name="Supplier Code" numFmtId="0">
      <sharedItems containsSemiMixedTypes="0" containsString="0" containsNumber="1" containsInteger="1" minValue="95" maxValue="8520"/>
    </cacheField>
    <cacheField name="Supplier Name" numFmtId="0">
      <sharedItems/>
    </cacheField>
    <cacheField name="Supplier Region Name" numFmtId="0">
      <sharedItems/>
    </cacheField>
    <cacheField name="Client Code" numFmtId="0">
      <sharedItems containsSemiMixedTypes="0" containsString="0" containsNumber="1" containsInteger="1" minValue="95" maxValue="8310"/>
    </cacheField>
    <cacheField name="Client Name" numFmtId="0">
      <sharedItems/>
    </cacheField>
    <cacheField name="Client Region Name" numFmtId="0">
      <sharedItems/>
    </cacheField>
    <cacheField name="Local Invoice Number" numFmtId="0">
      <sharedItems containsMixedTypes="1" containsNumber="1" containsInteger="1" minValue="7334" maxValue="82430160083061"/>
    </cacheField>
    <cacheField name="Supplier SBU" numFmtId="0">
      <sharedItems count="12">
        <s v="11. FS"/>
        <e v="#N/A"/>
        <s v="02. APPSTWO"/>
        <s v="07. GROUP"/>
        <s v="14. DIGITAL"/>
        <s v="03. CC"/>
        <s v="06. SOGETI"/>
        <s v="01. APPSONE" u="1"/>
        <s v="05. BUSINESS SERVICES" u="1"/>
        <s v="08. SHARED SERVICES" u="1"/>
        <s v="10. IND" u="1"/>
        <s v="16. TESTING" u="1"/>
      </sharedItems>
    </cacheField>
    <cacheField name="Supplier BU" numFmtId="0">
      <sharedItems/>
    </cacheField>
    <cacheField name="Creation Date_Final" numFmtId="22">
      <sharedItems containsSemiMixedTypes="0" containsNonDate="0" containsDate="1" containsString="0" minDate="2013-06-27T09:00:06" maxDate="2016-06-23T16:08:13"/>
    </cacheField>
    <cacheField name="DT_Source" numFmtId="0">
      <sharedItems/>
    </cacheField>
    <cacheField name="Major Category" numFmtId="0">
      <sharedItems/>
    </cacheField>
    <cacheField name="Dispute Date_Final" numFmtId="22">
      <sharedItems containsSemiMixedTypes="0" containsNonDate="0" containsDate="1" containsString="0" minDate="2015-10-06T10:22:28" maxDate="2016-09-06T16:20:38"/>
    </cacheField>
    <cacheField name="Period" numFmtId="22">
      <sharedItems/>
    </cacheField>
    <cacheField name="Invoice Age" numFmtId="1">
      <sharedItems containsSemiMixedTypes="0" containsString="0" containsNumber="1" minValue="182.31900462962949" maxValue="518.56773148148204"/>
    </cacheField>
    <cacheField name="Aging Bucket" numFmtId="22">
      <sharedItems/>
    </cacheField>
    <cacheField name="Currency Amount" numFmtId="0">
      <sharedItems containsSemiMixedTypes="0" containsString="0" containsNumber="1" minValue="-6183.5" maxValue="51047.61"/>
    </cacheField>
    <cacheField name="Currency" numFmtId="0">
      <sharedItems/>
    </cacheField>
    <cacheField name="Intra/inter" numFmtId="0">
      <sharedItems/>
    </cacheField>
    <cacheField name="Keuro" numFmtId="0">
      <sharedItems containsSemiMixedTypes="0" containsString="0" containsNumber="1" minValue="-6.18" maxValue="51.05"/>
    </cacheField>
    <cacheField name="Number" numFmtId="0">
      <sharedItems containsSemiMixedTypes="0" containsString="0" containsNumber="1" containsInteger="1" minValue="1" maxValue="1"/>
    </cacheField>
    <cacheField name="DT_Code" numFmtId="0">
      <sharedItems/>
    </cacheField>
    <cacheField name="Group Clearing Rule" numFmtId="0">
      <sharedItems/>
    </cacheField>
    <cacheField name="Supplier Pays Amount" numFmtId="0">
      <sharedItems containsSemiMixedTypes="0" containsString="0" containsNumber="1" minValue="-1.5449999999999999" maxValue="51.05"/>
    </cacheField>
    <cacheField name="Client Pays Amount" numFmtId="0">
      <sharedItems containsSemiMixedTypes="0" containsString="0" containsNumber="1" minValue="-4.6349999999999998" maxValue="26.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s v="Unresolved"/>
    <s v="Unresolved (Aug)"/>
    <n v="8520"/>
    <s v="Capgemini India Pvt Ltd."/>
    <n v="1900"/>
    <s v="INDIA"/>
    <n v="95"/>
    <s v="Capgemini Service S.A.S."/>
    <n v="83"/>
    <s v="HOLDING"/>
    <s v="85201130003085CR"/>
    <x v="0"/>
    <s v="FS-Others"/>
    <m/>
    <d v="2013-06-27T00:00:00"/>
    <s v="8.Invoice awaiting Prime’s approval or PO"/>
    <s v="Hold Payment"/>
    <d v="2016-03-04T00:00:00"/>
    <s v="Q1 2016"/>
    <n v="248"/>
    <s v="181 - 365 Days"/>
    <n v="-6183.5"/>
    <s v="EUR"/>
    <s v="INTER"/>
    <n v="-6.18"/>
    <n v="1"/>
    <s v="8"/>
    <s v="Client 75% / Supplier 25%"/>
    <n v="-1.5449999999999999"/>
    <n v="-4.6349999999999998"/>
  </r>
  <r>
    <s v="Unresolved"/>
    <s v="Added"/>
    <n v="1970"/>
    <s v="Capgemini Financial Services UK Ltd."/>
    <n v="2800"/>
    <s v="UK &amp; IRELAND"/>
    <n v="795"/>
    <s v="Capgemini Suisse S.A."/>
    <n v="597"/>
    <s v="CENTRAL EUROPE"/>
    <n v="19700120000259"/>
    <x v="0"/>
    <s v="Switzerland"/>
    <m/>
    <d v="2016-04-01T00:00:00"/>
    <s v="2.Disagreed rates or price"/>
    <s v="DISAGREEMENT"/>
    <d v="2016-05-03T00:00:00"/>
    <s v="Q2 2016"/>
    <n v="188"/>
    <s v="181 - 365 Days"/>
    <n v="4127.67"/>
    <s v="EUR"/>
    <s v="INTER"/>
    <n v="4.13"/>
    <n v="1"/>
    <s v="2"/>
    <s v="50% / 50%"/>
    <n v="2.0649999999999999"/>
    <n v="2.0649999999999999"/>
  </r>
  <r>
    <s v="Unresolved"/>
    <s v="Added"/>
    <n v="1970"/>
    <s v="Capgemini Financial Services UK Ltd."/>
    <n v="2800"/>
    <s v="UK &amp; IRELAND"/>
    <n v="795"/>
    <s v="Capgemini Suisse S.A."/>
    <n v="597"/>
    <s v="CENTRAL EUROPE"/>
    <n v="19700120000260"/>
    <x v="0"/>
    <s v="Switzerland"/>
    <m/>
    <d v="2016-04-01T00:00:00"/>
    <s v="1.No signed SoW"/>
    <s v="DISAGREEMENT"/>
    <d v="2016-05-03T00:00:00"/>
    <s v="Q2 2016"/>
    <n v="188"/>
    <s v="181 - 365 Days"/>
    <n v="3366.24"/>
    <s v="EUR"/>
    <s v="INTER"/>
    <n v="3.37"/>
    <n v="1"/>
    <s v="1"/>
    <s v="Supplier 100%"/>
    <n v="3.37"/>
    <n v="0"/>
  </r>
  <r>
    <s v="Unresolved"/>
    <s v="Added"/>
    <n v="1970"/>
    <s v="Capgemini Financial Services UK Ltd."/>
    <n v="2800"/>
    <s v="UK &amp; IRELAND"/>
    <n v="795"/>
    <s v="Capgemini Suisse S.A."/>
    <n v="597"/>
    <s v="CENTRAL EUROPE"/>
    <n v="19700120000254"/>
    <x v="0"/>
    <s v="Switzerland"/>
    <m/>
    <d v="2016-03-01T00:00:00"/>
    <s v="2.Disagreed rates or price"/>
    <s v="DISAGREEMENT"/>
    <d v="2016-05-03T00:00:00"/>
    <s v="Q2 2016"/>
    <n v="188"/>
    <s v="181 - 365 Days"/>
    <n v="4190.2299999999996"/>
    <s v="EUR"/>
    <s v="INTER"/>
    <n v="4.1900000000000004"/>
    <n v="1"/>
    <s v="2"/>
    <s v="50% / 50%"/>
    <n v="2.0950000000000002"/>
    <n v="2.0950000000000002"/>
  </r>
  <r>
    <s v="Unresolved"/>
    <s v="Added"/>
    <n v="1970"/>
    <s v="Capgemini Financial Services UK Ltd."/>
    <n v="2800"/>
    <s v="UK &amp; IRELAND"/>
    <n v="795"/>
    <s v="Capgemini Suisse S.A."/>
    <n v="597"/>
    <s v="CENTRAL EUROPE"/>
    <n v="19700120000255"/>
    <x v="0"/>
    <s v="Switzerland"/>
    <m/>
    <d v="2016-03-01T00:00:00"/>
    <s v="2.Disagreed rates or price"/>
    <s v="DISAGREEMENT"/>
    <d v="2016-05-03T00:00:00"/>
    <s v="Q2 2016"/>
    <n v="188"/>
    <s v="181 - 365 Days"/>
    <n v="1473.81"/>
    <s v="EUR"/>
    <s v="INTER"/>
    <n v="1.47"/>
    <n v="1"/>
    <s v="2"/>
    <s v="50% / 50%"/>
    <n v="0.73499999999999999"/>
    <n v="0.73499999999999999"/>
  </r>
  <r>
    <s v="Unresolved"/>
    <s v="Added"/>
    <n v="1970"/>
    <s v="Capgemini Financial Services UK Ltd."/>
    <n v="2800"/>
    <s v="UK &amp; IRELAND"/>
    <n v="795"/>
    <s v="Capgemini Suisse S.A."/>
    <n v="597"/>
    <s v="CENTRAL EUROPE"/>
    <n v="19700120000251"/>
    <x v="0"/>
    <s v="Switzerland"/>
    <m/>
    <d v="2016-02-01T00:00:00"/>
    <s v="2.Disagreed rates or price"/>
    <s v="DISAGREEMENT"/>
    <d v="2016-05-03T00:00:00"/>
    <s v="Q2 2016"/>
    <n v="188"/>
    <s v="181 - 365 Days"/>
    <n v="7825.16"/>
    <s v="EUR"/>
    <s v="INTER"/>
    <n v="7.83"/>
    <n v="1"/>
    <s v="2"/>
    <s v="50% / 50%"/>
    <n v="3.915"/>
    <n v="3.915"/>
  </r>
  <r>
    <s v="Resolved"/>
    <s v="Added"/>
    <n v="5801"/>
    <s v="IGATE Computer Systems (UK) Limited Italy"/>
    <n v="1720"/>
    <s v="ITALY"/>
    <n v="1710"/>
    <s v="Capgemini Italia S.p.A"/>
    <n v="1720"/>
    <s v="ITALY"/>
    <s v="820000037/16-17"/>
    <x v="1"/>
    <s v="iGATE"/>
    <m/>
    <d v="2016-05-04T00:00:00"/>
    <s v="1.No signed SoW"/>
    <s v="DISAGREEMENT"/>
    <d v="2016-05-04T00:00:00"/>
    <s v="Q2 2016"/>
    <n v="187"/>
    <s v="181 - 365 Days"/>
    <n v="2876.76"/>
    <s v="EUR"/>
    <s v="INTRA"/>
    <n v="2.88"/>
    <n v="1"/>
    <s v="1"/>
    <s v="Supplier 100%"/>
    <n v="2.88"/>
    <n v="0"/>
  </r>
  <r>
    <s v="Resolved"/>
    <s v="Added"/>
    <n v="5801"/>
    <s v="IGATE Computer Systems (UK) Limited Italy"/>
    <n v="1720"/>
    <s v="ITALY"/>
    <n v="1710"/>
    <s v="Capgemini Italia S.p.A"/>
    <n v="1720"/>
    <s v="ITALY"/>
    <s v="820000034/15-16"/>
    <x v="1"/>
    <s v="iGATE"/>
    <m/>
    <d v="2016-04-04T00:00:00"/>
    <s v="1.No signed SoW"/>
    <s v="DISAGREEMENT"/>
    <d v="2016-05-04T00:00:00"/>
    <s v="Q2 2016"/>
    <n v="187"/>
    <s v="181 - 365 Days"/>
    <n v="2619.34"/>
    <s v="EUR"/>
    <s v="INTRA"/>
    <n v="2.62"/>
    <n v="1"/>
    <s v="1"/>
    <s v="Supplier 100%"/>
    <n v="2.62"/>
    <n v="0"/>
  </r>
  <r>
    <s v="Resolved"/>
    <s v="Added"/>
    <n v="5801"/>
    <s v="IGATE Computer Systems (UK) Limited Italy"/>
    <n v="1720"/>
    <s v="ITALY"/>
    <n v="1710"/>
    <s v="Capgemini Italia S.p.A"/>
    <n v="1720"/>
    <s v="ITALY"/>
    <s v="820000035/15-16"/>
    <x v="1"/>
    <s v="iGATE"/>
    <m/>
    <d v="2016-04-04T00:00:00"/>
    <s v="1.No signed SoW"/>
    <s v="DISAGREEMENT"/>
    <d v="2016-05-04T00:00:00"/>
    <s v="Q2 2016"/>
    <n v="187"/>
    <s v="181 - 365 Days"/>
    <n v="2724.26"/>
    <s v="EUR"/>
    <s v="INTRA"/>
    <n v="2.72"/>
    <n v="1"/>
    <s v="1"/>
    <s v="Supplier 100%"/>
    <n v="2.72"/>
    <n v="0"/>
  </r>
  <r>
    <s v="Unresolved"/>
    <s v="Added"/>
    <n v="95"/>
    <s v="Capgemini Service S.A.S."/>
    <n v="83"/>
    <s v="HOLDING"/>
    <n v="420"/>
    <s v="Capgemini Belgium N.V./S.A."/>
    <n v="1400"/>
    <s v="BENELUX"/>
    <n v="950110008129"/>
    <x v="2"/>
    <s v="GROUP SHARED SERVICES"/>
    <m/>
    <d v="2016-04-04T00:00:00"/>
    <s v="1.No signed SoW"/>
    <s v="DISAGREEMENT"/>
    <d v="2016-05-04T00:00:00"/>
    <s v="Q2 2016"/>
    <n v="187"/>
    <s v="181 - 365 Days"/>
    <n v="38802"/>
    <s v="EUR"/>
    <s v="INTER"/>
    <n v="38.799999999999997"/>
    <n v="1"/>
    <s v="1"/>
    <s v="Supplier 100%"/>
    <n v="38.799999999999997"/>
    <n v="0"/>
  </r>
  <r>
    <s v="Unresolved"/>
    <s v="Added"/>
    <n v="95"/>
    <s v="Capgemini Service S.A.S."/>
    <n v="83"/>
    <s v="HOLDING"/>
    <n v="420"/>
    <s v="Capgemini Belgium N.V./S.A."/>
    <n v="1400"/>
    <s v="BENELUX"/>
    <n v="950110008130"/>
    <x v="2"/>
    <s v="GROUP SHARED SERVICES"/>
    <m/>
    <d v="2016-04-04T00:00:00"/>
    <s v="1.No signed SoW"/>
    <s v="DISAGREEMENT"/>
    <d v="2016-05-04T00:00:00"/>
    <s v="Q2 2016"/>
    <n v="187"/>
    <s v="181 - 365 Days"/>
    <n v="24317"/>
    <s v="EUR"/>
    <s v="INTER"/>
    <n v="24.32"/>
    <n v="1"/>
    <s v="1"/>
    <s v="Supplier 100%"/>
    <n v="24.32"/>
    <n v="0"/>
  </r>
  <r>
    <s v="Unresolved"/>
    <s v="Added"/>
    <n v="95"/>
    <s v="Capgemini Service S.A.S."/>
    <n v="83"/>
    <s v="HOLDING"/>
    <n v="420"/>
    <s v="Capgemini Belgium N.V./S.A."/>
    <n v="1400"/>
    <s v="BENELUX"/>
    <n v="950110008132"/>
    <x v="2"/>
    <s v="GROUP SHARED SERVICES"/>
    <m/>
    <d v="2016-04-04T00:00:00"/>
    <s v="1.No signed SoW"/>
    <s v="DISAGREEMENT"/>
    <d v="2016-05-04T00:00:00"/>
    <s v="Q2 2016"/>
    <n v="187"/>
    <s v="181 - 365 Days"/>
    <n v="4925"/>
    <s v="EUR"/>
    <s v="INTER"/>
    <n v="4.93"/>
    <n v="1"/>
    <s v="1"/>
    <s v="Supplier 100%"/>
    <n v="4.93"/>
    <n v="0"/>
  </r>
  <r>
    <s v="Resolved"/>
    <s v="Added"/>
    <n v="635"/>
    <s v="Capgemini Technology Services"/>
    <n v="670"/>
    <s v="FRANCE"/>
    <n v="8243"/>
    <s v="Capgemini Deutschland GmbH"/>
    <n v="597"/>
    <s v="CENTRAL EUROPE"/>
    <n v="63501111603678"/>
    <x v="3"/>
    <s v="FR03SBU - SBU Apps2 (Testing)"/>
    <m/>
    <d v="2016-02-18T00:00:00"/>
    <s v="8.Invoice awaiting Prime’s approval or PO"/>
    <s v="Hold Payment"/>
    <d v="2016-05-06T00:00:00"/>
    <s v="Q2 2016"/>
    <n v="185"/>
    <s v="181 - 365 Days"/>
    <n v="10001.4"/>
    <s v="EUR"/>
    <s v="INTER"/>
    <n v="10"/>
    <n v="1"/>
    <s v="8"/>
    <s v="Client 75% / Supplier 25%"/>
    <n v="2.5"/>
    <n v="7.5"/>
  </r>
  <r>
    <s v="Resolved"/>
    <s v="Added"/>
    <n v="635"/>
    <s v="Capgemini Technology Services"/>
    <n v="670"/>
    <s v="FRANCE"/>
    <n v="8243"/>
    <s v="Capgemini Deutschland GmbH"/>
    <n v="597"/>
    <s v="CENTRAL EUROPE"/>
    <n v="63501111603679"/>
    <x v="3"/>
    <s v="FR03SBU - SBU Apps2 (Testing)"/>
    <m/>
    <d v="2016-02-18T00:00:00"/>
    <s v="8.Invoice awaiting Prime’s approval or PO"/>
    <s v="Hold Payment"/>
    <d v="2016-05-06T00:00:00"/>
    <s v="Q2 2016"/>
    <n v="185"/>
    <s v="181 - 365 Days"/>
    <n v="10001.4"/>
    <s v="EUR"/>
    <s v="INTER"/>
    <n v="10"/>
    <n v="1"/>
    <s v="8"/>
    <s v="Client 75% / Supplier 25%"/>
    <n v="2.5"/>
    <n v="7.5"/>
  </r>
  <r>
    <s v="Resolved"/>
    <s v="Added"/>
    <n v="787"/>
    <s v="Capgemini France S.A.S."/>
    <n v="670"/>
    <s v="FRANCE"/>
    <n v="1320"/>
    <s v="Capgemini Norge AS"/>
    <n v="399"/>
    <s v="NORDIC"/>
    <n v="78713300011602"/>
    <x v="4"/>
    <s v="CG FR"/>
    <m/>
    <d v="2016-02-18T00:00:00"/>
    <s v="6.Missing or wrong information on invoice"/>
    <s v="Missing Information or Attachment"/>
    <d v="2016-05-05T00:00:00"/>
    <s v="Q2 2016"/>
    <n v="186"/>
    <s v="181 - 365 Days"/>
    <n v="278367.19"/>
    <s v="EUR"/>
    <s v="INTER"/>
    <n v="278.37"/>
    <n v="1"/>
    <s v="6/7"/>
    <s v="50% / 50%"/>
    <n v="139.185"/>
    <n v="139.185"/>
  </r>
  <r>
    <s v="Resolved"/>
    <s v="Added"/>
    <n v="5801"/>
    <s v="IGATE Computer Systems (UK) Limited Italy"/>
    <n v="1720"/>
    <s v="ITALY"/>
    <n v="1710"/>
    <s v="Capgemini Italia S.p.A"/>
    <n v="1720"/>
    <s v="ITALY"/>
    <s v="820000028/15-16"/>
    <x v="1"/>
    <s v="iGATE"/>
    <m/>
    <d v="2016-03-03T00:00:00"/>
    <s v="1.No signed SoW"/>
    <s v="DISAGREEMENT"/>
    <d v="2016-05-04T00:00:00"/>
    <s v="Q2 2016"/>
    <n v="187"/>
    <s v="181 - 365 Days"/>
    <n v="18337.82"/>
    <s v="EUR"/>
    <s v="INTRA"/>
    <n v="18.34"/>
    <n v="1"/>
    <s v="1"/>
    <s v="Supplier 100%"/>
    <n v="18.34"/>
    <n v="0"/>
  </r>
  <r>
    <s v="Resolved"/>
    <s v="Added"/>
    <n v="5801"/>
    <s v="IGATE Computer Systems (UK) Limited Italy"/>
    <n v="1720"/>
    <s v="ITALY"/>
    <n v="1710"/>
    <s v="Capgemini Italia S.p.A"/>
    <n v="1720"/>
    <s v="ITALY"/>
    <s v="820000029/15-16"/>
    <x v="1"/>
    <s v="iGATE"/>
    <m/>
    <d v="2016-03-03T00:00:00"/>
    <s v="1.No signed SoW"/>
    <s v="DISAGREEMENT"/>
    <d v="2016-05-04T00:00:00"/>
    <s v="Q2 2016"/>
    <n v="187"/>
    <s v="181 - 365 Days"/>
    <n v="5493.66"/>
    <s v="EUR"/>
    <s v="INTRA"/>
    <n v="5.49"/>
    <n v="1"/>
    <s v="1"/>
    <s v="Supplier 100%"/>
    <n v="5.49"/>
    <n v="0"/>
  </r>
  <r>
    <s v="Unresolved"/>
    <s v="Unresolved (May)"/>
    <n v="260"/>
    <s v="Capgemini UK Plc"/>
    <n v="2800"/>
    <s v="UK &amp; IRELAND"/>
    <n v="1350"/>
    <s v="Capgemini Sverige AB"/>
    <n v="399"/>
    <s v="NORDIC"/>
    <n v="260013004770"/>
    <x v="4"/>
    <s v="Global Sales"/>
    <m/>
    <d v="2015-10-01T00:00:00"/>
    <s v="8.Invoice awaiting Prime’s approval or PO"/>
    <s v="Hold Payment"/>
    <d v="2015-12-03T00:00:00"/>
    <s v="Q4 2015"/>
    <n v="340"/>
    <s v="181 - 365 Days"/>
    <n v="11449.55"/>
    <s v="GBP"/>
    <s v="INTER"/>
    <n v="12.71"/>
    <n v="1"/>
    <s v="8"/>
    <s v="Client 75% / Supplier 25%"/>
    <n v="3.1775000000000002"/>
    <n v="9.5325000000000006"/>
  </r>
  <r>
    <s v="Resolved"/>
    <s v="Unresolved (Aug)"/>
    <n v="260"/>
    <s v="Capgemini UK Plc"/>
    <n v="2800"/>
    <s v="UK &amp; IRELAND"/>
    <n v="1350"/>
    <s v="Capgemini Sverige AB"/>
    <n v="399"/>
    <s v="NORDIC"/>
    <n v="260013005550"/>
    <x v="5"/>
    <s v="IS GLOBAL HUB"/>
    <m/>
    <d v="2015-12-23T00:00:00"/>
    <s v="6.Missing or wrong information on invoice"/>
    <s v="Missing Information or Attachment"/>
    <d v="2016-03-03T00:00:00"/>
    <s v="Q1 2016"/>
    <n v="249"/>
    <s v="181 - 365 Days"/>
    <n v="26301.41"/>
    <s v="GBP"/>
    <s v="INTER"/>
    <n v="29.21"/>
    <n v="1"/>
    <s v="6/7"/>
    <s v="50% / 50%"/>
    <n v="14.605"/>
    <n v="14.605"/>
  </r>
  <r>
    <s v="Unresolved"/>
    <s v="Unresolved (Jul)"/>
    <n v="260"/>
    <s v="Capgemini UK Plc"/>
    <n v="2800"/>
    <s v="UK &amp; IRELAND"/>
    <n v="1350"/>
    <s v="Capgemini Sverige AB"/>
    <n v="399"/>
    <s v="NORDIC"/>
    <n v="260013005338"/>
    <x v="4"/>
    <s v="Global Sales"/>
    <m/>
    <d v="2015-12-01T00:00:00"/>
    <s v="6.Missing or wrong information on invoice"/>
    <s v="Missing Information or Attachment"/>
    <d v="2016-02-04T00:00:00"/>
    <s v="Q1 2016"/>
    <n v="277"/>
    <s v="181 - 365 Days"/>
    <n v="23347.47"/>
    <s v="GBP"/>
    <s v="INTER"/>
    <n v="25.93"/>
    <n v="1"/>
    <s v="6/7"/>
    <s v="50% / 50%"/>
    <n v="12.965"/>
    <n v="12.965"/>
  </r>
  <r>
    <s v="Unresolved"/>
    <s v="Unresolved (May)"/>
    <n v="260"/>
    <s v="Capgemini UK Plc"/>
    <n v="2800"/>
    <s v="UK &amp; IRELAND"/>
    <n v="1350"/>
    <s v="Capgemini Sverige AB"/>
    <n v="399"/>
    <s v="NORDIC"/>
    <n v="260013004153"/>
    <x v="4"/>
    <s v="Global Sales"/>
    <m/>
    <d v="2015-08-04T00:00:00"/>
    <s v="6.Missing or wrong information on invoice"/>
    <s v="Missing Information or Attachment"/>
    <d v="2015-10-06T00:00:00"/>
    <s v="Q3 2015"/>
    <n v="398"/>
    <s v="Above 365 Days"/>
    <n v="22387.4"/>
    <s v="GBP"/>
    <s v="INTER"/>
    <n v="24.86"/>
    <n v="1"/>
    <s v="6/7"/>
    <s v="50% / 50%"/>
    <n v="12.43"/>
    <n v="12.43"/>
  </r>
  <r>
    <s v="Unresolved"/>
    <s v="Unresolved (May)"/>
    <n v="260"/>
    <s v="Capgemini UK Plc"/>
    <n v="2800"/>
    <s v="UK &amp; IRELAND"/>
    <n v="1350"/>
    <s v="Capgemini Sverige AB"/>
    <n v="399"/>
    <s v="NORDIC"/>
    <n v="260013003541"/>
    <x v="4"/>
    <s v="Global Sales"/>
    <m/>
    <d v="2015-06-01T00:00:00"/>
    <s v="8.Invoice awaiting Prime’s approval or PO"/>
    <s v="Hold Payment"/>
    <d v="2015-08-05T00:00:00"/>
    <s v="Q3 2015"/>
    <n v="460"/>
    <s v="Above 365 Days"/>
    <n v="11054.54"/>
    <s v="GBP"/>
    <s v="INTER"/>
    <n v="12.28"/>
    <n v="1"/>
    <s v="8"/>
    <s v="Client 75% / Supplier 25%"/>
    <n v="3.07"/>
    <n v="9.2099999999999991"/>
  </r>
  <r>
    <s v="Unresolved"/>
    <s v="Unresolved (Aug)"/>
    <n v="8520"/>
    <s v="Capgemini India Pvt Ltd."/>
    <n v="1900"/>
    <s v="INDIA"/>
    <n v="95"/>
    <s v="Capgemini Service S.A.S."/>
    <n v="83"/>
    <s v="HOLDING"/>
    <n v="85200410023573"/>
    <x v="4"/>
    <s v="ID SHARED SERVICES - IDSSCOST - BU"/>
    <m/>
    <d v="2015-02-11T00:00:00"/>
    <s v="8.Invoice awaiting Prime’s approval or PO"/>
    <s v="Hold Payment"/>
    <d v="2016-03-04T00:00:00"/>
    <s v="Q1 2016"/>
    <n v="248"/>
    <s v="181 - 365 Days"/>
    <n v="-432223"/>
    <s v="INR"/>
    <s v="INTER"/>
    <n v="-5.91"/>
    <n v="1"/>
    <s v="8"/>
    <s v="Client 75% / Supplier 25%"/>
    <n v="-1.4775"/>
    <n v="-4.4325000000000001"/>
  </r>
  <r>
    <s v="Resolved"/>
    <s v="Unresolved (Jul)"/>
    <n v="8520"/>
    <s v="Capgemini India Pvt Ltd."/>
    <n v="1900"/>
    <s v="INDIA"/>
    <n v="1350"/>
    <s v="Capgemini Sverige AB"/>
    <n v="399"/>
    <s v="NORDIC"/>
    <n v="85202010000665"/>
    <x v="0"/>
    <s v="FS-Others"/>
    <m/>
    <d v="2015-11-02T00:00:00"/>
    <s v="8.Invoice awaiting Prime’s approval or PO"/>
    <s v="Hold Payment"/>
    <d v="2016-02-03T00:00:00"/>
    <s v="Q1 2016"/>
    <n v="278"/>
    <s v="181 - 365 Days"/>
    <n v="96850"/>
    <s v="INR"/>
    <s v="INTER"/>
    <n v="1.33"/>
    <n v="1"/>
    <s v="8"/>
    <s v="Client 75% / Supplier 25%"/>
    <n v="0.33250000000000002"/>
    <n v="0.99750000000000005"/>
  </r>
  <r>
    <s v="Unresolved"/>
    <s v="Unresolved (Jun)"/>
    <n v="8520"/>
    <s v="Capgemini India Pvt Ltd."/>
    <n v="1900"/>
    <s v="INDIA"/>
    <n v="199"/>
    <s v="Capgemini America Inc"/>
    <n v="1100"/>
    <s v="NORTH AMERICA"/>
    <n v="85200410029501"/>
    <x v="6"/>
    <s v="Insights &amp; Data "/>
    <m/>
    <d v="2015-11-02T00:00:00"/>
    <s v="8.Invoice awaiting Prime’s approval or PO"/>
    <s v="Hold Payment"/>
    <d v="2015-12-29T00:00:00"/>
    <s v="Q4 2015"/>
    <n v="314"/>
    <s v="181 - 365 Days"/>
    <n v="1435987.9"/>
    <s v="INR"/>
    <s v="INTER"/>
    <n v="19.649999999999999"/>
    <n v="1"/>
    <s v="8"/>
    <s v="Client 75% / Supplier 25%"/>
    <n v="4.9124999999999996"/>
    <n v="14.737499999999999"/>
  </r>
  <r>
    <s v="Unresolved"/>
    <s v="Unresolved (Jun)"/>
    <n v="8520"/>
    <s v="Capgemini India Pvt Ltd."/>
    <n v="1900"/>
    <s v="INDIA"/>
    <n v="95"/>
    <s v="Capgemini Service S.A.S."/>
    <n v="83"/>
    <s v="HOLDING"/>
    <n v="85200310072868"/>
    <x v="7"/>
    <s v="KBS"/>
    <m/>
    <d v="2015-11-02T00:00:00"/>
    <s v="8.Invoice awaiting Prime’s approval or PO"/>
    <s v="Hold Payment"/>
    <d v="2015-12-29T00:00:00"/>
    <s v="Q4 2015"/>
    <n v="314"/>
    <s v="181 - 365 Days"/>
    <n v="477836"/>
    <s v="INR"/>
    <s v="INTER"/>
    <n v="6.54"/>
    <n v="1"/>
    <s v="8"/>
    <s v="Client 75% / Supplier 25%"/>
    <n v="1.635"/>
    <n v="4.9050000000000002"/>
  </r>
  <r>
    <s v="Resolved"/>
    <s v="Unresolved (Jun)"/>
    <n v="8520"/>
    <s v="Capgemini India Pvt Ltd."/>
    <n v="1900"/>
    <s v="INDIA"/>
    <n v="199"/>
    <s v="Capgemini America Inc"/>
    <n v="1100"/>
    <s v="NORTH AMERICA"/>
    <n v="85200410029590"/>
    <x v="6"/>
    <s v="Insights &amp; Data "/>
    <m/>
    <d v="2015-11-02T00:00:00"/>
    <s v="8.Invoice awaiting Prime’s approval or PO"/>
    <s v="Hold Payment"/>
    <d v="2015-12-29T00:00:00"/>
    <s v="Q4 2015"/>
    <n v="314"/>
    <s v="181 - 365 Days"/>
    <n v="1237086"/>
    <s v="INR"/>
    <s v="INTER"/>
    <n v="16.920000000000002"/>
    <n v="1"/>
    <s v="8"/>
    <s v="Client 75% / Supplier 25%"/>
    <n v="4.2300000000000004"/>
    <n v="12.690000000000001"/>
  </r>
  <r>
    <s v="Unresolved"/>
    <s v="Unresolved (Aug)"/>
    <n v="8520"/>
    <s v="Capgemini India Pvt Ltd."/>
    <n v="1900"/>
    <s v="INDIA"/>
    <n v="1320"/>
    <s v="Capgemini Norge AS"/>
    <n v="399"/>
    <s v="NORDIC"/>
    <n v="85200710011171"/>
    <x v="7"/>
    <s v="HRO"/>
    <m/>
    <d v="2015-12-24T00:00:00"/>
    <s v="8.Invoice awaiting Prime’s approval or PO"/>
    <s v="Hold Payment"/>
    <d v="2016-03-04T00:00:00"/>
    <s v="Q1 2016"/>
    <n v="248"/>
    <s v="181 - 365 Days"/>
    <n v="1024484.47"/>
    <s v="INR"/>
    <s v="INTER"/>
    <n v="14.02"/>
    <n v="1"/>
    <s v="8"/>
    <s v="Client 75% / Supplier 25%"/>
    <n v="3.5049999999999999"/>
    <n v="10.515000000000001"/>
  </r>
  <r>
    <s v="Unresolved"/>
    <s v="Unresolved (Aug)"/>
    <n v="8520"/>
    <s v="Capgemini India Pvt Ltd."/>
    <n v="1900"/>
    <s v="INDIA"/>
    <n v="1350"/>
    <s v="Capgemini Sverige AB"/>
    <n v="399"/>
    <s v="NORDIC"/>
    <n v="85201210002195"/>
    <x v="0"/>
    <s v="FS NB - FSNB - BU"/>
    <m/>
    <d v="2015-12-24T00:00:00"/>
    <s v="8.Invoice awaiting Prime’s approval or PO"/>
    <s v="Hold Payment"/>
    <d v="2016-03-03T00:00:00"/>
    <s v="Q1 2016"/>
    <n v="249"/>
    <s v="181 - 365 Days"/>
    <n v="914460"/>
    <s v="INR"/>
    <s v="INTER"/>
    <n v="12.51"/>
    <n v="1"/>
    <s v="8"/>
    <s v="Client 75% / Supplier 25%"/>
    <n v="3.1274999999999999"/>
    <n v="9.3825000000000003"/>
  </r>
  <r>
    <s v="Unresolved"/>
    <s v="Unresolved (Aug)"/>
    <n v="8520"/>
    <s v="Capgemini India Pvt Ltd."/>
    <n v="1900"/>
    <s v="INDIA"/>
    <n v="1350"/>
    <s v="Capgemini Sverige AB"/>
    <n v="399"/>
    <s v="NORDIC"/>
    <n v="85201210002212"/>
    <x v="0"/>
    <s v="FS NB - FSNB - BU"/>
    <m/>
    <d v="2015-12-24T00:00:00"/>
    <s v="6.Missing or wrong information on invoice"/>
    <s v="Missing Information or Attachment"/>
    <d v="2016-03-03T00:00:00"/>
    <s v="Q1 2016"/>
    <n v="249"/>
    <s v="181 - 365 Days"/>
    <n v="1797286.78"/>
    <s v="INR"/>
    <s v="INTER"/>
    <n v="24.59"/>
    <n v="1"/>
    <s v="6/7"/>
    <s v="50% / 50%"/>
    <n v="12.295"/>
    <n v="12.295"/>
  </r>
  <r>
    <s v="Unresolved"/>
    <s v="Unresolved (Aug)"/>
    <n v="8520"/>
    <s v="Capgemini India Pvt Ltd."/>
    <n v="1900"/>
    <s v="INDIA"/>
    <n v="1350"/>
    <s v="Capgemini Sverige AB"/>
    <n v="399"/>
    <s v="NORDIC"/>
    <n v="85201210002224"/>
    <x v="0"/>
    <s v="FS NB - FSNB - BU"/>
    <m/>
    <d v="2015-12-24T00:00:00"/>
    <s v="6.Missing or wrong information on invoice"/>
    <s v="Missing Information or Attachment"/>
    <d v="2016-03-03T00:00:00"/>
    <s v="Q1 2016"/>
    <n v="249"/>
    <s v="181 - 365 Days"/>
    <n v="90850"/>
    <s v="INR"/>
    <s v="INTER"/>
    <n v="1.24"/>
    <n v="1"/>
    <s v="6/7"/>
    <s v="50% / 50%"/>
    <n v="0.62"/>
    <n v="0.62"/>
  </r>
  <r>
    <s v="Unresolved"/>
    <s v="Unresolved (Aug)"/>
    <n v="8520"/>
    <s v="Capgemini India Pvt Ltd."/>
    <n v="1900"/>
    <s v="INDIA"/>
    <n v="1320"/>
    <s v="Capgemini Norge AS"/>
    <n v="399"/>
    <s v="NORDIC"/>
    <n v="85201130003708"/>
    <x v="0"/>
    <s v="Debit Note"/>
    <m/>
    <d v="2015-12-24T00:00:00"/>
    <s v="6.Missing or wrong information on invoice"/>
    <s v="Missing Information or Attachment"/>
    <d v="2016-03-04T00:00:00"/>
    <s v="Q1 2016"/>
    <n v="248"/>
    <s v="181 - 365 Days"/>
    <n v="338712.58"/>
    <s v="INR"/>
    <s v="INTER"/>
    <n v="4.63"/>
    <n v="1"/>
    <s v="6/7"/>
    <s v="50% / 50%"/>
    <n v="2.3149999999999999"/>
    <n v="2.3149999999999999"/>
  </r>
  <r>
    <s v="Unresolved"/>
    <s v="Unresolved (Jul)"/>
    <n v="8520"/>
    <s v="Capgemini India Pvt Ltd."/>
    <n v="1900"/>
    <s v="INDIA"/>
    <n v="199"/>
    <s v="Capgemini America Inc"/>
    <n v="1100"/>
    <s v="NORTH AMERICA"/>
    <n v="85203310000129"/>
    <x v="0"/>
    <s v="FS-Others"/>
    <m/>
    <d v="2015-12-24T00:00:00"/>
    <s v="8.Invoice awaiting Prime’s approval or PO"/>
    <s v="Hold Payment"/>
    <d v="2016-02-03T00:00:00"/>
    <s v="Q1 2016"/>
    <n v="278"/>
    <s v="181 - 365 Days"/>
    <n v="76720"/>
    <s v="INR"/>
    <s v="INTER"/>
    <n v="1.05"/>
    <n v="1"/>
    <s v="8"/>
    <s v="Client 75% / Supplier 25%"/>
    <n v="0.26250000000000001"/>
    <n v="0.78750000000000009"/>
  </r>
  <r>
    <s v="Unresolved"/>
    <s v="Unresolved (May)"/>
    <n v="8520"/>
    <s v="Capgemini India Pvt Ltd."/>
    <n v="1900"/>
    <s v="INDIA"/>
    <n v="1350"/>
    <s v="Capgemini Sverige AB"/>
    <n v="399"/>
    <s v="NORDIC"/>
    <n v="85201210002014"/>
    <x v="0"/>
    <s v="FS-Others"/>
    <m/>
    <d v="2015-10-01T00:00:00"/>
    <s v="8.Invoice awaiting Prime’s approval or PO"/>
    <s v="Hold Payment"/>
    <d v="2015-12-04T00:00:00"/>
    <s v="Q4 2015"/>
    <n v="339"/>
    <s v="181 - 365 Days"/>
    <n v="242946.65"/>
    <s v="INR"/>
    <s v="INTER"/>
    <n v="3.32"/>
    <n v="1"/>
    <s v="8"/>
    <s v="Client 75% / Supplier 25%"/>
    <n v="0.83"/>
    <n v="2.4899999999999998"/>
  </r>
  <r>
    <s v="Unresolved"/>
    <s v="Unresolved (Jul)"/>
    <n v="8520"/>
    <s v="Capgemini India Pvt Ltd."/>
    <n v="1900"/>
    <s v="INDIA"/>
    <n v="199"/>
    <s v="Capgemini America Inc"/>
    <n v="1100"/>
    <s v="NORTH AMERICA"/>
    <n v="85201210002173"/>
    <x v="0"/>
    <s v="FS-Others"/>
    <m/>
    <d v="2015-12-01T00:00:00"/>
    <s v="8.Invoice awaiting Prime’s approval or PO"/>
    <s v="Hold Payment"/>
    <d v="2016-02-03T00:00:00"/>
    <s v="Q1 2016"/>
    <n v="278"/>
    <s v="181 - 365 Days"/>
    <n v="127619"/>
    <s v="INR"/>
    <s v="INTER"/>
    <n v="1.75"/>
    <n v="1"/>
    <s v="8"/>
    <s v="Client 75% / Supplier 25%"/>
    <n v="0.4375"/>
    <n v="1.3125"/>
  </r>
  <r>
    <s v="Resolved"/>
    <s v="Unresolved (Jul)"/>
    <n v="8520"/>
    <s v="Capgemini India Pvt Ltd."/>
    <n v="1900"/>
    <s v="INDIA"/>
    <n v="1350"/>
    <s v="Capgemini Sverige AB"/>
    <n v="399"/>
    <s v="NORDIC"/>
    <n v="85202010000695"/>
    <x v="0"/>
    <s v="FS-Others"/>
    <m/>
    <d v="2015-12-01T00:00:00"/>
    <s v="8.Invoice awaiting Prime’s approval or PO"/>
    <s v="Hold Payment"/>
    <d v="2016-02-03T00:00:00"/>
    <s v="Q1 2016"/>
    <n v="278"/>
    <s v="181 - 365 Days"/>
    <n v="95900"/>
    <s v="INR"/>
    <s v="INTER"/>
    <n v="1.31"/>
    <n v="1"/>
    <s v="8"/>
    <s v="Client 75% / Supplier 25%"/>
    <n v="0.32750000000000001"/>
    <n v="0.98250000000000004"/>
  </r>
  <r>
    <s v="Unresolved"/>
    <s v="Unresolved (Jul)"/>
    <n v="8520"/>
    <s v="Capgemini India Pvt Ltd."/>
    <n v="1900"/>
    <s v="INDIA"/>
    <n v="199"/>
    <s v="Capgemini America Inc"/>
    <n v="1100"/>
    <s v="NORTH AMERICA"/>
    <n v="85203310000126"/>
    <x v="0"/>
    <s v="FS-Others"/>
    <m/>
    <d v="2015-12-01T00:00:00"/>
    <s v="8.Invoice awaiting Prime’s approval or PO"/>
    <s v="Hold Payment"/>
    <d v="2016-02-03T00:00:00"/>
    <s v="Q1 2016"/>
    <n v="278"/>
    <s v="181 - 365 Days"/>
    <n v="148645"/>
    <s v="INR"/>
    <s v="INTER"/>
    <n v="2.0299999999999998"/>
    <n v="1"/>
    <s v="8"/>
    <s v="Client 75% / Supplier 25%"/>
    <n v="0.50749999999999995"/>
    <n v="1.5225"/>
  </r>
  <r>
    <s v="Unresolved"/>
    <s v="Added"/>
    <n v="8520"/>
    <s v="Capgemini India Pvt Ltd."/>
    <n v="1900"/>
    <s v="INDIA"/>
    <n v="3011"/>
    <s v="Sogeti USA LLC"/>
    <n v="1100"/>
    <s v="NORTH AMERICA"/>
    <n v="85200310079245"/>
    <x v="8"/>
    <s v="I and D India ACIS"/>
    <m/>
    <d v="2016-04-01T00:00:00"/>
    <s v="3.Disagreed days, volume or deliverables"/>
    <s v="DISAGREEMENT"/>
    <d v="2016-05-05T00:00:00"/>
    <s v="Q2 2016"/>
    <n v="186"/>
    <s v="181 - 365 Days"/>
    <n v="440359.2"/>
    <s v="INR"/>
    <s v="INTER"/>
    <n v="6.02"/>
    <n v="1"/>
    <s v="3"/>
    <s v="50% / 50%"/>
    <n v="3.01"/>
    <n v="3.01"/>
  </r>
  <r>
    <s v="Unresolved"/>
    <s v="Added"/>
    <n v="8520"/>
    <s v="Capgemini India Pvt Ltd."/>
    <n v="1900"/>
    <s v="INDIA"/>
    <n v="3011"/>
    <s v="Sogeti USA LLC"/>
    <n v="1100"/>
    <s v="NORTH AMERICA"/>
    <n v="85200310079426"/>
    <x v="8"/>
    <s v="I and D India ACIS"/>
    <m/>
    <d v="2016-04-01T00:00:00"/>
    <s v="3.Disagreed days, volume or deliverables"/>
    <s v="DISAGREEMENT"/>
    <d v="2016-05-05T00:00:00"/>
    <s v="Q2 2016"/>
    <n v="186"/>
    <s v="181 - 365 Days"/>
    <n v="866400"/>
    <s v="INR"/>
    <s v="INTER"/>
    <n v="11.85"/>
    <n v="1"/>
    <s v="3"/>
    <s v="50% / 50%"/>
    <n v="5.9249999999999998"/>
    <n v="5.9249999999999998"/>
  </r>
  <r>
    <s v="Unresolved"/>
    <s v="Added"/>
    <n v="8520"/>
    <s v="Capgemini India Pvt Ltd."/>
    <n v="1900"/>
    <s v="INDIA"/>
    <n v="3011"/>
    <s v="Sogeti USA LLC"/>
    <n v="1100"/>
    <s v="NORTH AMERICA"/>
    <n v="85200410034326"/>
    <x v="8"/>
    <s v="I and D India ACIS"/>
    <m/>
    <d v="2016-04-01T00:00:00"/>
    <s v="3.Disagreed days, volume or deliverables"/>
    <s v="DISAGREEMENT"/>
    <d v="2016-05-05T00:00:00"/>
    <s v="Q2 2016"/>
    <n v="186"/>
    <s v="181 - 365 Days"/>
    <n v="471841.02"/>
    <s v="INR"/>
    <s v="INTER"/>
    <n v="6.46"/>
    <n v="1"/>
    <s v="3"/>
    <s v="50% / 50%"/>
    <n v="3.23"/>
    <n v="3.23"/>
  </r>
  <r>
    <s v="Unresolved"/>
    <s v="Added"/>
    <n v="8520"/>
    <s v="Capgemini India Pvt Ltd."/>
    <n v="1900"/>
    <s v="INDIA"/>
    <n v="3011"/>
    <s v="Sogeti USA LLC"/>
    <n v="1100"/>
    <s v="NORTH AMERICA"/>
    <n v="85200310079226"/>
    <x v="8"/>
    <s v="I and D India ACIS"/>
    <m/>
    <d v="2016-04-01T00:00:00"/>
    <s v="6.Missing or wrong information on invoice"/>
    <s v="Missing Information or Attachment"/>
    <d v="2016-05-05T00:00:00"/>
    <s v="Q2 2016"/>
    <n v="186"/>
    <s v="181 - 365 Days"/>
    <n v="-131114.94"/>
    <s v="INR"/>
    <s v="INTER"/>
    <n v="-1.79"/>
    <n v="1"/>
    <s v="6/7"/>
    <s v="50% / 50%"/>
    <n v="-0.89500000000000002"/>
    <n v="-0.89500000000000002"/>
  </r>
  <r>
    <s v="Unresolved"/>
    <s v="Added"/>
    <n v="8520"/>
    <s v="Capgemini India Pvt Ltd."/>
    <n v="1900"/>
    <s v="INDIA"/>
    <n v="3011"/>
    <s v="Sogeti USA LLC"/>
    <n v="1100"/>
    <s v="NORTH AMERICA"/>
    <n v="85200310079230"/>
    <x v="8"/>
    <s v="I and D India ACIS"/>
    <m/>
    <d v="2016-04-01T00:00:00"/>
    <s v="6.Missing or wrong information on invoice"/>
    <s v="Missing Information or Attachment"/>
    <d v="2016-05-05T00:00:00"/>
    <s v="Q2 2016"/>
    <n v="186"/>
    <s v="181 - 365 Days"/>
    <n v="181235.97"/>
    <s v="INR"/>
    <s v="INTER"/>
    <n v="2.48"/>
    <n v="1"/>
    <s v="6/7"/>
    <s v="50% / 50%"/>
    <n v="1.24"/>
    <n v="1.24"/>
  </r>
  <r>
    <s v="Unresolved"/>
    <s v="Added"/>
    <n v="8520"/>
    <s v="Capgemini India Pvt Ltd."/>
    <n v="1900"/>
    <s v="INDIA"/>
    <n v="3011"/>
    <s v="Sogeti USA LLC"/>
    <n v="1100"/>
    <s v="NORTH AMERICA"/>
    <n v="85200310079232"/>
    <x v="8"/>
    <s v="I and D India ACIS"/>
    <m/>
    <d v="2016-04-01T00:00:00"/>
    <s v="1.No signed SoW"/>
    <s v="DISAGREEMENT"/>
    <d v="2016-05-05T00:00:00"/>
    <s v="Q2 2016"/>
    <n v="186"/>
    <s v="181 - 365 Days"/>
    <n v="32107.5"/>
    <s v="INR"/>
    <s v="INTER"/>
    <n v="0.44"/>
    <n v="1"/>
    <s v="1"/>
    <s v="Supplier 100%"/>
    <n v="0.44"/>
    <n v="0"/>
  </r>
  <r>
    <s v="Unresolved"/>
    <s v="Added"/>
    <n v="8520"/>
    <s v="Capgemini India Pvt Ltd."/>
    <n v="1900"/>
    <s v="INDIA"/>
    <n v="3011"/>
    <s v="Sogeti USA LLC"/>
    <n v="1100"/>
    <s v="NORTH AMERICA"/>
    <n v="85200310079414"/>
    <x v="8"/>
    <s v="I and D India ACIS"/>
    <m/>
    <d v="2016-04-01T00:00:00"/>
    <s v="2.Disagreed rates or price"/>
    <s v="DISAGREEMENT"/>
    <d v="2016-05-05T00:00:00"/>
    <s v="Q2 2016"/>
    <n v="186"/>
    <s v="181 - 365 Days"/>
    <n v="2769800"/>
    <s v="INR"/>
    <s v="INTER"/>
    <n v="37.89"/>
    <n v="1"/>
    <s v="2"/>
    <s v="50% / 50%"/>
    <n v="18.945"/>
    <n v="18.945"/>
  </r>
  <r>
    <s v="Unresolved"/>
    <s v="Added"/>
    <n v="8520"/>
    <s v="Capgemini India Pvt Ltd."/>
    <n v="1900"/>
    <s v="INDIA"/>
    <n v="3011"/>
    <s v="Sogeti USA LLC"/>
    <n v="1100"/>
    <s v="NORTH AMERICA"/>
    <n v="85200310079416"/>
    <x v="8"/>
    <s v="I and D India ACIS"/>
    <m/>
    <d v="2016-04-01T00:00:00"/>
    <s v="1.No signed SoW"/>
    <s v="DISAGREEMENT"/>
    <d v="2016-05-05T00:00:00"/>
    <s v="Q2 2016"/>
    <n v="186"/>
    <s v="181 - 365 Days"/>
    <n v="67928.89"/>
    <s v="INR"/>
    <s v="INTER"/>
    <n v="0.93"/>
    <n v="1"/>
    <s v="1"/>
    <s v="Supplier 100%"/>
    <n v="0.93"/>
    <n v="0"/>
  </r>
  <r>
    <s v="Unresolved"/>
    <s v="Added"/>
    <n v="8520"/>
    <s v="Capgemini India Pvt Ltd."/>
    <n v="1900"/>
    <s v="INDIA"/>
    <n v="3011"/>
    <s v="Sogeti USA LLC"/>
    <n v="1100"/>
    <s v="NORTH AMERICA"/>
    <n v="85200310079419"/>
    <x v="8"/>
    <s v="I and D India ACIS"/>
    <m/>
    <d v="2016-04-01T00:00:00"/>
    <s v="3.Disagreed days, volume or deliverables"/>
    <s v="DISAGREEMENT"/>
    <d v="2016-05-05T00:00:00"/>
    <s v="Q2 2016"/>
    <n v="186"/>
    <s v="181 - 365 Days"/>
    <n v="24000"/>
    <s v="INR"/>
    <s v="INTER"/>
    <n v="0.33"/>
    <n v="1"/>
    <s v="3"/>
    <s v="50% / 50%"/>
    <n v="0.16500000000000001"/>
    <n v="0.16500000000000001"/>
  </r>
  <r>
    <s v="Unresolved"/>
    <s v="Added"/>
    <n v="8520"/>
    <s v="Capgemini India Pvt Ltd."/>
    <n v="1900"/>
    <s v="INDIA"/>
    <n v="3011"/>
    <s v="Sogeti USA LLC"/>
    <n v="1100"/>
    <s v="NORTH AMERICA"/>
    <n v="85200410034421"/>
    <x v="8"/>
    <s v="NA PBS"/>
    <m/>
    <d v="2016-04-01T00:00:00"/>
    <s v="3.Disagreed days, volume or deliverables"/>
    <s v="DISAGREEMENT"/>
    <d v="2016-05-05T00:00:00"/>
    <s v="Q2 2016"/>
    <n v="186"/>
    <s v="181 - 365 Days"/>
    <n v="176022"/>
    <s v="INR"/>
    <s v="INTER"/>
    <n v="2.41"/>
    <n v="1"/>
    <s v="3"/>
    <s v="50% / 50%"/>
    <n v="1.2050000000000001"/>
    <n v="1.2050000000000001"/>
  </r>
  <r>
    <s v="Unresolved"/>
    <s v="Added"/>
    <n v="8520"/>
    <s v="Capgemini India Pvt Ltd."/>
    <n v="1900"/>
    <s v="INDIA"/>
    <n v="3011"/>
    <s v="Sogeti USA LLC"/>
    <n v="1100"/>
    <s v="NORTH AMERICA"/>
    <n v="85200610006742"/>
    <x v="8"/>
    <s v="I and D India ACIS"/>
    <m/>
    <d v="2016-04-01T00:00:00"/>
    <s v="2.Disagreed rates or price"/>
    <s v="DISAGREEMENT"/>
    <d v="2016-05-05T00:00:00"/>
    <s v="Q2 2016"/>
    <n v="186"/>
    <s v="181 - 365 Days"/>
    <n v="861640"/>
    <s v="INR"/>
    <s v="INTER"/>
    <n v="11.79"/>
    <n v="1"/>
    <s v="2"/>
    <s v="50% / 50%"/>
    <n v="5.8949999999999996"/>
    <n v="5.8949999999999996"/>
  </r>
  <r>
    <s v="Unresolved"/>
    <s v="Added"/>
    <n v="8520"/>
    <s v="Capgemini India Pvt Ltd."/>
    <n v="1900"/>
    <s v="INDIA"/>
    <n v="3011"/>
    <s v="Sogeti USA LLC"/>
    <n v="1100"/>
    <s v="NORTH AMERICA"/>
    <n v="85200810000287"/>
    <x v="8"/>
    <s v="NA PBS"/>
    <m/>
    <d v="2016-04-01T00:00:00"/>
    <s v="2.Disagreed rates or price"/>
    <s v="DISAGREEMENT"/>
    <d v="2016-05-05T00:00:00"/>
    <s v="Q2 2016"/>
    <n v="186"/>
    <s v="181 - 365 Days"/>
    <n v="68364"/>
    <s v="INR"/>
    <s v="INTER"/>
    <n v="0.94"/>
    <n v="1"/>
    <s v="2"/>
    <s v="50% / 50%"/>
    <n v="0.47"/>
    <n v="0.47"/>
  </r>
  <r>
    <s v="Unresolved"/>
    <s v="Added"/>
    <n v="8520"/>
    <s v="Capgemini India Pvt Ltd."/>
    <n v="1900"/>
    <s v="INDIA"/>
    <n v="3011"/>
    <s v="Sogeti USA LLC"/>
    <n v="1100"/>
    <s v="NORTH AMERICA"/>
    <n v="85202610000027"/>
    <x v="8"/>
    <s v="I and D India ACIS"/>
    <m/>
    <d v="2016-04-01T00:00:00"/>
    <s v="7.Missing attachments"/>
    <s v="Missing Information or Attachment"/>
    <d v="2016-05-05T00:00:00"/>
    <s v="Q2 2016"/>
    <n v="186"/>
    <s v="181 - 365 Days"/>
    <n v="25800.12"/>
    <s v="INR"/>
    <s v="INTER"/>
    <n v="0.35"/>
    <n v="1"/>
    <s v="6/7"/>
    <s v="50% / 50%"/>
    <n v="0.17499999999999999"/>
    <n v="0.17499999999999999"/>
  </r>
  <r>
    <s v="Unresolved"/>
    <s v="Added"/>
    <n v="8520"/>
    <s v="Capgemini India Pvt Ltd."/>
    <n v="1900"/>
    <s v="INDIA"/>
    <n v="3011"/>
    <s v="Sogeti USA LLC"/>
    <n v="1100"/>
    <s v="NORTH AMERICA"/>
    <n v="85203010000727"/>
    <x v="8"/>
    <s v="NA PBS"/>
    <m/>
    <d v="2016-04-01T00:00:00"/>
    <s v="4.Disagreed expenses"/>
    <s v="DISAGREEMENT"/>
    <d v="2016-05-05T00:00:00"/>
    <s v="Q2 2016"/>
    <n v="186"/>
    <s v="181 - 365 Days"/>
    <n v="40698"/>
    <s v="INR"/>
    <s v="INTER"/>
    <n v="0.56000000000000005"/>
    <n v="1"/>
    <s v="4"/>
    <s v="50% / 50%"/>
    <n v="0.28000000000000003"/>
    <n v="0.28000000000000003"/>
  </r>
  <r>
    <s v="Unresolved"/>
    <s v="Added"/>
    <n v="8520"/>
    <s v="Capgemini India Pvt Ltd."/>
    <n v="1900"/>
    <s v="INDIA"/>
    <n v="3011"/>
    <s v="Sogeti USA LLC"/>
    <n v="1100"/>
    <s v="NORTH AMERICA"/>
    <n v="85203010000750"/>
    <x v="8"/>
    <s v="NA PBS"/>
    <m/>
    <d v="2016-04-01T00:00:00"/>
    <s v="3.Disagreed days, volume or deliverables"/>
    <s v="DISAGREEMENT"/>
    <d v="2016-05-05T00:00:00"/>
    <s v="Q2 2016"/>
    <n v="186"/>
    <s v="181 - 365 Days"/>
    <n v="317835"/>
    <s v="INR"/>
    <s v="INTER"/>
    <n v="4.3499999999999996"/>
    <n v="1"/>
    <s v="3"/>
    <s v="50% / 50%"/>
    <n v="2.1749999999999998"/>
    <n v="2.1749999999999998"/>
  </r>
  <r>
    <s v="Unresolved"/>
    <s v="Unresolved (Sep)"/>
    <n v="8520"/>
    <s v="Capgemini India Pvt Ltd."/>
    <n v="1900"/>
    <s v="INDIA"/>
    <n v="3011"/>
    <s v="Sogeti USA LLC"/>
    <n v="1100"/>
    <s v="NORTH AMERICA"/>
    <n v="85200310077848"/>
    <x v="8"/>
    <s v="TESTING "/>
    <m/>
    <d v="2016-03-01T00:00:00"/>
    <s v="1.No signed SoW"/>
    <s v="DISAGREEMENT"/>
    <d v="2016-04-06T00:00:00"/>
    <s v="Q1 2016"/>
    <n v="215"/>
    <s v="181 - 365 Days"/>
    <n v="33000"/>
    <s v="INR"/>
    <s v="INTER"/>
    <n v="0.45"/>
    <n v="1"/>
    <s v="1"/>
    <s v="Supplier 100%"/>
    <n v="0.45"/>
    <n v="0"/>
  </r>
  <r>
    <s v="Resolved"/>
    <s v="Added"/>
    <n v="8520"/>
    <s v="Capgemini India Pvt Ltd."/>
    <n v="1900"/>
    <s v="INDIA"/>
    <n v="1350"/>
    <s v="Capgemini Sverige AB"/>
    <n v="399"/>
    <s v="NORDIC"/>
    <n v="85200310078053"/>
    <x v="9"/>
    <s v="CC GLOBAL CONSULTING POOL - CCIDFLEX - BU"/>
    <m/>
    <d v="2016-03-01T00:00:00"/>
    <s v="8.Invoice awaiting Prime’s approval or PO"/>
    <s v="Hold Payment"/>
    <d v="2016-05-05T00:00:00"/>
    <s v="Q2 2016"/>
    <n v="186"/>
    <s v="181 - 365 Days"/>
    <n v="318809.78999999998"/>
    <s v="INR"/>
    <s v="INTER"/>
    <n v="4.3600000000000003"/>
    <n v="1"/>
    <s v="8"/>
    <s v="Client 75% / Supplier 25%"/>
    <n v="1.0900000000000001"/>
    <n v="3.2700000000000005"/>
  </r>
  <r>
    <s v="Unresolved"/>
    <s v="Added"/>
    <n v="8520"/>
    <s v="Capgemini India Pvt Ltd."/>
    <n v="1900"/>
    <s v="INDIA"/>
    <n v="8420"/>
    <s v="Capgemini Australia Pty Ltd."/>
    <n v="1900"/>
    <s v="INDIA"/>
    <n v="85200310077649"/>
    <x v="8"/>
    <s v="Apps UK AM"/>
    <m/>
    <d v="2016-03-01T00:00:00"/>
    <s v="3.Disagreed days, volume or deliverables"/>
    <s v="DISAGREEMENT"/>
    <d v="2016-05-05T00:00:00"/>
    <s v="Q2 2016"/>
    <n v="186"/>
    <s v="181 - 365 Days"/>
    <n v="1625000"/>
    <s v="INR"/>
    <s v="INTRA"/>
    <n v="22.23"/>
    <n v="1"/>
    <s v="3"/>
    <s v="50% / 50%"/>
    <n v="11.115"/>
    <n v="11.115"/>
  </r>
  <r>
    <s v="Unresolved"/>
    <s v="Added"/>
    <n v="8520"/>
    <s v="Capgemini India Pvt Ltd."/>
    <n v="1900"/>
    <s v="INDIA"/>
    <n v="8420"/>
    <s v="Capgemini Australia Pty Ltd."/>
    <n v="1900"/>
    <s v="INDIA"/>
    <n v="85200310077672"/>
    <x v="8"/>
    <s v="Apps UK AM"/>
    <m/>
    <d v="2016-03-01T00:00:00"/>
    <s v="4.Disagreed expenses"/>
    <s v="DISAGREEMENT"/>
    <d v="2016-05-05T00:00:00"/>
    <s v="Q2 2016"/>
    <n v="186"/>
    <s v="181 - 365 Days"/>
    <n v="425873.35"/>
    <s v="INR"/>
    <s v="INTRA"/>
    <n v="5.83"/>
    <n v="1"/>
    <s v="4"/>
    <s v="50% / 50%"/>
    <n v="2.915"/>
    <n v="2.915"/>
  </r>
  <r>
    <s v="Unresolved"/>
    <s v="Added"/>
    <n v="8520"/>
    <s v="Capgemini India Pvt Ltd."/>
    <n v="1900"/>
    <s v="INDIA"/>
    <n v="1350"/>
    <s v="Capgemini Sverige AB"/>
    <n v="399"/>
    <s v="NORDIC"/>
    <n v="85200710011368"/>
    <x v="7"/>
    <s v="MCOS"/>
    <m/>
    <d v="2016-03-01T00:00:00"/>
    <s v="8.Invoice awaiting Prime’s approval or PO"/>
    <s v="Hold Payment"/>
    <d v="2016-05-05T00:00:00"/>
    <s v="Q2 2016"/>
    <n v="186"/>
    <s v="181 - 365 Days"/>
    <n v="13839.87"/>
    <s v="INR"/>
    <s v="INTER"/>
    <n v="0.19"/>
    <n v="1"/>
    <s v="8"/>
    <s v="Client 75% / Supplier 25%"/>
    <n v="4.7500000000000001E-2"/>
    <n v="0.14250000000000002"/>
  </r>
  <r>
    <s v="Unresolved"/>
    <s v="Added"/>
    <n v="8520"/>
    <s v="Capgemini India Pvt Ltd."/>
    <n v="1900"/>
    <s v="INDIA"/>
    <n v="8420"/>
    <s v="Capgemini Australia Pty Ltd."/>
    <n v="1900"/>
    <s v="INDIA"/>
    <n v="85200310078160"/>
    <x v="8"/>
    <s v="Apps UK AM"/>
    <m/>
    <d v="2016-03-01T00:00:00"/>
    <s v="6.Missing or wrong information on invoice"/>
    <s v="Missing Information or Attachment"/>
    <d v="2016-05-05T00:00:00"/>
    <s v="Q2 2016"/>
    <n v="186"/>
    <s v="181 - 365 Days"/>
    <n v="323739.81"/>
    <s v="INR"/>
    <s v="INTRA"/>
    <n v="4.43"/>
    <n v="1"/>
    <s v="6/7"/>
    <s v="50% / 50%"/>
    <n v="2.2149999999999999"/>
    <n v="2.2149999999999999"/>
  </r>
  <r>
    <s v="Unresolved"/>
    <s v="Unresolved (Sep)"/>
    <n v="8520"/>
    <s v="Capgemini India Pvt Ltd."/>
    <n v="1900"/>
    <s v="INDIA"/>
    <n v="199"/>
    <s v="Capgemini America Inc"/>
    <n v="1100"/>
    <s v="NORTH AMERICA"/>
    <n v="85200410031781"/>
    <x v="6"/>
    <s v="Insights &amp; Data "/>
    <m/>
    <d v="2016-02-01T00:00:00"/>
    <s v="8.Invoice awaiting Prime’s approval or PO"/>
    <s v="Hold Payment"/>
    <d v="2016-04-06T00:00:00"/>
    <s v="Q1 2016"/>
    <n v="215"/>
    <s v="181 - 365 Days"/>
    <n v="983133"/>
    <s v="INR"/>
    <s v="INTER"/>
    <n v="13.45"/>
    <n v="1"/>
    <s v="8"/>
    <s v="Client 75% / Supplier 25%"/>
    <n v="3.3624999999999998"/>
    <n v="10.087499999999999"/>
  </r>
  <r>
    <s v="Resolved"/>
    <s v="Added"/>
    <n v="8520"/>
    <s v="Capgemini India Pvt Ltd."/>
    <n v="1900"/>
    <s v="INDIA"/>
    <n v="1712"/>
    <s v="Capgemini BST S.p.A."/>
    <n v="1720"/>
    <s v="ITALY"/>
    <n v="85200710011801"/>
    <x v="10"/>
    <s v="DIGITAL"/>
    <m/>
    <d v="2016-05-02T00:00:00"/>
    <s v="1.No signed SoW"/>
    <s v="DISAGREEMENT"/>
    <d v="2016-05-04T00:00:00"/>
    <s v="Q2 2016"/>
    <n v="187"/>
    <s v="181 - 365 Days"/>
    <n v="195579"/>
    <s v="INR"/>
    <s v="INTER"/>
    <n v="2.68"/>
    <n v="1"/>
    <s v="1"/>
    <s v="Supplier 100%"/>
    <n v="2.68"/>
    <n v="0"/>
  </r>
  <r>
    <s v="Resolved"/>
    <s v="Added"/>
    <n v="5204"/>
    <s v="IGATE Global Solutions Limited"/>
    <n v="1900"/>
    <s v="INDIA"/>
    <n v="8520"/>
    <s v="Capgemini India Pvt Ltd."/>
    <n v="1900"/>
    <s v="INDIA"/>
    <s v="5010078487/15-16"/>
    <x v="1"/>
    <s v="iGATE"/>
    <m/>
    <d v="2016-04-04T00:00:00"/>
    <s v="6.Missing or wrong information on invoice"/>
    <s v="Missing Information or Attachment"/>
    <d v="2016-05-06T00:00:00"/>
    <s v="Q2 2016"/>
    <n v="185"/>
    <s v="181 - 365 Days"/>
    <n v="115416"/>
    <s v="INR"/>
    <s v="INTRA"/>
    <n v="1.58"/>
    <n v="1"/>
    <s v="6/7"/>
    <s v="50% / 50%"/>
    <n v="0.79"/>
    <n v="0.79"/>
  </r>
  <r>
    <s v="Resolved"/>
    <s v="Added"/>
    <n v="5401"/>
    <s v="IGATE Infomation Services (UK) Limited Sweden"/>
    <n v="399"/>
    <s v="NORDIC"/>
    <n v="1350"/>
    <s v="Capgemini Sverige AB"/>
    <n v="399"/>
    <s v="NORDIC"/>
    <s v="360001584/15-16"/>
    <x v="1"/>
    <s v="iGATE"/>
    <m/>
    <d v="2016-03-03T00:00:00"/>
    <s v="8.Invoice awaiting Prime’s approval or PO"/>
    <s v="Hold Payment"/>
    <d v="2016-05-05T00:00:00"/>
    <s v="Q2 2016"/>
    <n v="186"/>
    <s v="181 - 365 Days"/>
    <n v="37995"/>
    <s v="SEK"/>
    <s v="INTRA"/>
    <n v="3.85"/>
    <n v="1"/>
    <s v="8"/>
    <s v="Client 75% / Supplier 25%"/>
    <n v="0.96250000000000002"/>
    <n v="2.8875000000000002"/>
  </r>
  <r>
    <s v="Resolved"/>
    <s v="Added"/>
    <n v="360"/>
    <s v="IBX Group AB"/>
    <n v="399"/>
    <s v="NORDIC"/>
    <n v="199"/>
    <s v="Capgemini America Inc"/>
    <n v="1100"/>
    <s v="NORTH AMERICA"/>
    <n v="30011570"/>
    <x v="7"/>
    <s v="IBX Business Network"/>
    <m/>
    <d v="2016-03-02T00:00:00"/>
    <s v="2.Disagreed rates or price"/>
    <s v="DISAGREEMENT"/>
    <d v="2016-05-05T00:00:00"/>
    <s v="Q2 2016"/>
    <n v="186"/>
    <s v="181 - 365 Days"/>
    <n v="189420"/>
    <s v="SEK"/>
    <s v="INTER"/>
    <n v="19.2"/>
    <n v="1"/>
    <s v="2"/>
    <s v="50% / 50%"/>
    <n v="9.6"/>
    <n v="9.6"/>
  </r>
  <r>
    <s v="Resolved"/>
    <s v="Unresolved (Aug)"/>
    <n v="360"/>
    <s v="IBX Group AB"/>
    <n v="399"/>
    <s v="NORDIC"/>
    <n v="199"/>
    <s v="Capgemini America Inc"/>
    <n v="1100"/>
    <s v="NORTH AMERICA"/>
    <n v="30011211"/>
    <x v="7"/>
    <s v="IBX Business Network"/>
    <m/>
    <d v="2015-12-28T00:00:00"/>
    <s v="2.Disagreed rates or price"/>
    <s v="DISAGREEMENT"/>
    <d v="2016-03-03T00:00:00"/>
    <s v="Q1 2016"/>
    <n v="249"/>
    <s v="181 - 365 Days"/>
    <n v="162875"/>
    <s v="SEK"/>
    <s v="INTER"/>
    <n v="16.510000000000002"/>
    <n v="1"/>
    <s v="2"/>
    <s v="50% / 50%"/>
    <n v="8.2550000000000008"/>
    <n v="8.2550000000000008"/>
  </r>
  <r>
    <s v="Resolved"/>
    <s v="Unresolved (May)"/>
    <n v="360"/>
    <s v="IBX Group AB"/>
    <n v="399"/>
    <s v="NORDIC"/>
    <n v="199"/>
    <s v="Capgemini America Inc"/>
    <n v="1100"/>
    <s v="NORTH AMERICA"/>
    <n v="30009876"/>
    <x v="7"/>
    <s v="IBX Business Network"/>
    <m/>
    <d v="2015-06-02T00:00:00"/>
    <s v="2.Disagreed rates or price"/>
    <s v="DISAGREEMENT"/>
    <d v="2015-06-26T00:00:00"/>
    <s v="Q2 2015"/>
    <n v="500"/>
    <s v="Above 365 Days"/>
    <n v="162875"/>
    <s v="SEK"/>
    <s v="INTER"/>
    <n v="16.510000000000002"/>
    <n v="1"/>
    <s v="2"/>
    <s v="50% / 50%"/>
    <n v="8.2550000000000008"/>
    <n v="8.2550000000000008"/>
  </r>
  <r>
    <s v="Resolved"/>
    <s v="Unresolved (May)"/>
    <n v="360"/>
    <s v="IBX Group AB"/>
    <n v="399"/>
    <s v="NORDIC"/>
    <n v="199"/>
    <s v="Capgemini America Inc"/>
    <n v="1100"/>
    <s v="NORTH AMERICA"/>
    <n v="30009090"/>
    <x v="7"/>
    <s v="IBX Business Network"/>
    <m/>
    <d v="2015-02-11T00:00:00"/>
    <s v="2.Disagreed rates or price"/>
    <s v="DISAGREEMENT"/>
    <d v="2015-03-04T00:00:00"/>
    <s v="Q1 2015"/>
    <n v="614"/>
    <s v="Above 365 Days"/>
    <n v="162813"/>
    <s v="SEK"/>
    <s v="INTER"/>
    <n v="16.5"/>
    <n v="1"/>
    <s v="2"/>
    <s v="50% / 50%"/>
    <n v="8.25"/>
    <n v="8.25"/>
  </r>
  <r>
    <s v="Resolved"/>
    <s v="Unresolved (May)"/>
    <n v="360"/>
    <s v="IBX Group AB"/>
    <n v="399"/>
    <s v="NORDIC"/>
    <n v="199"/>
    <s v="Capgemini America Inc"/>
    <n v="1100"/>
    <s v="NORTH AMERICA"/>
    <n v="30009345"/>
    <x v="7"/>
    <s v="IBX Business Network"/>
    <m/>
    <d v="2015-03-03T00:00:00"/>
    <s v="2.Disagreed rates or price"/>
    <s v="DISAGREEMENT"/>
    <d v="2015-03-04T00:00:00"/>
    <s v="Q1 2015"/>
    <n v="614"/>
    <s v="Above 365 Days"/>
    <n v="162938"/>
    <s v="SEK"/>
    <s v="INTER"/>
    <n v="16.52"/>
    <n v="1"/>
    <s v="2"/>
    <s v="50% / 50%"/>
    <n v="8.26"/>
    <n v="8.26"/>
  </r>
  <r>
    <s v="Resolved"/>
    <s v="Unresolved (May)"/>
    <n v="360"/>
    <s v="IBX Group AB"/>
    <n v="399"/>
    <s v="NORDIC"/>
    <n v="199"/>
    <s v="Capgemini America Inc"/>
    <n v="1100"/>
    <s v="NORTH AMERICA"/>
    <n v="30009527"/>
    <x v="7"/>
    <s v="IBX Business Network"/>
    <m/>
    <d v="2015-04-02T00:00:00"/>
    <s v="2.Disagreed rates or price"/>
    <s v="DISAGREEMENT"/>
    <d v="2015-04-07T00:00:00"/>
    <s v="Q1 2015"/>
    <n v="580"/>
    <s v="Above 365 Days"/>
    <n v="162875"/>
    <s v="SEK"/>
    <s v="INTER"/>
    <n v="16.510000000000002"/>
    <n v="1"/>
    <s v="2"/>
    <s v="50% / 50%"/>
    <n v="8.2550000000000008"/>
    <n v="8.2550000000000008"/>
  </r>
  <r>
    <s v="Resolved"/>
    <s v="Unresolved (May)"/>
    <n v="360"/>
    <s v="IBX Group AB"/>
    <n v="399"/>
    <s v="NORDIC"/>
    <n v="199"/>
    <s v="Capgemini America Inc"/>
    <n v="1100"/>
    <s v="NORTH AMERICA"/>
    <n v="30009747"/>
    <x v="7"/>
    <s v="IBX Business Network"/>
    <m/>
    <d v="2015-05-05T00:00:00"/>
    <s v="2.Disagreed rates or price"/>
    <s v="DISAGREEMENT"/>
    <d v="2015-05-06T00:00:00"/>
    <s v="Q2 2015"/>
    <n v="551"/>
    <s v="Above 365 Days"/>
    <n v="162875"/>
    <s v="SEK"/>
    <s v="INTER"/>
    <n v="16.510000000000002"/>
    <n v="1"/>
    <s v="2"/>
    <s v="50% / 50%"/>
    <n v="8.2550000000000008"/>
    <n v="8.2550000000000008"/>
  </r>
  <r>
    <s v="Resolved"/>
    <s v="Unresolved (May)"/>
    <n v="360"/>
    <s v="IBX Group AB"/>
    <n v="399"/>
    <s v="NORDIC"/>
    <n v="199"/>
    <s v="Capgemini America Inc"/>
    <n v="1100"/>
    <s v="NORTH AMERICA"/>
    <n v="30008945"/>
    <x v="7"/>
    <s v="IBX Business Network"/>
    <m/>
    <d v="2014-12-23T00:00:00"/>
    <s v="7.Missing attachments"/>
    <s v="Missing Information or Attachment"/>
    <d v="2015-03-04T00:00:00"/>
    <s v="Q1 2015"/>
    <n v="614"/>
    <s v="Above 365 Days"/>
    <n v="147107"/>
    <s v="SEK"/>
    <s v="INTER"/>
    <n v="14.91"/>
    <n v="1"/>
    <s v="6/7"/>
    <s v="50% / 50%"/>
    <n v="7.4550000000000001"/>
    <n v="7.4550000000000001"/>
  </r>
  <r>
    <s v="Resolved"/>
    <s v="Unresolved (May)"/>
    <n v="360"/>
    <s v="IBX Group AB"/>
    <n v="399"/>
    <s v="NORDIC"/>
    <n v="199"/>
    <s v="Capgemini America Inc"/>
    <n v="1100"/>
    <s v="NORTH AMERICA"/>
    <n v="30010396"/>
    <x v="7"/>
    <s v="IBX Business Network"/>
    <m/>
    <d v="2015-09-02T00:00:00"/>
    <s v="1.No signed SoW"/>
    <s v="DISAGREEMENT"/>
    <d v="2015-09-03T00:00:00"/>
    <s v="Q3 2015"/>
    <n v="431"/>
    <s v="Above 365 Days"/>
    <n v="162875"/>
    <s v="SEK"/>
    <s v="INTER"/>
    <n v="16.510000000000002"/>
    <n v="1"/>
    <s v="1"/>
    <s v="Supplier 100%"/>
    <n v="16.510000000000002"/>
    <n v="0"/>
  </r>
  <r>
    <s v="Resolved"/>
    <s v="Unresolved (May)"/>
    <n v="360"/>
    <s v="IBX Group AB"/>
    <n v="399"/>
    <s v="NORDIC"/>
    <n v="199"/>
    <s v="Capgemini America Inc"/>
    <n v="1100"/>
    <s v="NORTH AMERICA"/>
    <n v="30010072"/>
    <x v="7"/>
    <s v="IBX Business Network"/>
    <m/>
    <d v="2015-06-25T00:00:00"/>
    <s v="2.Disagreed rates or price"/>
    <s v="DISAGREEMENT"/>
    <d v="2015-08-06T00:00:00"/>
    <s v="Q3 2015"/>
    <n v="459"/>
    <s v="Above 365 Days"/>
    <n v="162875"/>
    <s v="SEK"/>
    <s v="INTER"/>
    <n v="16.510000000000002"/>
    <n v="1"/>
    <s v="2"/>
    <s v="50% / 50%"/>
    <n v="8.2550000000000008"/>
    <n v="8.2550000000000008"/>
  </r>
  <r>
    <s v="Resolved"/>
    <s v="Unresolved (May)"/>
    <n v="360"/>
    <s v="IBX Group AB"/>
    <n v="399"/>
    <s v="NORDIC"/>
    <n v="199"/>
    <s v="Capgemini America Inc"/>
    <n v="1100"/>
    <s v="NORTH AMERICA"/>
    <n v="30010312"/>
    <x v="7"/>
    <s v="IBX Business Network"/>
    <m/>
    <d v="2015-08-03T00:00:00"/>
    <s v="2.Disagreed rates or price"/>
    <s v="DISAGREEMENT"/>
    <d v="2015-08-05T00:00:00"/>
    <s v="Q3 2015"/>
    <n v="460"/>
    <s v="Above 365 Days"/>
    <n v="162875"/>
    <s v="SEK"/>
    <s v="INTER"/>
    <n v="16.510000000000002"/>
    <n v="1"/>
    <s v="2"/>
    <s v="50% / 50%"/>
    <n v="8.2550000000000008"/>
    <n v="8.2550000000000008"/>
  </r>
  <r>
    <s v="Resolved"/>
    <s v="Unresolved (Jun)"/>
    <n v="360"/>
    <s v="IBX Group AB"/>
    <n v="399"/>
    <s v="NORDIC"/>
    <n v="199"/>
    <s v="Capgemini America Inc"/>
    <n v="1100"/>
    <s v="NORTH AMERICA"/>
    <n v="30011003"/>
    <x v="7"/>
    <s v="IBX Business Network"/>
    <m/>
    <d v="2015-12-02T00:00:00"/>
    <s v="4.Disagreed expenses"/>
    <s v="DISAGREEMENT"/>
    <d v="2015-12-29T00:00:00"/>
    <s v="Q4 2015"/>
    <n v="314"/>
    <s v="181 - 365 Days"/>
    <n v="162875"/>
    <s v="SEK"/>
    <s v="INTER"/>
    <n v="16.510000000000002"/>
    <n v="1"/>
    <s v="4"/>
    <s v="50% / 50%"/>
    <n v="8.2550000000000008"/>
    <n v="8.2550000000000008"/>
  </r>
  <r>
    <s v="Resolved"/>
    <s v="Unresolved (May)"/>
    <n v="360"/>
    <s v="IBX Group AB"/>
    <n v="399"/>
    <s v="NORDIC"/>
    <n v="199"/>
    <s v="Capgemini America Inc"/>
    <n v="1100"/>
    <s v="NORTH AMERICA"/>
    <n v="30010586"/>
    <x v="7"/>
    <s v="IBX Business Network"/>
    <m/>
    <d v="2015-10-02T00:00:00"/>
    <s v="4.Disagreed expenses"/>
    <s v="DISAGREEMENT"/>
    <d v="2015-12-04T00:00:00"/>
    <s v="Q4 2015"/>
    <n v="339"/>
    <s v="181 - 365 Days"/>
    <n v="162875"/>
    <s v="SEK"/>
    <s v="INTER"/>
    <n v="16.510000000000002"/>
    <n v="1"/>
    <s v="4"/>
    <s v="50% / 50%"/>
    <n v="8.2550000000000008"/>
    <n v="8.2550000000000008"/>
  </r>
  <r>
    <s v="Unresolved"/>
    <s v="Unresolved (Sep)"/>
    <n v="1960"/>
    <s v="Capgemini America Inc. (FS)"/>
    <n v="1100"/>
    <s v="NORTH AMERICA"/>
    <n v="3011"/>
    <s v="Sogeti USA LLC"/>
    <n v="1100"/>
    <s v="NORTH AMERICA"/>
    <n v="19600510059684"/>
    <x v="8"/>
    <s v="NA Insurance"/>
    <m/>
    <d v="2016-04-01T00:00:00"/>
    <s v="4.Disagreed expenses"/>
    <s v="DISAGREEMENT"/>
    <d v="2016-04-06T00:00:00"/>
    <s v="Q1 2016"/>
    <n v="215"/>
    <s v="181 - 365 Days"/>
    <n v="13163.33"/>
    <s v="USD"/>
    <s v="INTRA"/>
    <n v="12.03"/>
    <n v="1"/>
    <s v="4"/>
    <s v="50% / 50%"/>
    <n v="6.0149999999999997"/>
    <n v="6.0149999999999997"/>
  </r>
  <r>
    <s v="Resolved"/>
    <s v="Added"/>
    <n v="1960"/>
    <s v="Capgemini America Inc. (FS)"/>
    <n v="1100"/>
    <s v="NORTH AMERICA"/>
    <n v="693"/>
    <s v="Capgemini Consulting S.A.S."/>
    <n v="670"/>
    <s v="FRANCE"/>
    <n v="19600530003176"/>
    <x v="0"/>
    <s v="NA Insurance"/>
    <m/>
    <d v="2015-12-25T00:00:00"/>
    <s v="1.No signed SoW"/>
    <s v="DISAGREEMENT"/>
    <d v="2016-05-05T00:00:00"/>
    <s v="Q2 2016"/>
    <n v="186"/>
    <s v="181 - 365 Days"/>
    <n v="50055"/>
    <s v="USD"/>
    <s v="INTER"/>
    <n v="45.73"/>
    <n v="1"/>
    <s v="1"/>
    <s v="Supplier 100%"/>
    <n v="45.73"/>
    <n v="0"/>
  </r>
  <r>
    <s v="Unresolved"/>
    <s v="Added"/>
    <n v="1985"/>
    <s v="Capgemini Financial Services UK Ltd. - South Africa Branch"/>
    <n v="2800"/>
    <s v="UK &amp; IRELAND"/>
    <n v="260"/>
    <s v="Capgemini UK Plc"/>
    <n v="2800"/>
    <s v="UK &amp; IRELAND"/>
    <n v="198504300000002"/>
    <x v="0"/>
    <s v="BFS"/>
    <m/>
    <d v="2016-03-01T00:00:00"/>
    <s v="6.Missing or wrong information on invoice"/>
    <s v="Missing Information or Attachment"/>
    <d v="2016-05-05T00:00:00"/>
    <s v="Q2 2016"/>
    <n v="186"/>
    <s v="181 - 365 Days"/>
    <n v="35637.199999999997"/>
    <s v="ZAR"/>
    <s v="INTRA"/>
    <n v="2.4"/>
    <n v="1"/>
    <s v="6/7"/>
    <s v="50% / 50%"/>
    <n v="1.2"/>
    <n v="1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">
  <r>
    <s v="Unresolved"/>
    <e v="#N/A"/>
    <n v="8520"/>
    <s v="Capgemini Technology Services India Limited"/>
    <s v="INDIA"/>
    <n v="95"/>
    <s v="Capgemini Service S.A.S."/>
    <s v="HOLDING"/>
    <s v="85201130003085CR"/>
    <x v="0"/>
    <s v="FS-Others"/>
    <d v="2013-06-27T09:00:06"/>
    <s v="8.Invoice awaiting Prime’s approval or PO"/>
    <s v="Hold Payment"/>
    <d v="2016-03-04T12:50:16"/>
    <s v="Q1 2016"/>
    <n v="368.46509259259619"/>
    <s v="181 - 365 Days"/>
    <n v="-6183.5"/>
    <s v="EUR"/>
    <s v="INTER"/>
    <n v="-6.18"/>
    <n v="1"/>
    <s v="8"/>
    <s v="Client 75% / Supplier 25%"/>
    <n v="-1.5449999999999999"/>
    <n v="-4.6349999999999998"/>
  </r>
  <r>
    <s v="Unresolved"/>
    <s v="Unresolved (Dec)"/>
    <n v="692"/>
    <s v="Capgemini Outsourcing Services S.A.S."/>
    <s v="FRANCE"/>
    <n v="635"/>
    <s v="Capgemini Technology Services"/>
    <s v="FRANCE"/>
    <n v="69201111503724"/>
    <x v="1"/>
    <e v="#N/A"/>
    <d v="2015-09-02T13:05:26"/>
    <s v="8.Invoice awaiting Prime’s approval or PO"/>
    <s v="Hold Payment"/>
    <d v="2015-10-06T10:22:28"/>
    <s v="Q4 2015"/>
    <n v="518.56773148148204"/>
    <s v="181 - 365 Days"/>
    <n v="19272"/>
    <s v="EUR"/>
    <s v="INTRA"/>
    <n v="19.27"/>
    <n v="1"/>
    <s v="8"/>
    <s v="Client 75% / Supplier 25%"/>
    <n v="19.27"/>
    <n v="0"/>
  </r>
  <r>
    <s v="Unresolved"/>
    <e v="#N/A"/>
    <n v="692"/>
    <s v="Capgemini Outsourcing Services S.A.S."/>
    <s v="FRANCE"/>
    <n v="635"/>
    <s v="Capgemini Technology Services"/>
    <s v="FRANCE"/>
    <n v="69201111505841"/>
    <x v="1"/>
    <e v="#N/A"/>
    <d v="2015-11-03T11:08:36"/>
    <s v="8.Invoice awaiting Prime’s approval or PO"/>
    <s v="Hold Payment"/>
    <d v="2016-02-03T18:55:35"/>
    <s v="Q1 2016"/>
    <n v="398.21140046296205"/>
    <s v="181 - 365 Days"/>
    <n v="9636"/>
    <s v="EUR"/>
    <s v="INTRA"/>
    <n v="9.64"/>
    <n v="1"/>
    <s v="8"/>
    <s v="Client 75% / Supplier 25%"/>
    <n v="4.82"/>
    <n v="4.82"/>
  </r>
  <r>
    <s v="Unresolved"/>
    <s v="Added"/>
    <n v="635"/>
    <s v="Capgemini Technology Services"/>
    <s v="FRANCE"/>
    <n v="692"/>
    <s v="Capgemini Outsourcing Services S.A.S."/>
    <s v="FRANCE"/>
    <n v="63503300004325"/>
    <x v="2"/>
    <s v="FR03DG75_COUNTRYB"/>
    <d v="2016-05-23T00:10:23"/>
    <s v="8.Invoice awaiting Prime’s approval or PO"/>
    <s v="Hold Payment"/>
    <d v="2016-08-04T10:06:54"/>
    <s v="Q3 2016"/>
    <n v="215.57854166666948"/>
    <s v="181 - 365 Days"/>
    <n v="24999.599999999999"/>
    <s v="EUR"/>
    <s v="INTRA"/>
    <n v="25"/>
    <n v="1"/>
    <s v="8"/>
    <s v="Client 75% / Supplier 25%"/>
    <n v="6.25"/>
    <n v="18.75"/>
  </r>
  <r>
    <s v="Unresolved"/>
    <s v="Added"/>
    <n v="95"/>
    <s v="Capgemini Service S.A.S."/>
    <s v="HOLDING"/>
    <n v="8110"/>
    <s v="Capgemini Mexico S. de R.L. de C.V."/>
    <s v="CPM- BR"/>
    <n v="950110008644"/>
    <x v="3"/>
    <s v="GROUP SHARED SERVICES"/>
    <d v="2016-05-26T10:02:35"/>
    <s v="1.No signed SoW"/>
    <s v="DISAGREEMENT"/>
    <d v="2016-08-03T17:05:40"/>
    <s v="Q3 2016"/>
    <n v="216.28773148148321"/>
    <s v="181 - 365 Days"/>
    <n v="35500"/>
    <s v="EUR"/>
    <s v="INTER"/>
    <n v="35.5"/>
    <n v="1"/>
    <s v="1"/>
    <s v="Supplier 100%"/>
    <n v="8.875"/>
    <n v="26.625"/>
  </r>
  <r>
    <s v="Unresolved"/>
    <s v="Unresolved (Dec)"/>
    <n v="95"/>
    <s v="Capgemini Service S.A.S."/>
    <s v="HOLDING"/>
    <n v="420"/>
    <s v="Capgemini Belgium N.V./S.A."/>
    <s v="BENELUX"/>
    <n v="950110008129"/>
    <x v="3"/>
    <s v="GROUP SHARED SERVICES"/>
    <d v="2016-04-04T10:02:12"/>
    <s v="1.No signed SoW"/>
    <s v="DISAGREEMENT"/>
    <d v="2016-05-04T12:06:50"/>
    <s v="Q2 2016"/>
    <n v="307.49525462962629"/>
    <s v="181 - 365 Days"/>
    <n v="38802"/>
    <s v="EUR"/>
    <s v="INTER"/>
    <n v="38.799999999999997"/>
    <n v="1"/>
    <s v="1"/>
    <s v="Supplier 100%"/>
    <n v="38.799999999999997"/>
    <n v="0"/>
  </r>
  <r>
    <s v="Unresolved"/>
    <s v="Unresolved (Dec)"/>
    <n v="95"/>
    <s v="Capgemini Service S.A.S."/>
    <s v="HOLDING"/>
    <n v="420"/>
    <s v="Capgemini Belgium N.V./S.A."/>
    <s v="BENELUX"/>
    <n v="950110008130"/>
    <x v="3"/>
    <s v="GROUP SHARED SERVICES"/>
    <d v="2016-04-04T10:02:12"/>
    <s v="1.No signed SoW"/>
    <s v="DISAGREEMENT"/>
    <d v="2016-05-04T12:06:50"/>
    <s v="Q2 2016"/>
    <n v="307.49525462962629"/>
    <s v="181 - 365 Days"/>
    <n v="24317"/>
    <s v="EUR"/>
    <s v="INTER"/>
    <n v="24.32"/>
    <n v="1"/>
    <s v="1"/>
    <s v="Supplier 100%"/>
    <n v="24.32"/>
    <n v="0"/>
  </r>
  <r>
    <s v="Unresolved"/>
    <s v="Unresolved (Dec)"/>
    <n v="95"/>
    <s v="Capgemini Service S.A.S."/>
    <s v="HOLDING"/>
    <n v="420"/>
    <s v="Capgemini Belgium N.V./S.A."/>
    <s v="BENELUX"/>
    <n v="950110008132"/>
    <x v="3"/>
    <s v="GROUP SHARED SERVICES"/>
    <d v="2016-04-04T10:02:13"/>
    <s v="1.No signed SoW"/>
    <s v="DISAGREEMENT"/>
    <d v="2016-05-04T12:06:49"/>
    <s v="Q2 2016"/>
    <n v="307.49526620370307"/>
    <s v="181 - 365 Days"/>
    <n v="4925"/>
    <s v="EUR"/>
    <s v="INTER"/>
    <n v="4.93"/>
    <n v="1"/>
    <s v="1"/>
    <s v="Supplier 100%"/>
    <n v="4.93"/>
    <n v="0"/>
  </r>
  <r>
    <s v="Unresolved"/>
    <s v="Unresolved (Dec)"/>
    <n v="95"/>
    <s v="Capgemini Service S.A.S."/>
    <s v="HOLDING"/>
    <n v="8310"/>
    <s v="Capgemini Polska Sp z.o.o"/>
    <s v="CENTRAL EUROPE"/>
    <n v="950110008224"/>
    <x v="3"/>
    <s v="GROUP SHARED SERVICES"/>
    <d v="2016-04-22T10:02:36"/>
    <s v="1.No signed SoW"/>
    <s v="DISAGREEMENT"/>
    <d v="2016-06-03T12:41:33"/>
    <s v="Q2 2016"/>
    <n v="277.47114583333314"/>
    <s v="181 - 365 Days"/>
    <n v="6638.27"/>
    <s v="EUR"/>
    <s v="INTER"/>
    <n v="6.64"/>
    <n v="1"/>
    <s v="1"/>
    <s v="Supplier 100%"/>
    <n v="6.64"/>
    <n v="0"/>
  </r>
  <r>
    <s v="Unresolved"/>
    <s v="Unresolved (Dec)"/>
    <n v="95"/>
    <s v="Capgemini Service S.A.S."/>
    <s v="HOLDING"/>
    <n v="8110"/>
    <s v="Capgemini Mexico S. de R.L. de C.V."/>
    <s v="CPM- BR"/>
    <n v="950110009118"/>
    <x v="3"/>
    <s v="GROUP SHARED SERVICES"/>
    <d v="2016-06-21T10:02:42"/>
    <s v="1.No signed SoW"/>
    <s v="DISAGREEMENT"/>
    <d v="2016-08-03T17:05:40"/>
    <s v="Q3 2016"/>
    <n v="216.28773148148321"/>
    <s v="181 - 365 Days"/>
    <n v="30029"/>
    <s v="EUR"/>
    <s v="INTER"/>
    <n v="30.03"/>
    <n v="1"/>
    <s v="1"/>
    <s v="Supplier 100%"/>
    <n v="30.03"/>
    <n v="0"/>
  </r>
  <r>
    <s v="Unresolved"/>
    <s v="Unresolved (Dec)"/>
    <n v="95"/>
    <s v="Capgemini Service S.A.S."/>
    <s v="HOLDING"/>
    <n v="8110"/>
    <s v="Capgemini Mexico S. de R.L. de C.V."/>
    <s v="CPM- BR"/>
    <n v="950110009157"/>
    <x v="3"/>
    <s v="GROUP SHARED SERVICES"/>
    <d v="2016-06-22T10:02:37"/>
    <s v="1.No signed SoW"/>
    <s v="DISAGREEMENT"/>
    <d v="2016-09-06T06:02:22"/>
    <s v="Q3 2016"/>
    <n v="182.74835648148292"/>
    <s v="181 - 365 Days"/>
    <n v="32391.5"/>
    <s v="EUR"/>
    <s v="INTER"/>
    <n v="32.39"/>
    <n v="1"/>
    <s v="1"/>
    <s v="Supplier 100%"/>
    <n v="32.39"/>
    <n v="0"/>
  </r>
  <r>
    <s v="Unresolved"/>
    <s v="Unresolved (Dec)"/>
    <n v="635"/>
    <s v="Capgemini Technology Services"/>
    <s v="FRANCE"/>
    <n v="1350"/>
    <s v="Capgemini Sverige AB"/>
    <s v="NORDIC"/>
    <n v="63503300004708"/>
    <x v="4"/>
    <s v="Apps COE Digital"/>
    <d v="2016-06-22T10:08:12"/>
    <s v="6.Missing or wrong information on invoice"/>
    <s v="Missing Information or Attachment"/>
    <d v="2016-09-05T17:18:27"/>
    <s v="Q3 2016"/>
    <n v="183.27885416666686"/>
    <s v="181 - 365 Days"/>
    <n v="12129.08"/>
    <s v="EUR"/>
    <s v="INTER"/>
    <n v="12.13"/>
    <n v="1"/>
    <s v="6/7"/>
    <s v="50% / 50%"/>
    <n v="12.13"/>
    <n v="0"/>
  </r>
  <r>
    <s v="Unresolved"/>
    <s v="Unresolved (Dec)"/>
    <n v="635"/>
    <s v="Capgemini Technology Services"/>
    <s v="FRANCE"/>
    <n v="260"/>
    <s v="Capgemini UK Plc"/>
    <s v="UK &amp; IRELAND"/>
    <n v="63503300004768"/>
    <x v="5"/>
    <s v="FR03 CC_SBU_HUB"/>
    <d v="2016-06-22T10:08:16"/>
    <s v="6.Missing or wrong information on invoice"/>
    <s v="Missing Information or Attachment"/>
    <d v="2016-09-06T16:20:38"/>
    <s v="Q3 2016"/>
    <n v="182.31900462962949"/>
    <s v="181 - 365 Days"/>
    <n v="11062"/>
    <s v="EUR"/>
    <s v="INTER"/>
    <n v="11.06"/>
    <n v="1"/>
    <s v="6/7"/>
    <s v="50% / 50%"/>
    <n v="11.06"/>
    <n v="0"/>
  </r>
  <r>
    <s v="Unresolved"/>
    <s v="Unresolved (Dec)"/>
    <n v="8243"/>
    <s v="Capgemini Deutschland GmbH"/>
    <s v="CENTRAL EUROPE"/>
    <n v="95"/>
    <s v="Capgemini Service S.A.S."/>
    <s v="HOLDING"/>
    <n v="82430160083061"/>
    <x v="2"/>
    <s v="DE01 - Division SI - ADM local"/>
    <d v="2016-06-02T01:19:53"/>
    <s v="8.Invoice awaiting Prime’s approval or PO"/>
    <s v="Hold Payment"/>
    <d v="2016-08-03T11:52:55"/>
    <s v="Q3 2016"/>
    <n v="216.50491898148175"/>
    <s v="181 - 365 Days"/>
    <n v="51047.61"/>
    <s v="EUR"/>
    <s v="INTER"/>
    <n v="51.05"/>
    <n v="1"/>
    <s v="8"/>
    <s v="Client 75% / Supplier 25%"/>
    <n v="51.05"/>
    <n v="0"/>
  </r>
  <r>
    <s v="Unresolved"/>
    <s v="Added"/>
    <n v="1730"/>
    <s v="Capgemini Portugal, Serviços de Consultoria e Informatica S.A."/>
    <s v="IBERIA"/>
    <n v="1750"/>
    <s v="Capgemini Espana S.L."/>
    <s v="IBERIA"/>
    <n v="7334"/>
    <x v="2"/>
    <s v="Apps Portugal"/>
    <d v="2016-05-03T23:17:47"/>
    <s v="8.Invoice awaiting Prime’s approval or PO"/>
    <s v="Hold Payment"/>
    <d v="2016-06-28T12:23:26"/>
    <s v="Q2 2016"/>
    <n v="252.48372685185313"/>
    <s v="181 - 365 Days"/>
    <n v="15000"/>
    <s v="EUR"/>
    <s v="INTRA"/>
    <n v="15"/>
    <n v="1"/>
    <s v="8"/>
    <s v="Client 75% / Supplier 25%"/>
    <n v="3.75"/>
    <n v="11.25"/>
  </r>
  <r>
    <s v="Unresolved"/>
    <s v="Added"/>
    <n v="3014"/>
    <s v="Sogeti France S.A.S."/>
    <s v="FRANCE"/>
    <n v="635"/>
    <s v="Capgemini Technology Services"/>
    <s v="FRANCE"/>
    <n v="30140110126649"/>
    <x v="6"/>
    <s v="Sogeti France "/>
    <d v="2016-05-25T16:08:06"/>
    <s v="8.Invoice awaiting Prime’s approval or PO"/>
    <s v="Hold Payment"/>
    <d v="2016-08-04T18:00:48"/>
    <s v="Q3 2016"/>
    <n v="215.24944444444554"/>
    <s v="181 - 365 Days"/>
    <n v="34349.760000000002"/>
    <s v="EUR"/>
    <s v="INTRA"/>
    <n v="34.35"/>
    <n v="1"/>
    <s v="8"/>
    <s v="Client 75% / Supplier 25%"/>
    <n v="8.5875000000000004"/>
    <n v="25.762500000000003"/>
  </r>
  <r>
    <s v="Unresolved"/>
    <s v="Unresolved (Dec)"/>
    <n v="1730"/>
    <s v="Capgemini Portugal, Serviços de Consultoria e Informatica S.A."/>
    <s v="IBERIA"/>
    <n v="1750"/>
    <s v="Capgemini Espana S.L."/>
    <s v="IBERIA"/>
    <n v="7475"/>
    <x v="2"/>
    <s v="Apps Portugal"/>
    <d v="2016-06-02T20:50:30"/>
    <s v="8.Invoice awaiting Prime’s approval or PO"/>
    <s v="Hold Payment"/>
    <d v="2016-08-03T14:26:08"/>
    <s v="Q3 2016"/>
    <n v="216.39851851851563"/>
    <s v="181 - 365 Days"/>
    <n v="15000"/>
    <s v="EUR"/>
    <s v="INTRA"/>
    <n v="15"/>
    <n v="1"/>
    <s v="8"/>
    <s v="Client 75% / Supplier 25%"/>
    <n v="15"/>
    <n v="0"/>
  </r>
  <r>
    <s v="Unresolved"/>
    <s v="Unresolved (Dec)"/>
    <n v="3014"/>
    <s v="Sogeti France S.A.S."/>
    <s v="FRANCE"/>
    <n v="635"/>
    <s v="Capgemini Technology Services"/>
    <s v="FRANCE"/>
    <n v="30140110129116"/>
    <x v="6"/>
    <s v="Sogeti France "/>
    <d v="2016-06-22T10:50:11"/>
    <s v="8.Invoice awaiting Prime’s approval or PO"/>
    <s v="Hold Payment"/>
    <d v="2016-09-06T12:18:08"/>
    <s v="Q3 2016"/>
    <n v="182.4874074074105"/>
    <s v="181 - 365 Days"/>
    <n v="13532.4"/>
    <s v="EUR"/>
    <s v="INTRA"/>
    <n v="13.53"/>
    <n v="1"/>
    <s v="8"/>
    <s v="Client 75% / Supplier 25%"/>
    <n v="13.53"/>
    <n v="0"/>
  </r>
  <r>
    <s v="Unresolved"/>
    <s v="Unresolved (Dec)"/>
    <n v="3014"/>
    <s v="Sogeti France S.A.S."/>
    <s v="FRANCE"/>
    <n v="635"/>
    <s v="Capgemini Technology Services"/>
    <s v="FRANCE"/>
    <n v="30140110129119"/>
    <x v="6"/>
    <s v="Sogeti France "/>
    <d v="2016-06-22T10:50:11"/>
    <s v="8.Invoice awaiting Prime’s approval or PO"/>
    <s v="Hold Payment"/>
    <d v="2016-09-06T12:18:08"/>
    <s v="Q3 2016"/>
    <n v="182.4874074074105"/>
    <s v="181 - 365 Days"/>
    <n v="12888"/>
    <s v="EUR"/>
    <s v="INTRA"/>
    <n v="12.89"/>
    <n v="1"/>
    <s v="8"/>
    <s v="Client 75% / Supplier 25%"/>
    <n v="12.89"/>
    <n v="0"/>
  </r>
  <r>
    <s v="Unresolved"/>
    <s v="Unresolved (Dec)"/>
    <n v="413"/>
    <s v="Capgemini Nederland B.V."/>
    <s v="BENELUX"/>
    <n v="1350"/>
    <s v="Capgemini Sverige AB"/>
    <s v="NORDIC"/>
    <n v="4130110147119"/>
    <x v="2"/>
    <s v="Apps_NL_MU_TTT"/>
    <d v="2016-06-22T15:24:27"/>
    <s v="6.Missing or wrong information on invoice"/>
    <s v="Missing Information or Attachment"/>
    <d v="2016-09-05T15:09:54"/>
    <s v="Q3 2016"/>
    <n v="183.36812500000087"/>
    <s v="181 - 365 Days"/>
    <n v="16280"/>
    <s v="EUR"/>
    <s v="INTER"/>
    <n v="16.28"/>
    <n v="1"/>
    <s v="6/7"/>
    <s v="50% / 50%"/>
    <n v="16.28"/>
    <n v="0"/>
  </r>
  <r>
    <s v="Unresolved"/>
    <s v="Unresolved (Dec)"/>
    <n v="3022"/>
    <s v="Sogeti High Tech S.A.S."/>
    <s v="FRANCE"/>
    <n v="635"/>
    <s v="Capgemini Technology Services"/>
    <s v="FRANCE"/>
    <n v="30220110058151"/>
    <x v="6"/>
    <s v="Sogeti HTC  "/>
    <d v="2016-06-22T16:10:11"/>
    <s v="4.Disagreed expenses"/>
    <s v="DISAGREEMENT"/>
    <d v="2016-09-05T16:58:57"/>
    <s v="Q3 2016"/>
    <n v="183.29239583333401"/>
    <s v="181 - 365 Days"/>
    <n v="42192"/>
    <s v="EUR"/>
    <s v="INTRA"/>
    <n v="42.19"/>
    <n v="1"/>
    <s v="4"/>
    <s v="50% / 50%"/>
    <n v="42.19"/>
    <n v="0"/>
  </r>
  <r>
    <s v="Unresolved"/>
    <s v="Unresolved (Dec)"/>
    <n v="3022"/>
    <s v="Sogeti High Tech S.A.S."/>
    <s v="FRANCE"/>
    <n v="692"/>
    <s v="Capgemini Outsourcing Services S.A.S."/>
    <s v="FRANCE"/>
    <n v="30220110058160"/>
    <x v="6"/>
    <s v="Sogeti HTC  "/>
    <d v="2016-06-23T10:50:38"/>
    <s v="4.Disagreed expenses"/>
    <s v="DISAGREEMENT"/>
    <d v="2016-09-05T14:48:23"/>
    <s v="Q3 2016"/>
    <n v="183.38306712963094"/>
    <s v="181 - 365 Days"/>
    <n v="24129.46"/>
    <s v="EUR"/>
    <s v="INTRA"/>
    <n v="24.13"/>
    <n v="1"/>
    <s v="4"/>
    <s v="50% / 50%"/>
    <n v="24.13"/>
    <n v="0"/>
  </r>
  <r>
    <s v="Unresolved"/>
    <s v="Unresolved (Dec)"/>
    <n v="3022"/>
    <s v="Sogeti High Tech S.A.S."/>
    <s v="FRANCE"/>
    <n v="692"/>
    <s v="Capgemini Outsourcing Services S.A.S."/>
    <s v="FRANCE"/>
    <n v="30220110058234"/>
    <x v="6"/>
    <s v="Sogeti HTC  "/>
    <d v="2016-06-23T16:08:13"/>
    <s v="4.Disagreed expenses"/>
    <s v="DISAGREEMENT"/>
    <d v="2016-09-05T14:48:23"/>
    <s v="Q3 2016"/>
    <n v="183.38306712963094"/>
    <s v="181 - 365 Days"/>
    <n v="28404"/>
    <s v="EUR"/>
    <s v="INTRA"/>
    <n v="28.4"/>
    <n v="1"/>
    <s v="4"/>
    <s v="50% / 50%"/>
    <n v="28.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5:C28" firstHeaderRow="1" firstDataRow="2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8"/>
        <item x="3"/>
        <item x="9"/>
        <item x="5"/>
        <item x="7"/>
        <item x="2"/>
        <item x="4"/>
        <item x="6"/>
        <item x="0"/>
        <item x="1"/>
        <item x="10"/>
        <item t="default"/>
      </items>
    </pivotField>
    <pivotField showAll="0"/>
    <pivotField showAll="0"/>
    <pivotField numFmtId="22"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" fld="25" baseField="0" baseItem="0"/>
    <dataField name="Sum of Keuro" fld="24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C10" firstHeaderRow="1" firstDataRow="2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m="1" x="7"/>
        <item x="2"/>
        <item m="1" x="8"/>
        <item x="6"/>
        <item x="3"/>
        <item m="1" x="9"/>
        <item m="1" x="10"/>
        <item x="0"/>
        <item x="4"/>
        <item m="1" x="11"/>
        <item x="1"/>
        <item x="5"/>
        <item t="default"/>
      </items>
    </pivotField>
    <pivotField showAll="0"/>
    <pivotField showAll="0"/>
    <pivotField showAll="0"/>
    <pivotField showAll="0"/>
    <pivotField numFmtId="22" showAll="0"/>
    <pivotField showAll="0"/>
    <pivotField numFmtI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9"/>
  </rowFields>
  <rowItems count="8">
    <i>
      <x v="1"/>
    </i>
    <i>
      <x v="3"/>
    </i>
    <i>
      <x v="4"/>
    </i>
    <i>
      <x v="7"/>
    </i>
    <i>
      <x v="8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" fld="22" baseField="0" baseItem="0"/>
    <dataField name="Sum of Keuro" fld="2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C5:E33"/>
  <sheetViews>
    <sheetView showGridLines="0" workbookViewId="0">
      <selection activeCell="C27" sqref="C27"/>
    </sheetView>
  </sheetViews>
  <sheetFormatPr defaultRowHeight="15" x14ac:dyDescent="0.25"/>
  <cols>
    <col min="3" max="3" width="19.5703125" bestFit="1" customWidth="1"/>
  </cols>
  <sheetData>
    <row r="5" spans="3:5" x14ac:dyDescent="0.25">
      <c r="C5" s="109" t="s">
        <v>295</v>
      </c>
    </row>
    <row r="6" spans="3:5" x14ac:dyDescent="0.25">
      <c r="C6" s="113" t="s">
        <v>296</v>
      </c>
    </row>
    <row r="7" spans="3:5" x14ac:dyDescent="0.25">
      <c r="C7" s="110" t="s">
        <v>298</v>
      </c>
    </row>
    <row r="8" spans="3:5" x14ac:dyDescent="0.25">
      <c r="C8" s="110" t="s">
        <v>299</v>
      </c>
    </row>
    <row r="9" spans="3:5" x14ac:dyDescent="0.25">
      <c r="C9" s="110" t="s">
        <v>297</v>
      </c>
    </row>
    <row r="10" spans="3:5" x14ac:dyDescent="0.25">
      <c r="C10" s="115" t="s">
        <v>300</v>
      </c>
    </row>
    <row r="11" spans="3:5" x14ac:dyDescent="0.25">
      <c r="C11" s="114" t="s">
        <v>301</v>
      </c>
    </row>
    <row r="12" spans="3:5" x14ac:dyDescent="0.25">
      <c r="C12" s="114" t="s">
        <v>302</v>
      </c>
    </row>
    <row r="13" spans="3:5" x14ac:dyDescent="0.25">
      <c r="C13" s="114" t="s">
        <v>44</v>
      </c>
    </row>
    <row r="14" spans="3:5" x14ac:dyDescent="0.25">
      <c r="C14" s="114" t="s">
        <v>38</v>
      </c>
    </row>
    <row r="15" spans="3:5" x14ac:dyDescent="0.25">
      <c r="C15" s="114" t="s">
        <v>303</v>
      </c>
    </row>
    <row r="16" spans="3:5" x14ac:dyDescent="0.25">
      <c r="C16" s="114" t="s">
        <v>51</v>
      </c>
      <c r="E16" s="109" t="s">
        <v>311</v>
      </c>
    </row>
    <row r="17" spans="3:5" x14ac:dyDescent="0.25">
      <c r="C17" s="114" t="s">
        <v>46</v>
      </c>
    </row>
    <row r="18" spans="3:5" x14ac:dyDescent="0.25">
      <c r="C18" s="114" t="s">
        <v>304</v>
      </c>
    </row>
    <row r="19" spans="3:5" x14ac:dyDescent="0.25">
      <c r="C19" s="114" t="s">
        <v>305</v>
      </c>
    </row>
    <row r="20" spans="3:5" x14ac:dyDescent="0.25">
      <c r="C20" s="114" t="s">
        <v>53</v>
      </c>
    </row>
    <row r="21" spans="3:5" s="135" customFormat="1" x14ac:dyDescent="0.25">
      <c r="C21" s="111" t="s">
        <v>453</v>
      </c>
    </row>
    <row r="22" spans="3:5" s="135" customFormat="1" x14ac:dyDescent="0.25">
      <c r="C22" s="111" t="s">
        <v>454</v>
      </c>
    </row>
    <row r="23" spans="3:5" s="135" customFormat="1" x14ac:dyDescent="0.25">
      <c r="C23" s="111" t="s">
        <v>455</v>
      </c>
    </row>
    <row r="24" spans="3:5" s="135" customFormat="1" x14ac:dyDescent="0.25">
      <c r="C24" s="111" t="s">
        <v>456</v>
      </c>
      <c r="E24" s="109" t="s">
        <v>312</v>
      </c>
    </row>
    <row r="25" spans="3:5" s="135" customFormat="1" x14ac:dyDescent="0.25">
      <c r="C25" s="111" t="s">
        <v>457</v>
      </c>
    </row>
    <row r="26" spans="3:5" s="135" customFormat="1" x14ac:dyDescent="0.25">
      <c r="C26" s="111" t="s">
        <v>458</v>
      </c>
    </row>
    <row r="27" spans="3:5" s="135" customFormat="1" x14ac:dyDescent="0.25">
      <c r="C27" s="111" t="s">
        <v>459</v>
      </c>
    </row>
    <row r="28" spans="3:5" s="135" customFormat="1" x14ac:dyDescent="0.25">
      <c r="C28" s="111" t="s">
        <v>460</v>
      </c>
    </row>
    <row r="29" spans="3:5" x14ac:dyDescent="0.25">
      <c r="C29" s="112" t="s">
        <v>306</v>
      </c>
    </row>
    <row r="30" spans="3:5" x14ac:dyDescent="0.25">
      <c r="C30" s="112" t="s">
        <v>307</v>
      </c>
    </row>
    <row r="31" spans="3:5" hidden="1" x14ac:dyDescent="0.25">
      <c r="C31" s="110" t="s">
        <v>308</v>
      </c>
    </row>
    <row r="32" spans="3:5" hidden="1" x14ac:dyDescent="0.25">
      <c r="C32" s="110" t="s">
        <v>309</v>
      </c>
    </row>
    <row r="33" spans="3:3" hidden="1" x14ac:dyDescent="0.25">
      <c r="C33" s="110" t="s">
        <v>310</v>
      </c>
    </row>
  </sheetData>
  <hyperlinks>
    <hyperlink ref="C6" location=" 'Table of Contents'!A1" display="Table of Contents"/>
    <hyperlink ref="C9" location=" 'MoM Absolute trend'!A1" display="MoM Absolute trend"/>
    <hyperlink ref="C7" location=" 'Summary_Short'!A1" display="Summary_Short"/>
    <hyperlink ref="C8" location=" 'Summary'!A1" display="Summary"/>
    <hyperlink ref="C10" location=" 'Clearing Rules'!A1" display="Clearing Rules"/>
    <hyperlink ref="C11" location=" 'APPSONE'!A1" display="APPSONE"/>
    <hyperlink ref="C12" location=" 'APPSTWO'!A1" display="APPSTWO"/>
    <hyperlink ref="C13" location=" 'CC'!A1" display="CC"/>
    <hyperlink ref="C14" location=" 'Infra'!A1" display="Infra"/>
    <hyperlink ref="C15" location=" 'BSv'!A1" display="BSv"/>
    <hyperlink ref="C16" location=" 'Sogeti'!A1" display="Sogeti"/>
    <hyperlink ref="C17" location=" 'Group'!A1" display="Group"/>
    <hyperlink ref="C18" location=" 'Shared Service'!A1" display="Shared Service"/>
    <hyperlink ref="C19" location=" 'Insights and Data'!A1" display="Insights and Data"/>
    <hyperlink ref="C20" location=" 'FS'!A1" display="FS"/>
    <hyperlink ref="C29" location=" 'DATA_CURRENT'!A1" display="DATA_CURRENT"/>
    <hyperlink ref="C30" location=" 'DATA_PRIOR'!A1" display="DATA_PRIOR"/>
    <hyperlink ref="C31" location=" 'iGate'!A1" display="iGate"/>
    <hyperlink ref="C32" location=" 'Sheet18'!A1" display="Sheet18"/>
    <hyperlink ref="C33" location=" 'Sheet6.'!A1" display="Sheet6."/>
    <hyperlink ref="C21" location=" 'Supp-Benelux'!A1" display="Supp-Benelux"/>
    <hyperlink ref="C22" location=" 'Supp-CE'!A1" display="Supp-CE"/>
    <hyperlink ref="C23" location=" 'Supp-France'!A1" display="Supp-France"/>
    <hyperlink ref="C24" location=" 'Supp-Holding'!A1" display="Supp-Holding"/>
    <hyperlink ref="C25" location=" 'Supp-India'!A1" display="Supp-India"/>
    <hyperlink ref="C26" location=" 'Supp-Nordic'!A1" display="Supp-Nordic"/>
    <hyperlink ref="C27" location=" 'Supp-NA'!A1" display="Supp-NA"/>
    <hyperlink ref="C28" location=" 'Supp-UK'!A1" display="Supp-UK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0.59999389629810485"/>
  </sheetPr>
  <dimension ref="A3:AA9"/>
  <sheetViews>
    <sheetView workbookViewId="0"/>
  </sheetViews>
  <sheetFormatPr defaultRowHeight="15" x14ac:dyDescent="0.25"/>
  <cols>
    <col min="1" max="1" width="11.140625" bestFit="1" customWidth="1"/>
    <col min="2" max="2" width="16.7109375" bestFit="1" customWidth="1"/>
    <col min="3" max="3" width="6.7109375" bestFit="1" customWidth="1"/>
    <col min="4" max="4" width="22.7109375" bestFit="1" customWidth="1"/>
    <col min="5" max="5" width="16" bestFit="1" customWidth="1"/>
    <col min="6" max="6" width="6.7109375" bestFit="1" customWidth="1"/>
    <col min="7" max="7" width="23.28515625" customWidth="1"/>
    <col min="8" max="8" width="23.140625" bestFit="1" customWidth="1"/>
    <col min="9" max="9" width="17" style="133" customWidth="1"/>
    <col min="10" max="10" width="21.42578125" bestFit="1" customWidth="1"/>
    <col min="11" max="11" width="15.140625" bestFit="1" customWidth="1"/>
    <col min="12" max="12" width="21.42578125" style="118" bestFit="1" customWidth="1"/>
    <col min="13" max="13" width="22" customWidth="1"/>
    <col min="14" max="14" width="19.5703125" customWidth="1"/>
    <col min="15" max="15" width="12" style="118" bestFit="1" customWidth="1"/>
    <col min="16" max="16" width="11" customWidth="1"/>
    <col min="17" max="17" width="9.5703125" customWidth="1"/>
    <col min="18" max="18" width="14.7109375" bestFit="1" customWidth="1"/>
    <col min="19" max="19" width="10.85546875" style="123" customWidth="1"/>
    <col min="21" max="21" width="13.28515625" bestFit="1" customWidth="1"/>
    <col min="22" max="22" width="9" style="126" bestFit="1" customWidth="1"/>
    <col min="23" max="23" width="7.140625" bestFit="1" customWidth="1"/>
    <col min="24" max="24" width="8.28515625" style="101" bestFit="1" customWidth="1"/>
    <col min="25" max="25" width="25.28515625" customWidth="1"/>
    <col min="26" max="27" width="7.5703125" style="72" customWidth="1"/>
  </cols>
  <sheetData>
    <row r="3" spans="1:27" ht="36" x14ac:dyDescent="0.25">
      <c r="A3" s="47" t="s">
        <v>96</v>
      </c>
      <c r="B3" s="47" t="s">
        <v>69</v>
      </c>
      <c r="C3" s="48" t="s">
        <v>70</v>
      </c>
      <c r="D3" s="48" t="s">
        <v>71</v>
      </c>
      <c r="E3" s="48" t="s">
        <v>73</v>
      </c>
      <c r="F3" s="48" t="s">
        <v>74</v>
      </c>
      <c r="G3" s="48" t="s">
        <v>75</v>
      </c>
      <c r="H3" s="48" t="s">
        <v>77</v>
      </c>
      <c r="I3" s="131" t="s">
        <v>78</v>
      </c>
      <c r="J3" s="47" t="s">
        <v>29</v>
      </c>
      <c r="K3" s="47" t="s">
        <v>79</v>
      </c>
      <c r="L3" s="116" t="s">
        <v>81</v>
      </c>
      <c r="M3" s="48" t="s">
        <v>82</v>
      </c>
      <c r="N3" s="48" t="s">
        <v>83</v>
      </c>
      <c r="O3" s="116" t="s">
        <v>84</v>
      </c>
      <c r="P3" s="48" t="s">
        <v>85</v>
      </c>
      <c r="Q3" s="48" t="s">
        <v>86</v>
      </c>
      <c r="R3" s="48" t="s">
        <v>87</v>
      </c>
      <c r="S3" s="121" t="s">
        <v>88</v>
      </c>
      <c r="T3" s="48" t="s">
        <v>89</v>
      </c>
      <c r="U3" s="48" t="s">
        <v>90</v>
      </c>
      <c r="V3" s="124" t="s">
        <v>91</v>
      </c>
      <c r="W3" s="48" t="s">
        <v>92</v>
      </c>
      <c r="X3" s="47" t="s">
        <v>93</v>
      </c>
      <c r="Y3" s="47" t="s">
        <v>65</v>
      </c>
      <c r="Z3" s="119" t="s">
        <v>94</v>
      </c>
      <c r="AA3" s="119" t="s">
        <v>95</v>
      </c>
    </row>
    <row r="4" spans="1:27" x14ac:dyDescent="0.25">
      <c r="A4" s="51" t="s">
        <v>96</v>
      </c>
      <c r="B4" s="51" t="s">
        <v>96</v>
      </c>
      <c r="C4" s="91">
        <v>8520</v>
      </c>
      <c r="D4" s="91" t="s">
        <v>186</v>
      </c>
      <c r="E4" s="91" t="s">
        <v>15</v>
      </c>
      <c r="F4" s="91">
        <v>199</v>
      </c>
      <c r="G4" s="91" t="s">
        <v>124</v>
      </c>
      <c r="H4" s="91" t="s">
        <v>20</v>
      </c>
      <c r="I4" s="134">
        <v>85200710012386</v>
      </c>
      <c r="J4" s="92" t="s">
        <v>47</v>
      </c>
      <c r="K4" s="92" t="s">
        <v>142</v>
      </c>
      <c r="L4" s="117">
        <v>42584</v>
      </c>
      <c r="M4" s="91" t="s">
        <v>109</v>
      </c>
      <c r="N4" s="91" t="s">
        <v>10</v>
      </c>
      <c r="O4" s="117">
        <v>42618</v>
      </c>
      <c r="P4" s="93" t="s">
        <v>206</v>
      </c>
      <c r="Q4" s="94">
        <v>295</v>
      </c>
      <c r="R4" s="93" t="s">
        <v>99</v>
      </c>
      <c r="S4" s="122">
        <v>311508.09000000003</v>
      </c>
      <c r="T4" s="91" t="s">
        <v>119</v>
      </c>
      <c r="U4" s="91" t="s">
        <v>101</v>
      </c>
      <c r="V4" s="125">
        <v>4.33</v>
      </c>
      <c r="W4" s="51">
        <v>1</v>
      </c>
      <c r="X4" s="127" t="s">
        <v>133</v>
      </c>
      <c r="Y4" s="51" t="s">
        <v>32</v>
      </c>
      <c r="Z4" s="120">
        <v>1.0825</v>
      </c>
      <c r="AA4" s="120">
        <v>3.2475000000000001</v>
      </c>
    </row>
    <row r="5" spans="1:27" x14ac:dyDescent="0.25">
      <c r="A5" s="51" t="s">
        <v>96</v>
      </c>
      <c r="B5" s="51" t="s">
        <v>96</v>
      </c>
      <c r="C5" s="91">
        <v>8520</v>
      </c>
      <c r="D5" s="91" t="s">
        <v>186</v>
      </c>
      <c r="E5" s="91" t="s">
        <v>15</v>
      </c>
      <c r="F5" s="91">
        <v>95</v>
      </c>
      <c r="G5" s="91" t="s">
        <v>110</v>
      </c>
      <c r="H5" s="91" t="s">
        <v>18</v>
      </c>
      <c r="I5" s="134">
        <v>85203830000027</v>
      </c>
      <c r="J5" s="92" t="s">
        <v>47</v>
      </c>
      <c r="K5" s="92" t="s">
        <v>462</v>
      </c>
      <c r="L5" s="117">
        <v>42677</v>
      </c>
      <c r="M5" s="91" t="s">
        <v>109</v>
      </c>
      <c r="N5" s="91" t="s">
        <v>10</v>
      </c>
      <c r="O5" s="117">
        <v>42732</v>
      </c>
      <c r="P5" s="93" t="s">
        <v>261</v>
      </c>
      <c r="Q5" s="94">
        <v>181</v>
      </c>
      <c r="R5" s="93" t="s">
        <v>99</v>
      </c>
      <c r="S5" s="122">
        <v>713907</v>
      </c>
      <c r="T5" s="91" t="s">
        <v>119</v>
      </c>
      <c r="U5" s="91" t="s">
        <v>101</v>
      </c>
      <c r="V5" s="125">
        <v>9.93</v>
      </c>
      <c r="W5" s="51">
        <v>1</v>
      </c>
      <c r="X5" s="127" t="s">
        <v>133</v>
      </c>
      <c r="Y5" s="51" t="s">
        <v>32</v>
      </c>
      <c r="Z5" s="120">
        <v>2.4824999999999999</v>
      </c>
      <c r="AA5" s="120">
        <v>7.4474999999999998</v>
      </c>
    </row>
    <row r="6" spans="1:27" x14ac:dyDescent="0.25">
      <c r="A6" s="51" t="s">
        <v>102</v>
      </c>
      <c r="B6" s="51" t="s">
        <v>466</v>
      </c>
      <c r="C6" s="91">
        <v>8520</v>
      </c>
      <c r="D6" s="91" t="s">
        <v>186</v>
      </c>
      <c r="E6" s="91" t="s">
        <v>15</v>
      </c>
      <c r="F6" s="91">
        <v>199</v>
      </c>
      <c r="G6" s="91" t="s">
        <v>124</v>
      </c>
      <c r="H6" s="91" t="s">
        <v>20</v>
      </c>
      <c r="I6" s="134">
        <v>85200710012708</v>
      </c>
      <c r="J6" s="92" t="s">
        <v>47</v>
      </c>
      <c r="K6" s="92" t="s">
        <v>274</v>
      </c>
      <c r="L6" s="117">
        <v>42614</v>
      </c>
      <c r="M6" s="91" t="s">
        <v>109</v>
      </c>
      <c r="N6" s="91" t="s">
        <v>10</v>
      </c>
      <c r="O6" s="117">
        <v>42681</v>
      </c>
      <c r="P6" s="93" t="s">
        <v>261</v>
      </c>
      <c r="Q6" s="94">
        <v>232</v>
      </c>
      <c r="R6" s="93" t="s">
        <v>99</v>
      </c>
      <c r="S6" s="122">
        <v>59200</v>
      </c>
      <c r="T6" s="91" t="s">
        <v>119</v>
      </c>
      <c r="U6" s="91" t="s">
        <v>101</v>
      </c>
      <c r="V6" s="125">
        <v>0.82</v>
      </c>
      <c r="W6" s="51">
        <v>1</v>
      </c>
      <c r="X6" s="127" t="s">
        <v>133</v>
      </c>
      <c r="Y6" s="51" t="s">
        <v>32</v>
      </c>
      <c r="Z6" s="120">
        <v>0.20499999999999999</v>
      </c>
      <c r="AA6" s="120">
        <v>0.61499999999999999</v>
      </c>
    </row>
    <row r="7" spans="1:27" x14ac:dyDescent="0.25">
      <c r="A7" s="51" t="s">
        <v>102</v>
      </c>
      <c r="B7" s="51" t="s">
        <v>466</v>
      </c>
      <c r="C7" s="91">
        <v>8520</v>
      </c>
      <c r="D7" s="91" t="s">
        <v>186</v>
      </c>
      <c r="E7" s="91" t="s">
        <v>15</v>
      </c>
      <c r="F7" s="91">
        <v>199</v>
      </c>
      <c r="G7" s="91" t="s">
        <v>124</v>
      </c>
      <c r="H7" s="91" t="s">
        <v>20</v>
      </c>
      <c r="I7" s="134">
        <v>85200710013074</v>
      </c>
      <c r="J7" s="92" t="s">
        <v>47</v>
      </c>
      <c r="K7" s="92" t="s">
        <v>142</v>
      </c>
      <c r="L7" s="117">
        <v>42676</v>
      </c>
      <c r="M7" s="91" t="s">
        <v>109</v>
      </c>
      <c r="N7" s="91" t="s">
        <v>10</v>
      </c>
      <c r="O7" s="117">
        <v>42709</v>
      </c>
      <c r="P7" s="93" t="s">
        <v>261</v>
      </c>
      <c r="Q7" s="94">
        <v>204</v>
      </c>
      <c r="R7" s="93" t="s">
        <v>99</v>
      </c>
      <c r="S7" s="122">
        <v>44400</v>
      </c>
      <c r="T7" s="91" t="s">
        <v>119</v>
      </c>
      <c r="U7" s="91" t="s">
        <v>101</v>
      </c>
      <c r="V7" s="125">
        <v>0.62</v>
      </c>
      <c r="W7" s="51">
        <v>1</v>
      </c>
      <c r="X7" s="127" t="s">
        <v>133</v>
      </c>
      <c r="Y7" s="51" t="s">
        <v>32</v>
      </c>
      <c r="Z7" s="120">
        <v>0.155</v>
      </c>
      <c r="AA7" s="120">
        <v>0.46499999999999997</v>
      </c>
    </row>
    <row r="8" spans="1:27" x14ac:dyDescent="0.25">
      <c r="A8" s="51" t="s">
        <v>102</v>
      </c>
      <c r="B8" s="51" t="s">
        <v>466</v>
      </c>
      <c r="C8" s="91">
        <v>8520</v>
      </c>
      <c r="D8" s="91" t="s">
        <v>186</v>
      </c>
      <c r="E8" s="91" t="s">
        <v>15</v>
      </c>
      <c r="F8" s="91">
        <v>199</v>
      </c>
      <c r="G8" s="91" t="s">
        <v>124</v>
      </c>
      <c r="H8" s="91" t="s">
        <v>20</v>
      </c>
      <c r="I8" s="134">
        <v>85200710012569</v>
      </c>
      <c r="J8" s="92" t="s">
        <v>47</v>
      </c>
      <c r="K8" s="92" t="s">
        <v>142</v>
      </c>
      <c r="L8" s="117">
        <v>42583</v>
      </c>
      <c r="M8" s="91" t="s">
        <v>109</v>
      </c>
      <c r="N8" s="91" t="s">
        <v>10</v>
      </c>
      <c r="O8" s="117">
        <v>42648</v>
      </c>
      <c r="P8" s="93" t="s">
        <v>206</v>
      </c>
      <c r="Q8" s="94">
        <v>265</v>
      </c>
      <c r="R8" s="93" t="s">
        <v>99</v>
      </c>
      <c r="S8" s="122">
        <v>29600</v>
      </c>
      <c r="T8" s="91" t="s">
        <v>119</v>
      </c>
      <c r="U8" s="91" t="s">
        <v>101</v>
      </c>
      <c r="V8" s="125">
        <v>0.41</v>
      </c>
      <c r="W8" s="51">
        <v>1</v>
      </c>
      <c r="X8" s="127" t="s">
        <v>133</v>
      </c>
      <c r="Y8" s="51" t="s">
        <v>32</v>
      </c>
      <c r="Z8" s="120">
        <v>0.10249999999999999</v>
      </c>
      <c r="AA8" s="120">
        <v>0.3075</v>
      </c>
    </row>
    <row r="9" spans="1:27" x14ac:dyDescent="0.25">
      <c r="A9" s="51" t="s">
        <v>102</v>
      </c>
      <c r="B9" s="51" t="s">
        <v>466</v>
      </c>
      <c r="C9" s="91">
        <v>8310</v>
      </c>
      <c r="D9" s="91" t="s">
        <v>112</v>
      </c>
      <c r="E9" s="91" t="s">
        <v>14</v>
      </c>
      <c r="F9" s="91">
        <v>199</v>
      </c>
      <c r="G9" s="91" t="s">
        <v>124</v>
      </c>
      <c r="H9" s="91" t="s">
        <v>20</v>
      </c>
      <c r="I9" s="134" t="s">
        <v>239</v>
      </c>
      <c r="J9" s="92" t="s">
        <v>47</v>
      </c>
      <c r="K9" s="92" t="s">
        <v>250</v>
      </c>
      <c r="L9" s="117">
        <v>42584</v>
      </c>
      <c r="M9" s="91" t="s">
        <v>98</v>
      </c>
      <c r="N9" s="91" t="s">
        <v>9</v>
      </c>
      <c r="O9" s="117">
        <v>42647</v>
      </c>
      <c r="P9" s="93" t="s">
        <v>206</v>
      </c>
      <c r="Q9" s="94">
        <v>266</v>
      </c>
      <c r="R9" s="93" t="s">
        <v>99</v>
      </c>
      <c r="S9" s="122">
        <v>4409</v>
      </c>
      <c r="T9" s="91" t="s">
        <v>209</v>
      </c>
      <c r="U9" s="91" t="s">
        <v>101</v>
      </c>
      <c r="V9" s="125">
        <v>1.04</v>
      </c>
      <c r="W9" s="51">
        <v>1</v>
      </c>
      <c r="X9" s="127" t="s">
        <v>135</v>
      </c>
      <c r="Y9" s="51" t="s">
        <v>30</v>
      </c>
      <c r="Z9" s="120">
        <v>1.04</v>
      </c>
      <c r="AA9" s="12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</sheetPr>
  <dimension ref="A3:AA7"/>
  <sheetViews>
    <sheetView workbookViewId="0"/>
  </sheetViews>
  <sheetFormatPr defaultRowHeight="15" x14ac:dyDescent="0.25"/>
  <cols>
    <col min="1" max="1" width="11.140625" bestFit="1" customWidth="1"/>
    <col min="2" max="2" width="16.42578125" bestFit="1" customWidth="1"/>
    <col min="3" max="3" width="6.7109375" bestFit="1" customWidth="1"/>
    <col min="4" max="4" width="41.7109375" bestFit="1" customWidth="1"/>
    <col min="5" max="5" width="12" bestFit="1" customWidth="1"/>
    <col min="6" max="6" width="8.85546875" bestFit="1" customWidth="1"/>
    <col min="7" max="7" width="23.28515625" customWidth="1"/>
    <col min="8" max="8" width="16" bestFit="1" customWidth="1"/>
    <col min="9" max="9" width="17" style="133" customWidth="1"/>
    <col min="10" max="10" width="10.28515625" bestFit="1" customWidth="1"/>
    <col min="11" max="11" width="13.42578125" bestFit="1" customWidth="1"/>
    <col min="12" max="12" width="11.85546875" style="118" bestFit="1" customWidth="1"/>
    <col min="13" max="13" width="22" customWidth="1"/>
    <col min="14" max="14" width="19.5703125" customWidth="1"/>
    <col min="15" max="15" width="11.85546875" style="118" bestFit="1" customWidth="1"/>
    <col min="16" max="16" width="11" customWidth="1"/>
    <col min="17" max="17" width="9.5703125" customWidth="1"/>
    <col min="18" max="18" width="11.7109375" bestFit="1" customWidth="1"/>
    <col min="19" max="19" width="10.85546875" style="123" customWidth="1"/>
    <col min="20" max="20" width="7.140625" bestFit="1" customWidth="1"/>
    <col min="21" max="21" width="8.28515625" bestFit="1" customWidth="1"/>
    <col min="22" max="22" width="6.7109375" style="126" bestFit="1" customWidth="1"/>
    <col min="23" max="23" width="6.7109375" bestFit="1" customWidth="1"/>
    <col min="24" max="24" width="7.28515625" style="101" bestFit="1" customWidth="1"/>
    <col min="25" max="25" width="25.28515625" customWidth="1"/>
    <col min="26" max="27" width="7.5703125" style="72" customWidth="1"/>
  </cols>
  <sheetData>
    <row r="3" spans="1:27" ht="36" x14ac:dyDescent="0.25">
      <c r="A3" s="47" t="s">
        <v>96</v>
      </c>
      <c r="B3" s="47" t="s">
        <v>69</v>
      </c>
      <c r="C3" s="48" t="s">
        <v>70</v>
      </c>
      <c r="D3" s="48" t="s">
        <v>71</v>
      </c>
      <c r="E3" s="48" t="s">
        <v>73</v>
      </c>
      <c r="F3" s="48" t="s">
        <v>74</v>
      </c>
      <c r="G3" s="48" t="s">
        <v>75</v>
      </c>
      <c r="H3" s="48" t="s">
        <v>77</v>
      </c>
      <c r="I3" s="131" t="s">
        <v>78</v>
      </c>
      <c r="J3" s="47" t="s">
        <v>29</v>
      </c>
      <c r="K3" s="47" t="s">
        <v>79</v>
      </c>
      <c r="L3" s="116" t="s">
        <v>81</v>
      </c>
      <c r="M3" s="48" t="s">
        <v>82</v>
      </c>
      <c r="N3" s="48" t="s">
        <v>83</v>
      </c>
      <c r="O3" s="116" t="s">
        <v>84</v>
      </c>
      <c r="P3" s="48" t="s">
        <v>85</v>
      </c>
      <c r="Q3" s="48" t="s">
        <v>86</v>
      </c>
      <c r="R3" s="48" t="s">
        <v>87</v>
      </c>
      <c r="S3" s="121" t="s">
        <v>88</v>
      </c>
      <c r="T3" s="48" t="s">
        <v>89</v>
      </c>
      <c r="U3" s="48" t="s">
        <v>90</v>
      </c>
      <c r="V3" s="124" t="s">
        <v>91</v>
      </c>
      <c r="W3" s="48" t="s">
        <v>92</v>
      </c>
      <c r="X3" s="47" t="s">
        <v>93</v>
      </c>
      <c r="Y3" s="47" t="s">
        <v>65</v>
      </c>
      <c r="Z3" s="119" t="s">
        <v>94</v>
      </c>
      <c r="AA3" s="119" t="s">
        <v>95</v>
      </c>
    </row>
    <row r="4" spans="1:27" x14ac:dyDescent="0.25">
      <c r="A4" s="51" t="s">
        <v>102</v>
      </c>
      <c r="B4" s="51" t="s">
        <v>466</v>
      </c>
      <c r="C4" s="91">
        <v>429</v>
      </c>
      <c r="D4" s="91" t="s">
        <v>231</v>
      </c>
      <c r="E4" s="91" t="s">
        <v>22</v>
      </c>
      <c r="F4" s="91">
        <v>1350</v>
      </c>
      <c r="G4" s="91" t="s">
        <v>115</v>
      </c>
      <c r="H4" s="91" t="s">
        <v>19</v>
      </c>
      <c r="I4" s="134">
        <v>80802767</v>
      </c>
      <c r="J4" s="92" t="s">
        <v>58</v>
      </c>
      <c r="K4" s="92" t="s">
        <v>266</v>
      </c>
      <c r="L4" s="117">
        <v>42647</v>
      </c>
      <c r="M4" s="91" t="s">
        <v>98</v>
      </c>
      <c r="N4" s="91" t="s">
        <v>9</v>
      </c>
      <c r="O4" s="117">
        <v>42706</v>
      </c>
      <c r="P4" s="93" t="s">
        <v>261</v>
      </c>
      <c r="Q4" s="94">
        <v>207</v>
      </c>
      <c r="R4" s="93" t="s">
        <v>99</v>
      </c>
      <c r="S4" s="122">
        <v>17600</v>
      </c>
      <c r="T4" s="91" t="s">
        <v>100</v>
      </c>
      <c r="U4" s="91" t="s">
        <v>101</v>
      </c>
      <c r="V4" s="125">
        <v>17.600000000000001</v>
      </c>
      <c r="W4" s="51">
        <v>1</v>
      </c>
      <c r="X4" s="127" t="s">
        <v>135</v>
      </c>
      <c r="Y4" s="51" t="s">
        <v>30</v>
      </c>
      <c r="Z4" s="120">
        <v>17.600000000000001</v>
      </c>
      <c r="AA4" s="120">
        <v>0</v>
      </c>
    </row>
    <row r="5" spans="1:27" x14ac:dyDescent="0.25">
      <c r="A5" s="51" t="s">
        <v>102</v>
      </c>
      <c r="B5" s="51" t="s">
        <v>466</v>
      </c>
      <c r="C5" s="91">
        <v>429</v>
      </c>
      <c r="D5" s="91" t="s">
        <v>231</v>
      </c>
      <c r="E5" s="91" t="s">
        <v>22</v>
      </c>
      <c r="F5" s="91">
        <v>1350</v>
      </c>
      <c r="G5" s="91" t="s">
        <v>115</v>
      </c>
      <c r="H5" s="91" t="s">
        <v>19</v>
      </c>
      <c r="I5" s="134">
        <v>80802790</v>
      </c>
      <c r="J5" s="92" t="s">
        <v>58</v>
      </c>
      <c r="K5" s="92" t="s">
        <v>266</v>
      </c>
      <c r="L5" s="117">
        <v>42647</v>
      </c>
      <c r="M5" s="91" t="s">
        <v>98</v>
      </c>
      <c r="N5" s="91" t="s">
        <v>9</v>
      </c>
      <c r="O5" s="117">
        <v>42706</v>
      </c>
      <c r="P5" s="93" t="s">
        <v>261</v>
      </c>
      <c r="Q5" s="94">
        <v>207</v>
      </c>
      <c r="R5" s="93" t="s">
        <v>99</v>
      </c>
      <c r="S5" s="122">
        <v>12800</v>
      </c>
      <c r="T5" s="91" t="s">
        <v>100</v>
      </c>
      <c r="U5" s="91" t="s">
        <v>101</v>
      </c>
      <c r="V5" s="125">
        <v>12.8</v>
      </c>
      <c r="W5" s="51">
        <v>1</v>
      </c>
      <c r="X5" s="127" t="s">
        <v>135</v>
      </c>
      <c r="Y5" s="51" t="s">
        <v>30</v>
      </c>
      <c r="Z5" s="120">
        <v>12.8</v>
      </c>
      <c r="AA5" s="120">
        <v>0</v>
      </c>
    </row>
    <row r="6" spans="1:27" x14ac:dyDescent="0.25">
      <c r="A6" s="51" t="s">
        <v>102</v>
      </c>
      <c r="B6" s="51" t="s">
        <v>466</v>
      </c>
      <c r="C6" s="91">
        <v>429</v>
      </c>
      <c r="D6" s="91" t="s">
        <v>231</v>
      </c>
      <c r="E6" s="91" t="s">
        <v>22</v>
      </c>
      <c r="F6" s="91">
        <v>1350</v>
      </c>
      <c r="G6" s="91" t="s">
        <v>115</v>
      </c>
      <c r="H6" s="91" t="s">
        <v>19</v>
      </c>
      <c r="I6" s="134">
        <v>80802867</v>
      </c>
      <c r="J6" s="92" t="s">
        <v>58</v>
      </c>
      <c r="K6" s="92" t="s">
        <v>266</v>
      </c>
      <c r="L6" s="117">
        <v>42647</v>
      </c>
      <c r="M6" s="91" t="s">
        <v>98</v>
      </c>
      <c r="N6" s="91" t="s">
        <v>9</v>
      </c>
      <c r="O6" s="117">
        <v>42706</v>
      </c>
      <c r="P6" s="93" t="s">
        <v>261</v>
      </c>
      <c r="Q6" s="94">
        <v>207</v>
      </c>
      <c r="R6" s="93" t="s">
        <v>99</v>
      </c>
      <c r="S6" s="122">
        <v>18400</v>
      </c>
      <c r="T6" s="91" t="s">
        <v>100</v>
      </c>
      <c r="U6" s="91" t="s">
        <v>101</v>
      </c>
      <c r="V6" s="125">
        <v>18.399999999999999</v>
      </c>
      <c r="W6" s="51">
        <v>1</v>
      </c>
      <c r="X6" s="127" t="s">
        <v>135</v>
      </c>
      <c r="Y6" s="51" t="s">
        <v>30</v>
      </c>
      <c r="Z6" s="120">
        <v>18.399999999999999</v>
      </c>
      <c r="AA6" s="120">
        <v>0</v>
      </c>
    </row>
    <row r="7" spans="1:27" x14ac:dyDescent="0.25">
      <c r="A7" s="51" t="s">
        <v>102</v>
      </c>
      <c r="B7" s="51" t="s">
        <v>466</v>
      </c>
      <c r="C7" s="91">
        <v>3019</v>
      </c>
      <c r="D7" s="91" t="s">
        <v>267</v>
      </c>
      <c r="E7" s="91" t="s">
        <v>21</v>
      </c>
      <c r="F7" s="91">
        <v>8113</v>
      </c>
      <c r="G7" s="91" t="s">
        <v>268</v>
      </c>
      <c r="H7" s="91" t="s">
        <v>20</v>
      </c>
      <c r="I7" s="134">
        <v>30190110007798</v>
      </c>
      <c r="J7" s="92" t="s">
        <v>58</v>
      </c>
      <c r="K7" s="92" t="s">
        <v>198</v>
      </c>
      <c r="L7" s="117">
        <v>42697</v>
      </c>
      <c r="M7" s="91" t="s">
        <v>98</v>
      </c>
      <c r="N7" s="91" t="s">
        <v>9</v>
      </c>
      <c r="O7" s="117">
        <v>42706</v>
      </c>
      <c r="P7" s="93" t="s">
        <v>261</v>
      </c>
      <c r="Q7" s="94">
        <v>207</v>
      </c>
      <c r="R7" s="93" t="s">
        <v>99</v>
      </c>
      <c r="S7" s="122">
        <v>4363.16</v>
      </c>
      <c r="T7" s="91" t="s">
        <v>100</v>
      </c>
      <c r="U7" s="91" t="s">
        <v>101</v>
      </c>
      <c r="V7" s="125">
        <v>4.3600000000000003</v>
      </c>
      <c r="W7" s="51">
        <v>1</v>
      </c>
      <c r="X7" s="127" t="s">
        <v>135</v>
      </c>
      <c r="Y7" s="51" t="s">
        <v>30</v>
      </c>
      <c r="Z7" s="120">
        <v>4.3600000000000003</v>
      </c>
      <c r="AA7" s="12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0.59999389629810485"/>
  </sheetPr>
  <dimension ref="A3:AA5"/>
  <sheetViews>
    <sheetView workbookViewId="0"/>
  </sheetViews>
  <sheetFormatPr defaultRowHeight="15" x14ac:dyDescent="0.25"/>
  <cols>
    <col min="1" max="1" width="11.140625" bestFit="1" customWidth="1"/>
    <col min="2" max="2" width="16.7109375" bestFit="1" customWidth="1"/>
    <col min="3" max="3" width="6.7109375" bestFit="1" customWidth="1"/>
    <col min="4" max="4" width="23.140625" bestFit="1" customWidth="1"/>
    <col min="5" max="5" width="16" bestFit="1" customWidth="1"/>
    <col min="7" max="7" width="23.28515625" customWidth="1"/>
    <col min="8" max="8" width="27.28515625" bestFit="1" customWidth="1"/>
    <col min="9" max="9" width="17" style="133" customWidth="1"/>
    <col min="10" max="10" width="16.42578125" bestFit="1" customWidth="1"/>
    <col min="11" max="11" width="13.140625" bestFit="1" customWidth="1"/>
    <col min="12" max="12" width="10.28515625" style="118" bestFit="1" customWidth="1"/>
    <col min="13" max="13" width="22" customWidth="1"/>
    <col min="14" max="14" width="19.5703125" customWidth="1"/>
    <col min="15" max="15" width="12.7109375" style="118" bestFit="1" customWidth="1"/>
    <col min="16" max="16" width="11" customWidth="1"/>
    <col min="17" max="17" width="9.5703125" customWidth="1"/>
    <col min="18" max="18" width="13.85546875" bestFit="1" customWidth="1"/>
    <col min="19" max="19" width="10.85546875" style="123" customWidth="1"/>
    <col min="21" max="21" width="13.28515625" bestFit="1" customWidth="1"/>
    <col min="22" max="22" width="8" style="126" bestFit="1" customWidth="1"/>
    <col min="23" max="23" width="7.140625" bestFit="1" customWidth="1"/>
    <col min="24" max="24" width="8.28515625" style="101" bestFit="1" customWidth="1"/>
    <col min="25" max="25" width="25.28515625" customWidth="1"/>
    <col min="26" max="27" width="7.5703125" style="72" customWidth="1"/>
  </cols>
  <sheetData>
    <row r="3" spans="1:27" ht="36" x14ac:dyDescent="0.25">
      <c r="A3" s="47" t="s">
        <v>96</v>
      </c>
      <c r="B3" s="47" t="s">
        <v>69</v>
      </c>
      <c r="C3" s="48" t="s">
        <v>70</v>
      </c>
      <c r="D3" s="48" t="s">
        <v>71</v>
      </c>
      <c r="E3" s="48" t="s">
        <v>73</v>
      </c>
      <c r="F3" s="48" t="s">
        <v>74</v>
      </c>
      <c r="G3" s="48" t="s">
        <v>75</v>
      </c>
      <c r="H3" s="48" t="s">
        <v>77</v>
      </c>
      <c r="I3" s="131" t="s">
        <v>78</v>
      </c>
      <c r="J3" s="47" t="s">
        <v>29</v>
      </c>
      <c r="K3" s="47" t="s">
        <v>79</v>
      </c>
      <c r="L3" s="116" t="s">
        <v>81</v>
      </c>
      <c r="M3" s="48" t="s">
        <v>82</v>
      </c>
      <c r="N3" s="48" t="s">
        <v>83</v>
      </c>
      <c r="O3" s="116" t="s">
        <v>84</v>
      </c>
      <c r="P3" s="48" t="s">
        <v>85</v>
      </c>
      <c r="Q3" s="48" t="s">
        <v>86</v>
      </c>
      <c r="R3" s="48" t="s">
        <v>87</v>
      </c>
      <c r="S3" s="121" t="s">
        <v>88</v>
      </c>
      <c r="T3" s="48" t="s">
        <v>89</v>
      </c>
      <c r="U3" s="48" t="s">
        <v>90</v>
      </c>
      <c r="V3" s="124" t="s">
        <v>91</v>
      </c>
      <c r="W3" s="48" t="s">
        <v>92</v>
      </c>
      <c r="X3" s="47" t="s">
        <v>93</v>
      </c>
      <c r="Y3" s="47" t="s">
        <v>65</v>
      </c>
      <c r="Z3" s="119" t="s">
        <v>94</v>
      </c>
      <c r="AA3" s="119" t="s">
        <v>95</v>
      </c>
    </row>
    <row r="4" spans="1:27" x14ac:dyDescent="0.25">
      <c r="A4" s="51" t="s">
        <v>102</v>
      </c>
      <c r="B4" s="51" t="s">
        <v>466</v>
      </c>
      <c r="C4" s="91">
        <v>95</v>
      </c>
      <c r="D4" s="91" t="s">
        <v>110</v>
      </c>
      <c r="E4" s="91" t="s">
        <v>18</v>
      </c>
      <c r="F4" s="91">
        <v>8520</v>
      </c>
      <c r="G4" s="91" t="s">
        <v>186</v>
      </c>
      <c r="H4" s="91" t="s">
        <v>15</v>
      </c>
      <c r="I4" s="134" t="s">
        <v>226</v>
      </c>
      <c r="J4" s="92" t="s">
        <v>45</v>
      </c>
      <c r="K4" s="92" t="s">
        <v>136</v>
      </c>
      <c r="L4" s="117">
        <v>42649</v>
      </c>
      <c r="M4" s="91" t="s">
        <v>121</v>
      </c>
      <c r="N4" s="91" t="s">
        <v>9</v>
      </c>
      <c r="O4" s="117">
        <v>42649</v>
      </c>
      <c r="P4" s="93" t="s">
        <v>206</v>
      </c>
      <c r="Q4" s="94">
        <v>264</v>
      </c>
      <c r="R4" s="93" t="s">
        <v>99</v>
      </c>
      <c r="S4" s="122">
        <v>108349.32</v>
      </c>
      <c r="T4" s="91" t="s">
        <v>100</v>
      </c>
      <c r="U4" s="91" t="s">
        <v>101</v>
      </c>
      <c r="V4" s="125">
        <v>108.35</v>
      </c>
      <c r="W4" s="51">
        <v>1</v>
      </c>
      <c r="X4" s="127" t="s">
        <v>138</v>
      </c>
      <c r="Y4" s="51" t="s">
        <v>31</v>
      </c>
      <c r="Z4" s="120">
        <v>54.174999999999997</v>
      </c>
      <c r="AA4" s="120">
        <v>54.174999999999997</v>
      </c>
    </row>
    <row r="5" spans="1:27" x14ac:dyDescent="0.25">
      <c r="A5" s="51" t="s">
        <v>102</v>
      </c>
      <c r="B5" s="51" t="s">
        <v>466</v>
      </c>
      <c r="C5" s="91">
        <v>95</v>
      </c>
      <c r="D5" s="91" t="s">
        <v>110</v>
      </c>
      <c r="E5" s="91" t="s">
        <v>18</v>
      </c>
      <c r="F5" s="91">
        <v>8520</v>
      </c>
      <c r="G5" s="91" t="s">
        <v>186</v>
      </c>
      <c r="H5" s="91" t="s">
        <v>15</v>
      </c>
      <c r="I5" s="134" t="s">
        <v>227</v>
      </c>
      <c r="J5" s="92" t="s">
        <v>45</v>
      </c>
      <c r="K5" s="92" t="s">
        <v>136</v>
      </c>
      <c r="L5" s="117">
        <v>42649</v>
      </c>
      <c r="M5" s="91" t="s">
        <v>121</v>
      </c>
      <c r="N5" s="91" t="s">
        <v>9</v>
      </c>
      <c r="O5" s="117">
        <v>42649</v>
      </c>
      <c r="P5" s="93" t="s">
        <v>206</v>
      </c>
      <c r="Q5" s="94">
        <v>264</v>
      </c>
      <c r="R5" s="93" t="s">
        <v>99</v>
      </c>
      <c r="S5" s="122">
        <v>152869.15</v>
      </c>
      <c r="T5" s="91" t="s">
        <v>100</v>
      </c>
      <c r="U5" s="91" t="s">
        <v>101</v>
      </c>
      <c r="V5" s="125">
        <v>152.87</v>
      </c>
      <c r="W5" s="51">
        <v>1</v>
      </c>
      <c r="X5" s="127" t="s">
        <v>138</v>
      </c>
      <c r="Y5" s="51" t="s">
        <v>31</v>
      </c>
      <c r="Z5" s="120">
        <v>76.435000000000002</v>
      </c>
      <c r="AA5" s="120">
        <v>76.435000000000002</v>
      </c>
    </row>
  </sheetData>
  <dataValidations count="1">
    <dataValidation type="list" allowBlank="1" showInputMessage="1" showErrorMessage="1" sqref="R4:R5">
      <formula1>#REF!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6" tint="0.59999389629810485"/>
  </sheetPr>
  <dimension ref="A3:AA18"/>
  <sheetViews>
    <sheetView workbookViewId="0"/>
  </sheetViews>
  <sheetFormatPr defaultRowHeight="15" x14ac:dyDescent="0.25"/>
  <cols>
    <col min="1" max="1" width="11.140625" bestFit="1" customWidth="1"/>
    <col min="2" max="2" width="16.7109375" bestFit="1" customWidth="1"/>
    <col min="3" max="3" width="6.7109375" bestFit="1" customWidth="1"/>
    <col min="4" max="4" width="22.7109375" bestFit="1" customWidth="1"/>
    <col min="5" max="5" width="16" bestFit="1" customWidth="1"/>
    <col min="6" max="6" width="6.7109375" bestFit="1" customWidth="1"/>
    <col min="7" max="7" width="23.28515625" customWidth="1"/>
    <col min="8" max="8" width="57.42578125" bestFit="1" customWidth="1"/>
    <col min="9" max="9" width="17" style="133" customWidth="1"/>
    <col min="10" max="10" width="16.42578125" bestFit="1" customWidth="1"/>
    <col min="11" max="11" width="16.140625" bestFit="1" customWidth="1"/>
    <col min="12" max="12" width="19.85546875" style="118" bestFit="1" customWidth="1"/>
    <col min="13" max="13" width="22" customWidth="1"/>
    <col min="14" max="14" width="19.5703125" customWidth="1"/>
    <col min="15" max="15" width="12.7109375" style="118" bestFit="1" customWidth="1"/>
    <col min="16" max="16" width="11" customWidth="1"/>
    <col min="17" max="17" width="9.5703125" customWidth="1"/>
    <col min="18" max="18" width="14.85546875" bestFit="1" customWidth="1"/>
    <col min="19" max="19" width="10.85546875" style="123" customWidth="1"/>
    <col min="21" max="21" width="13.28515625" bestFit="1" customWidth="1"/>
    <col min="22" max="22" width="10" style="126" bestFit="1" customWidth="1"/>
    <col min="23" max="23" width="7.140625" bestFit="1" customWidth="1"/>
    <col min="24" max="24" width="8.28515625" style="101" bestFit="1" customWidth="1"/>
    <col min="25" max="25" width="25.28515625" customWidth="1"/>
    <col min="26" max="27" width="7.5703125" style="72" customWidth="1"/>
  </cols>
  <sheetData>
    <row r="3" spans="1:27" ht="36" x14ac:dyDescent="0.25">
      <c r="A3" s="47" t="s">
        <v>96</v>
      </c>
      <c r="B3" s="47" t="s">
        <v>69</v>
      </c>
      <c r="C3" s="48" t="s">
        <v>70</v>
      </c>
      <c r="D3" s="48" t="s">
        <v>71</v>
      </c>
      <c r="E3" s="48" t="s">
        <v>73</v>
      </c>
      <c r="F3" s="48" t="s">
        <v>74</v>
      </c>
      <c r="G3" s="48" t="s">
        <v>75</v>
      </c>
      <c r="H3" s="48" t="s">
        <v>77</v>
      </c>
      <c r="I3" s="131" t="s">
        <v>78</v>
      </c>
      <c r="J3" s="47" t="s">
        <v>29</v>
      </c>
      <c r="K3" s="47" t="s">
        <v>79</v>
      </c>
      <c r="L3" s="116" t="s">
        <v>81</v>
      </c>
      <c r="M3" s="48" t="s">
        <v>82</v>
      </c>
      <c r="N3" s="48" t="s">
        <v>83</v>
      </c>
      <c r="O3" s="116" t="s">
        <v>84</v>
      </c>
      <c r="P3" s="48" t="s">
        <v>85</v>
      </c>
      <c r="Q3" s="48" t="s">
        <v>86</v>
      </c>
      <c r="R3" s="48" t="s">
        <v>87</v>
      </c>
      <c r="S3" s="121" t="s">
        <v>88</v>
      </c>
      <c r="T3" s="48" t="s">
        <v>89</v>
      </c>
      <c r="U3" s="48" t="s">
        <v>90</v>
      </c>
      <c r="V3" s="124" t="s">
        <v>91</v>
      </c>
      <c r="W3" s="48" t="s">
        <v>92</v>
      </c>
      <c r="X3" s="47" t="s">
        <v>93</v>
      </c>
      <c r="Y3" s="47" t="s">
        <v>65</v>
      </c>
      <c r="Z3" s="119" t="s">
        <v>94</v>
      </c>
      <c r="AA3" s="119" t="s">
        <v>95</v>
      </c>
    </row>
    <row r="4" spans="1:27" x14ac:dyDescent="0.25">
      <c r="A4" s="51" t="s">
        <v>102</v>
      </c>
      <c r="B4" s="51" t="s">
        <v>466</v>
      </c>
      <c r="C4" s="91">
        <v>635</v>
      </c>
      <c r="D4" s="91" t="s">
        <v>187</v>
      </c>
      <c r="E4" s="91" t="s">
        <v>21</v>
      </c>
      <c r="F4" s="91">
        <v>692</v>
      </c>
      <c r="G4" s="91" t="s">
        <v>174</v>
      </c>
      <c r="H4" s="91" t="s">
        <v>21</v>
      </c>
      <c r="I4" s="134">
        <v>63503300004994</v>
      </c>
      <c r="J4" s="92" t="s">
        <v>56</v>
      </c>
      <c r="K4" s="92" t="s">
        <v>247</v>
      </c>
      <c r="L4" s="117">
        <v>42614</v>
      </c>
      <c r="M4" s="91" t="s">
        <v>109</v>
      </c>
      <c r="N4" s="91" t="s">
        <v>10</v>
      </c>
      <c r="O4" s="117">
        <v>42648</v>
      </c>
      <c r="P4" s="93" t="s">
        <v>206</v>
      </c>
      <c r="Q4" s="94">
        <v>265</v>
      </c>
      <c r="R4" s="93" t="s">
        <v>99</v>
      </c>
      <c r="S4" s="122">
        <v>-13288.7</v>
      </c>
      <c r="T4" s="91" t="s">
        <v>100</v>
      </c>
      <c r="U4" s="91" t="s">
        <v>105</v>
      </c>
      <c r="V4" s="125">
        <v>-13.29</v>
      </c>
      <c r="W4" s="51">
        <v>1</v>
      </c>
      <c r="X4" s="127" t="s">
        <v>133</v>
      </c>
      <c r="Y4" s="51" t="s">
        <v>32</v>
      </c>
      <c r="Z4" s="120">
        <v>-3.3224999999999998</v>
      </c>
      <c r="AA4" s="120">
        <v>-9.9674999999999994</v>
      </c>
    </row>
    <row r="5" spans="1:27" x14ac:dyDescent="0.25">
      <c r="A5" s="51" t="s">
        <v>96</v>
      </c>
      <c r="B5" s="51" t="s">
        <v>96</v>
      </c>
      <c r="C5" s="91">
        <v>8243</v>
      </c>
      <c r="D5" s="91" t="s">
        <v>125</v>
      </c>
      <c r="E5" s="91" t="s">
        <v>14</v>
      </c>
      <c r="F5" s="91">
        <v>95</v>
      </c>
      <c r="G5" s="91" t="s">
        <v>110</v>
      </c>
      <c r="H5" s="91" t="s">
        <v>18</v>
      </c>
      <c r="I5" s="134">
        <v>82430169003337</v>
      </c>
      <c r="J5" s="92" t="s">
        <v>56</v>
      </c>
      <c r="K5" s="92" t="s">
        <v>461</v>
      </c>
      <c r="L5" s="117">
        <v>42677</v>
      </c>
      <c r="M5" s="91" t="s">
        <v>122</v>
      </c>
      <c r="N5" s="91" t="s">
        <v>9</v>
      </c>
      <c r="O5" s="117">
        <v>42732</v>
      </c>
      <c r="P5" s="93" t="s">
        <v>261</v>
      </c>
      <c r="Q5" s="94">
        <v>181</v>
      </c>
      <c r="R5" s="93" t="s">
        <v>99</v>
      </c>
      <c r="S5" s="122">
        <v>18840</v>
      </c>
      <c r="T5" s="91" t="s">
        <v>100</v>
      </c>
      <c r="U5" s="91" t="s">
        <v>101</v>
      </c>
      <c r="V5" s="125">
        <v>18.84</v>
      </c>
      <c r="W5" s="51">
        <v>1</v>
      </c>
      <c r="X5" s="127" t="s">
        <v>140</v>
      </c>
      <c r="Y5" s="51" t="s">
        <v>31</v>
      </c>
      <c r="Z5" s="120">
        <v>9.42</v>
      </c>
      <c r="AA5" s="120">
        <v>9.42</v>
      </c>
    </row>
    <row r="6" spans="1:27" x14ac:dyDescent="0.25">
      <c r="A6" s="51" t="s">
        <v>96</v>
      </c>
      <c r="B6" s="51" t="s">
        <v>96</v>
      </c>
      <c r="C6" s="91">
        <v>260</v>
      </c>
      <c r="D6" s="91" t="s">
        <v>114</v>
      </c>
      <c r="E6" s="91" t="s">
        <v>17</v>
      </c>
      <c r="F6" s="91">
        <v>95</v>
      </c>
      <c r="G6" s="91" t="s">
        <v>110</v>
      </c>
      <c r="H6" s="91" t="s">
        <v>18</v>
      </c>
      <c r="I6" s="134">
        <v>260013008109</v>
      </c>
      <c r="J6" s="92" t="s">
        <v>56</v>
      </c>
      <c r="K6" s="92" t="s">
        <v>269</v>
      </c>
      <c r="L6" s="117">
        <v>42646</v>
      </c>
      <c r="M6" s="91" t="s">
        <v>109</v>
      </c>
      <c r="N6" s="91" t="s">
        <v>10</v>
      </c>
      <c r="O6" s="117">
        <v>42709</v>
      </c>
      <c r="P6" s="93" t="s">
        <v>261</v>
      </c>
      <c r="Q6" s="94">
        <v>204</v>
      </c>
      <c r="R6" s="93" t="s">
        <v>99</v>
      </c>
      <c r="S6" s="122">
        <v>45011.25</v>
      </c>
      <c r="T6" s="91" t="s">
        <v>116</v>
      </c>
      <c r="U6" s="91" t="s">
        <v>101</v>
      </c>
      <c r="V6" s="125">
        <v>51.26</v>
      </c>
      <c r="W6" s="51">
        <v>1</v>
      </c>
      <c r="X6" s="127" t="s">
        <v>133</v>
      </c>
      <c r="Y6" s="51" t="s">
        <v>32</v>
      </c>
      <c r="Z6" s="120">
        <v>12.815</v>
      </c>
      <c r="AA6" s="120">
        <v>38.445</v>
      </c>
    </row>
    <row r="7" spans="1:27" x14ac:dyDescent="0.25">
      <c r="A7" s="51" t="s">
        <v>96</v>
      </c>
      <c r="B7" s="51" t="s">
        <v>96</v>
      </c>
      <c r="C7" s="91">
        <v>260</v>
      </c>
      <c r="D7" s="91" t="s">
        <v>114</v>
      </c>
      <c r="E7" s="91" t="s">
        <v>17</v>
      </c>
      <c r="F7" s="91">
        <v>95</v>
      </c>
      <c r="G7" s="91" t="s">
        <v>110</v>
      </c>
      <c r="H7" s="91" t="s">
        <v>18</v>
      </c>
      <c r="I7" s="134">
        <v>260013008121</v>
      </c>
      <c r="J7" s="92" t="s">
        <v>56</v>
      </c>
      <c r="K7" s="92" t="s">
        <v>270</v>
      </c>
      <c r="L7" s="117">
        <v>42646</v>
      </c>
      <c r="M7" s="91" t="s">
        <v>104</v>
      </c>
      <c r="N7" s="91" t="s">
        <v>9</v>
      </c>
      <c r="O7" s="117">
        <v>42709</v>
      </c>
      <c r="P7" s="93" t="s">
        <v>261</v>
      </c>
      <c r="Q7" s="94">
        <v>204</v>
      </c>
      <c r="R7" s="93" t="s">
        <v>99</v>
      </c>
      <c r="S7" s="122">
        <v>11151.4</v>
      </c>
      <c r="T7" s="91" t="s">
        <v>116</v>
      </c>
      <c r="U7" s="91" t="s">
        <v>101</v>
      </c>
      <c r="V7" s="125">
        <v>12.7</v>
      </c>
      <c r="W7" s="51">
        <v>1</v>
      </c>
      <c r="X7" s="127" t="s">
        <v>134</v>
      </c>
      <c r="Y7" s="51" t="s">
        <v>31</v>
      </c>
      <c r="Z7" s="120">
        <v>6.35</v>
      </c>
      <c r="AA7" s="120">
        <v>6.35</v>
      </c>
    </row>
    <row r="8" spans="1:27" x14ac:dyDescent="0.25">
      <c r="A8" s="51" t="s">
        <v>96</v>
      </c>
      <c r="B8" s="51" t="s">
        <v>96</v>
      </c>
      <c r="C8" s="91">
        <v>8520</v>
      </c>
      <c r="D8" s="91" t="s">
        <v>186</v>
      </c>
      <c r="E8" s="91" t="s">
        <v>15</v>
      </c>
      <c r="F8" s="91">
        <v>199</v>
      </c>
      <c r="G8" s="91" t="s">
        <v>124</v>
      </c>
      <c r="H8" s="91" t="s">
        <v>20</v>
      </c>
      <c r="I8" s="134">
        <v>85200330013495</v>
      </c>
      <c r="J8" s="92" t="s">
        <v>56</v>
      </c>
      <c r="K8" s="92" t="s">
        <v>200</v>
      </c>
      <c r="L8" s="117">
        <v>42584</v>
      </c>
      <c r="M8" s="91" t="s">
        <v>109</v>
      </c>
      <c r="N8" s="91" t="s">
        <v>10</v>
      </c>
      <c r="O8" s="117">
        <v>42618</v>
      </c>
      <c r="P8" s="93" t="s">
        <v>206</v>
      </c>
      <c r="Q8" s="94">
        <v>295</v>
      </c>
      <c r="R8" s="93" t="s">
        <v>99</v>
      </c>
      <c r="S8" s="122">
        <v>386956.25</v>
      </c>
      <c r="T8" s="91" t="s">
        <v>119</v>
      </c>
      <c r="U8" s="91" t="s">
        <v>101</v>
      </c>
      <c r="V8" s="125">
        <v>5.38</v>
      </c>
      <c r="W8" s="51">
        <v>1</v>
      </c>
      <c r="X8" s="127" t="s">
        <v>133</v>
      </c>
      <c r="Y8" s="51" t="s">
        <v>32</v>
      </c>
      <c r="Z8" s="120">
        <v>1.345</v>
      </c>
      <c r="AA8" s="120">
        <v>4.0350000000000001</v>
      </c>
    </row>
    <row r="9" spans="1:27" x14ac:dyDescent="0.25">
      <c r="A9" s="51" t="s">
        <v>102</v>
      </c>
      <c r="B9" s="51" t="s">
        <v>466</v>
      </c>
      <c r="C9" s="91">
        <v>8520</v>
      </c>
      <c r="D9" s="91" t="s">
        <v>186</v>
      </c>
      <c r="E9" s="91" t="s">
        <v>15</v>
      </c>
      <c r="F9" s="91">
        <v>3011</v>
      </c>
      <c r="G9" s="91" t="s">
        <v>106</v>
      </c>
      <c r="H9" s="91" t="s">
        <v>20</v>
      </c>
      <c r="I9" s="134">
        <v>85200310084976</v>
      </c>
      <c r="J9" s="92" t="s">
        <v>56</v>
      </c>
      <c r="K9" s="92" t="s">
        <v>200</v>
      </c>
      <c r="L9" s="117">
        <v>42676</v>
      </c>
      <c r="M9" s="91" t="s">
        <v>98</v>
      </c>
      <c r="N9" s="91" t="s">
        <v>9</v>
      </c>
      <c r="O9" s="117">
        <v>42709</v>
      </c>
      <c r="P9" s="93" t="s">
        <v>261</v>
      </c>
      <c r="Q9" s="94">
        <v>204</v>
      </c>
      <c r="R9" s="93" t="s">
        <v>99</v>
      </c>
      <c r="S9" s="122">
        <v>647811.11</v>
      </c>
      <c r="T9" s="91" t="s">
        <v>119</v>
      </c>
      <c r="U9" s="91" t="s">
        <v>101</v>
      </c>
      <c r="V9" s="125">
        <v>9.01</v>
      </c>
      <c r="W9" s="51">
        <v>1</v>
      </c>
      <c r="X9" s="127" t="s">
        <v>135</v>
      </c>
      <c r="Y9" s="51" t="s">
        <v>30</v>
      </c>
      <c r="Z9" s="120">
        <v>9.01</v>
      </c>
      <c r="AA9" s="120">
        <v>0</v>
      </c>
    </row>
    <row r="10" spans="1:27" x14ac:dyDescent="0.25">
      <c r="A10" s="51" t="s">
        <v>102</v>
      </c>
      <c r="B10" s="51" t="s">
        <v>466</v>
      </c>
      <c r="C10" s="91">
        <v>8520</v>
      </c>
      <c r="D10" s="91" t="s">
        <v>186</v>
      </c>
      <c r="E10" s="91" t="s">
        <v>15</v>
      </c>
      <c r="F10" s="91">
        <v>3011</v>
      </c>
      <c r="G10" s="91" t="s">
        <v>106</v>
      </c>
      <c r="H10" s="91" t="s">
        <v>20</v>
      </c>
      <c r="I10" s="134">
        <v>85200310084701</v>
      </c>
      <c r="J10" s="92" t="s">
        <v>56</v>
      </c>
      <c r="K10" s="92" t="s">
        <v>200</v>
      </c>
      <c r="L10" s="117">
        <v>42643</v>
      </c>
      <c r="M10" s="91" t="s">
        <v>98</v>
      </c>
      <c r="N10" s="91" t="s">
        <v>9</v>
      </c>
      <c r="O10" s="117">
        <v>42681</v>
      </c>
      <c r="P10" s="93" t="s">
        <v>261</v>
      </c>
      <c r="Q10" s="94">
        <v>232</v>
      </c>
      <c r="R10" s="93" t="s">
        <v>99</v>
      </c>
      <c r="S10" s="122">
        <v>264377.78000000003</v>
      </c>
      <c r="T10" s="91" t="s">
        <v>119</v>
      </c>
      <c r="U10" s="91" t="s">
        <v>101</v>
      </c>
      <c r="V10" s="125">
        <v>3.68</v>
      </c>
      <c r="W10" s="51">
        <v>1</v>
      </c>
      <c r="X10" s="127" t="s">
        <v>135</v>
      </c>
      <c r="Y10" s="51" t="s">
        <v>30</v>
      </c>
      <c r="Z10" s="120">
        <v>3.68</v>
      </c>
      <c r="AA10" s="120">
        <v>0</v>
      </c>
    </row>
    <row r="11" spans="1:27" x14ac:dyDescent="0.25">
      <c r="A11" s="51" t="s">
        <v>102</v>
      </c>
      <c r="B11" s="51" t="s">
        <v>466</v>
      </c>
      <c r="C11" s="91">
        <v>8520</v>
      </c>
      <c r="D11" s="91" t="s">
        <v>186</v>
      </c>
      <c r="E11" s="91" t="s">
        <v>15</v>
      </c>
      <c r="F11" s="91">
        <v>199</v>
      </c>
      <c r="G11" s="91" t="s">
        <v>124</v>
      </c>
      <c r="H11" s="91" t="s">
        <v>20</v>
      </c>
      <c r="I11" s="134">
        <v>85200330013723</v>
      </c>
      <c r="J11" s="92" t="s">
        <v>56</v>
      </c>
      <c r="K11" s="92" t="s">
        <v>200</v>
      </c>
      <c r="L11" s="117">
        <v>42643</v>
      </c>
      <c r="M11" s="91" t="s">
        <v>98</v>
      </c>
      <c r="N11" s="91" t="s">
        <v>9</v>
      </c>
      <c r="O11" s="117">
        <v>42709</v>
      </c>
      <c r="P11" s="93" t="s">
        <v>261</v>
      </c>
      <c r="Q11" s="94">
        <v>204</v>
      </c>
      <c r="R11" s="93" t="s">
        <v>99</v>
      </c>
      <c r="S11" s="122">
        <v>386956</v>
      </c>
      <c r="T11" s="91" t="s">
        <v>119</v>
      </c>
      <c r="U11" s="91" t="s">
        <v>101</v>
      </c>
      <c r="V11" s="125">
        <v>5.38</v>
      </c>
      <c r="W11" s="51">
        <v>1</v>
      </c>
      <c r="X11" s="127" t="s">
        <v>135</v>
      </c>
      <c r="Y11" s="51" t="s">
        <v>30</v>
      </c>
      <c r="Z11" s="120">
        <v>5.38</v>
      </c>
      <c r="AA11" s="120">
        <v>0</v>
      </c>
    </row>
    <row r="12" spans="1:27" x14ac:dyDescent="0.25">
      <c r="A12" s="51" t="s">
        <v>102</v>
      </c>
      <c r="B12" s="51" t="s">
        <v>466</v>
      </c>
      <c r="C12" s="91">
        <v>8520</v>
      </c>
      <c r="D12" s="91" t="s">
        <v>186</v>
      </c>
      <c r="E12" s="91" t="s">
        <v>15</v>
      </c>
      <c r="F12" s="91">
        <v>8110</v>
      </c>
      <c r="G12" s="91" t="s">
        <v>97</v>
      </c>
      <c r="H12" s="91" t="s">
        <v>25</v>
      </c>
      <c r="I12" s="134">
        <v>85200630003360</v>
      </c>
      <c r="J12" s="92" t="s">
        <v>56</v>
      </c>
      <c r="K12" s="92" t="s">
        <v>271</v>
      </c>
      <c r="L12" s="117">
        <v>42704</v>
      </c>
      <c r="M12" s="91" t="s">
        <v>98</v>
      </c>
      <c r="N12" s="91" t="s">
        <v>9</v>
      </c>
      <c r="O12" s="117">
        <v>42709</v>
      </c>
      <c r="P12" s="93" t="s">
        <v>261</v>
      </c>
      <c r="Q12" s="94">
        <v>204</v>
      </c>
      <c r="R12" s="93" t="s">
        <v>99</v>
      </c>
      <c r="S12" s="122">
        <v>52766</v>
      </c>
      <c r="T12" s="91" t="s">
        <v>119</v>
      </c>
      <c r="U12" s="91" t="s">
        <v>101</v>
      </c>
      <c r="V12" s="125">
        <v>0.73</v>
      </c>
      <c r="W12" s="51">
        <v>1</v>
      </c>
      <c r="X12" s="127" t="s">
        <v>135</v>
      </c>
      <c r="Y12" s="51" t="s">
        <v>30</v>
      </c>
      <c r="Z12" s="120">
        <v>0.73</v>
      </c>
      <c r="AA12" s="120">
        <v>0</v>
      </c>
    </row>
    <row r="13" spans="1:27" x14ac:dyDescent="0.25">
      <c r="A13" s="51" t="s">
        <v>102</v>
      </c>
      <c r="B13" s="51" t="s">
        <v>466</v>
      </c>
      <c r="C13" s="91">
        <v>8520</v>
      </c>
      <c r="D13" s="91" t="s">
        <v>186</v>
      </c>
      <c r="E13" s="91" t="s">
        <v>15</v>
      </c>
      <c r="F13" s="91">
        <v>8110</v>
      </c>
      <c r="G13" s="91" t="s">
        <v>97</v>
      </c>
      <c r="H13" s="91" t="s">
        <v>25</v>
      </c>
      <c r="I13" s="134">
        <v>85200330013844</v>
      </c>
      <c r="J13" s="92" t="s">
        <v>56</v>
      </c>
      <c r="K13" s="92" t="s">
        <v>271</v>
      </c>
      <c r="L13" s="117">
        <v>42704</v>
      </c>
      <c r="M13" s="91" t="s">
        <v>98</v>
      </c>
      <c r="N13" s="91" t="s">
        <v>9</v>
      </c>
      <c r="O13" s="117">
        <v>42709</v>
      </c>
      <c r="P13" s="93" t="s">
        <v>261</v>
      </c>
      <c r="Q13" s="94">
        <v>204</v>
      </c>
      <c r="R13" s="93" t="s">
        <v>99</v>
      </c>
      <c r="S13" s="122">
        <v>14817</v>
      </c>
      <c r="T13" s="91" t="s">
        <v>119</v>
      </c>
      <c r="U13" s="91" t="s">
        <v>101</v>
      </c>
      <c r="V13" s="125">
        <v>0.21</v>
      </c>
      <c r="W13" s="51">
        <v>1</v>
      </c>
      <c r="X13" s="127" t="s">
        <v>135</v>
      </c>
      <c r="Y13" s="51" t="s">
        <v>30</v>
      </c>
      <c r="Z13" s="120">
        <v>0.21</v>
      </c>
      <c r="AA13" s="120">
        <v>0</v>
      </c>
    </row>
    <row r="14" spans="1:27" x14ac:dyDescent="0.25">
      <c r="A14" s="51" t="s">
        <v>102</v>
      </c>
      <c r="B14" s="51" t="s">
        <v>466</v>
      </c>
      <c r="C14" s="91">
        <v>8520</v>
      </c>
      <c r="D14" s="91" t="s">
        <v>186</v>
      </c>
      <c r="E14" s="91" t="s">
        <v>15</v>
      </c>
      <c r="F14" s="91">
        <v>8110</v>
      </c>
      <c r="G14" s="91" t="s">
        <v>97</v>
      </c>
      <c r="H14" s="91" t="s">
        <v>25</v>
      </c>
      <c r="I14" s="134">
        <v>852031000107</v>
      </c>
      <c r="J14" s="92" t="s">
        <v>56</v>
      </c>
      <c r="K14" s="92" t="s">
        <v>271</v>
      </c>
      <c r="L14" s="117">
        <v>42704</v>
      </c>
      <c r="M14" s="91" t="s">
        <v>98</v>
      </c>
      <c r="N14" s="91" t="s">
        <v>9</v>
      </c>
      <c r="O14" s="117">
        <v>42709</v>
      </c>
      <c r="P14" s="93" t="s">
        <v>261</v>
      </c>
      <c r="Q14" s="94">
        <v>204</v>
      </c>
      <c r="R14" s="93" t="s">
        <v>99</v>
      </c>
      <c r="S14" s="122">
        <v>62479</v>
      </c>
      <c r="T14" s="91" t="s">
        <v>119</v>
      </c>
      <c r="U14" s="91" t="s">
        <v>101</v>
      </c>
      <c r="V14" s="125">
        <v>0.87</v>
      </c>
      <c r="W14" s="51">
        <v>1</v>
      </c>
      <c r="X14" s="127" t="s">
        <v>135</v>
      </c>
      <c r="Y14" s="51" t="s">
        <v>30</v>
      </c>
      <c r="Z14" s="120">
        <v>0.87</v>
      </c>
      <c r="AA14" s="120">
        <v>0</v>
      </c>
    </row>
    <row r="15" spans="1:27" x14ac:dyDescent="0.25">
      <c r="A15" s="51" t="s">
        <v>102</v>
      </c>
      <c r="B15" s="51" t="s">
        <v>223</v>
      </c>
      <c r="C15" s="91">
        <v>199</v>
      </c>
      <c r="D15" s="91" t="s">
        <v>124</v>
      </c>
      <c r="E15" s="91" t="s">
        <v>20</v>
      </c>
      <c r="F15" s="91">
        <v>8110</v>
      </c>
      <c r="G15" s="91" t="s">
        <v>97</v>
      </c>
      <c r="H15" s="91" t="s">
        <v>25</v>
      </c>
      <c r="I15" s="134" t="s">
        <v>197</v>
      </c>
      <c r="J15" s="92" t="s">
        <v>56</v>
      </c>
      <c r="K15" s="92" t="s">
        <v>203</v>
      </c>
      <c r="L15" s="117">
        <v>42583</v>
      </c>
      <c r="M15" s="91" t="s">
        <v>98</v>
      </c>
      <c r="N15" s="91" t="s">
        <v>9</v>
      </c>
      <c r="O15" s="117">
        <v>42586</v>
      </c>
      <c r="P15" s="93" t="s">
        <v>206</v>
      </c>
      <c r="Q15" s="94">
        <v>327</v>
      </c>
      <c r="R15" s="93" t="s">
        <v>99</v>
      </c>
      <c r="S15" s="122">
        <v>46443.83</v>
      </c>
      <c r="T15" s="91" t="s">
        <v>128</v>
      </c>
      <c r="U15" s="91" t="s">
        <v>101</v>
      </c>
      <c r="V15" s="125">
        <v>41.66</v>
      </c>
      <c r="W15" s="51">
        <v>1</v>
      </c>
      <c r="X15" s="127" t="s">
        <v>135</v>
      </c>
      <c r="Y15" s="51" t="s">
        <v>30</v>
      </c>
      <c r="Z15" s="120">
        <v>41.66</v>
      </c>
      <c r="AA15" s="120">
        <v>0</v>
      </c>
    </row>
    <row r="16" spans="1:27" x14ac:dyDescent="0.25">
      <c r="A16" s="51" t="s">
        <v>96</v>
      </c>
      <c r="B16" s="51" t="s">
        <v>96</v>
      </c>
      <c r="C16" s="91">
        <v>199</v>
      </c>
      <c r="D16" s="91" t="s">
        <v>124</v>
      </c>
      <c r="E16" s="91" t="s">
        <v>20</v>
      </c>
      <c r="F16" s="91">
        <v>8105</v>
      </c>
      <c r="G16" s="91" t="s">
        <v>191</v>
      </c>
      <c r="H16" s="91" t="s">
        <v>20</v>
      </c>
      <c r="I16" s="134">
        <v>199030003187</v>
      </c>
      <c r="J16" s="92" t="s">
        <v>56</v>
      </c>
      <c r="K16" s="92" t="s">
        <v>203</v>
      </c>
      <c r="L16" s="117">
        <v>42667</v>
      </c>
      <c r="M16" s="91" t="s">
        <v>98</v>
      </c>
      <c r="N16" s="91" t="s">
        <v>9</v>
      </c>
      <c r="O16" s="117">
        <v>42732</v>
      </c>
      <c r="P16" s="93" t="s">
        <v>261</v>
      </c>
      <c r="Q16" s="94">
        <v>181</v>
      </c>
      <c r="R16" s="93" t="s">
        <v>99</v>
      </c>
      <c r="S16" s="122">
        <v>13037.7</v>
      </c>
      <c r="T16" s="91" t="s">
        <v>128</v>
      </c>
      <c r="U16" s="91" t="s">
        <v>105</v>
      </c>
      <c r="V16" s="125">
        <v>11.7</v>
      </c>
      <c r="W16" s="51">
        <v>1</v>
      </c>
      <c r="X16" s="127" t="s">
        <v>135</v>
      </c>
      <c r="Y16" s="51" t="s">
        <v>30</v>
      </c>
      <c r="Z16" s="120">
        <v>11.7</v>
      </c>
      <c r="AA16" s="120">
        <v>0</v>
      </c>
    </row>
    <row r="17" spans="1:27" x14ac:dyDescent="0.25">
      <c r="A17" s="51" t="s">
        <v>96</v>
      </c>
      <c r="B17" s="51" t="s">
        <v>96</v>
      </c>
      <c r="C17" s="91">
        <v>199</v>
      </c>
      <c r="D17" s="91" t="s">
        <v>124</v>
      </c>
      <c r="E17" s="91" t="s">
        <v>20</v>
      </c>
      <c r="F17" s="91">
        <v>8110</v>
      </c>
      <c r="G17" s="91" t="s">
        <v>97</v>
      </c>
      <c r="H17" s="91" t="s">
        <v>25</v>
      </c>
      <c r="I17" s="134">
        <v>199030002896</v>
      </c>
      <c r="J17" s="92" t="s">
        <v>56</v>
      </c>
      <c r="K17" s="92" t="s">
        <v>203</v>
      </c>
      <c r="L17" s="117">
        <v>42613</v>
      </c>
      <c r="M17" s="91" t="s">
        <v>122</v>
      </c>
      <c r="N17" s="91" t="s">
        <v>9</v>
      </c>
      <c r="O17" s="117">
        <v>42678</v>
      </c>
      <c r="P17" s="93" t="s">
        <v>261</v>
      </c>
      <c r="Q17" s="94">
        <v>235</v>
      </c>
      <c r="R17" s="93" t="s">
        <v>99</v>
      </c>
      <c r="S17" s="122">
        <v>2060</v>
      </c>
      <c r="T17" s="91" t="s">
        <v>128</v>
      </c>
      <c r="U17" s="91" t="s">
        <v>101</v>
      </c>
      <c r="V17" s="125">
        <v>1.85</v>
      </c>
      <c r="W17" s="51">
        <v>1</v>
      </c>
      <c r="X17" s="127" t="s">
        <v>140</v>
      </c>
      <c r="Y17" s="51" t="s">
        <v>31</v>
      </c>
      <c r="Z17" s="120">
        <v>0.92500000000000004</v>
      </c>
      <c r="AA17" s="120">
        <v>0.92500000000000004</v>
      </c>
    </row>
    <row r="18" spans="1:27" s="135" customFormat="1" x14ac:dyDescent="0.25">
      <c r="A18" s="51" t="s">
        <v>96</v>
      </c>
      <c r="B18" s="51" t="s">
        <v>96</v>
      </c>
      <c r="C18" s="91">
        <v>199</v>
      </c>
      <c r="D18" s="91" t="s">
        <v>124</v>
      </c>
      <c r="E18" s="91" t="s">
        <v>20</v>
      </c>
      <c r="F18" s="91">
        <v>8110</v>
      </c>
      <c r="G18" s="91" t="s">
        <v>97</v>
      </c>
      <c r="H18" s="91" t="s">
        <v>25</v>
      </c>
      <c r="I18" s="134">
        <v>199030002898</v>
      </c>
      <c r="J18" s="92" t="s">
        <v>56</v>
      </c>
      <c r="K18" s="92" t="s">
        <v>203</v>
      </c>
      <c r="L18" s="117">
        <v>42613</v>
      </c>
      <c r="M18" s="91" t="s">
        <v>122</v>
      </c>
      <c r="N18" s="91" t="s">
        <v>9</v>
      </c>
      <c r="O18" s="117">
        <v>42678</v>
      </c>
      <c r="P18" s="93" t="s">
        <v>261</v>
      </c>
      <c r="Q18" s="94">
        <v>235</v>
      </c>
      <c r="R18" s="93" t="s">
        <v>99</v>
      </c>
      <c r="S18" s="122">
        <v>1780</v>
      </c>
      <c r="T18" s="91" t="s">
        <v>128</v>
      </c>
      <c r="U18" s="91" t="s">
        <v>101</v>
      </c>
      <c r="V18" s="125">
        <v>1.6</v>
      </c>
      <c r="W18" s="51">
        <v>1</v>
      </c>
      <c r="X18" s="127" t="s">
        <v>140</v>
      </c>
      <c r="Y18" s="51" t="s">
        <v>31</v>
      </c>
      <c r="Z18" s="120">
        <v>0.8</v>
      </c>
      <c r="AA18" s="120">
        <v>0.8</v>
      </c>
    </row>
  </sheetData>
  <sortState ref="A4:AA17">
    <sortCondition ref="D4:D17"/>
  </sortState>
  <dataValidations count="1">
    <dataValidation type="list" allowBlank="1" showInputMessage="1" showErrorMessage="1" sqref="R4:R5">
      <formula1>#REF!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6" tint="0.59999389629810485"/>
  </sheetPr>
  <dimension ref="A3:AA13"/>
  <sheetViews>
    <sheetView workbookViewId="0"/>
  </sheetViews>
  <sheetFormatPr defaultRowHeight="15" x14ac:dyDescent="0.25"/>
  <cols>
    <col min="1" max="1" width="11.140625" bestFit="1" customWidth="1"/>
    <col min="2" max="2" width="16.140625" bestFit="1" customWidth="1"/>
    <col min="3" max="3" width="6.7109375" bestFit="1" customWidth="1"/>
    <col min="4" max="4" width="22.7109375" bestFit="1" customWidth="1"/>
    <col min="5" max="5" width="16" bestFit="1" customWidth="1"/>
    <col min="6" max="6" width="6.7109375" bestFit="1" customWidth="1"/>
    <col min="7" max="7" width="23.28515625" customWidth="1"/>
    <col min="8" max="8" width="21.5703125" bestFit="1" customWidth="1"/>
    <col min="9" max="9" width="17" style="133" customWidth="1"/>
    <col min="10" max="10" width="16" bestFit="1" customWidth="1"/>
    <col min="11" max="11" width="15.140625" bestFit="1" customWidth="1"/>
    <col min="12" max="12" width="9.28515625" style="118" bestFit="1" customWidth="1"/>
    <col min="13" max="13" width="22" customWidth="1"/>
    <col min="14" max="14" width="19.5703125" customWidth="1"/>
    <col min="15" max="15" width="12.7109375" style="118" bestFit="1" customWidth="1"/>
    <col min="16" max="16" width="11" customWidth="1"/>
    <col min="17" max="17" width="9.5703125" customWidth="1"/>
    <col min="18" max="18" width="14.85546875" bestFit="1" customWidth="1"/>
    <col min="19" max="19" width="10.85546875" style="123" customWidth="1"/>
    <col min="21" max="21" width="14.85546875" bestFit="1" customWidth="1"/>
    <col min="22" max="22" width="11" style="126" bestFit="1" customWidth="1"/>
    <col min="23" max="23" width="7.140625" bestFit="1" customWidth="1"/>
    <col min="24" max="24" width="8.28515625" style="101" bestFit="1" customWidth="1"/>
    <col min="25" max="25" width="25.28515625" customWidth="1"/>
    <col min="26" max="27" width="7.5703125" style="72" customWidth="1"/>
    <col min="28" max="28" width="23.85546875" bestFit="1" customWidth="1"/>
    <col min="29" max="29" width="7" bestFit="1" customWidth="1"/>
    <col min="30" max="30" width="8.7109375" bestFit="1" customWidth="1"/>
  </cols>
  <sheetData>
    <row r="3" spans="1:27" ht="36" x14ac:dyDescent="0.25">
      <c r="A3" s="47" t="s">
        <v>96</v>
      </c>
      <c r="B3" s="47" t="s">
        <v>69</v>
      </c>
      <c r="C3" s="48" t="s">
        <v>70</v>
      </c>
      <c r="D3" s="48" t="s">
        <v>71</v>
      </c>
      <c r="E3" s="48" t="s">
        <v>73</v>
      </c>
      <c r="F3" s="48" t="s">
        <v>74</v>
      </c>
      <c r="G3" s="48" t="s">
        <v>75</v>
      </c>
      <c r="H3" s="48" t="s">
        <v>77</v>
      </c>
      <c r="I3" s="131" t="s">
        <v>78</v>
      </c>
      <c r="J3" s="47" t="s">
        <v>29</v>
      </c>
      <c r="K3" s="47" t="s">
        <v>79</v>
      </c>
      <c r="L3" s="116" t="s">
        <v>81</v>
      </c>
      <c r="M3" s="48" t="s">
        <v>82</v>
      </c>
      <c r="N3" s="48" t="s">
        <v>83</v>
      </c>
      <c r="O3" s="116" t="s">
        <v>84</v>
      </c>
      <c r="P3" s="48" t="s">
        <v>85</v>
      </c>
      <c r="Q3" s="48" t="s">
        <v>86</v>
      </c>
      <c r="R3" s="48" t="s">
        <v>87</v>
      </c>
      <c r="S3" s="121" t="s">
        <v>88</v>
      </c>
      <c r="T3" s="48" t="s">
        <v>89</v>
      </c>
      <c r="U3" s="48" t="s">
        <v>90</v>
      </c>
      <c r="V3" s="124" t="s">
        <v>91</v>
      </c>
      <c r="W3" s="48" t="s">
        <v>92</v>
      </c>
      <c r="X3" s="47" t="s">
        <v>93</v>
      </c>
      <c r="Y3" s="47" t="s">
        <v>65</v>
      </c>
      <c r="Z3" s="119" t="s">
        <v>94</v>
      </c>
      <c r="AA3" s="119" t="s">
        <v>95</v>
      </c>
    </row>
    <row r="4" spans="1:27" x14ac:dyDescent="0.25">
      <c r="A4" s="51" t="s">
        <v>102</v>
      </c>
      <c r="B4" s="51" t="s">
        <v>466</v>
      </c>
      <c r="C4" s="91">
        <v>8520</v>
      </c>
      <c r="D4" s="91" t="s">
        <v>186</v>
      </c>
      <c r="E4" s="91" t="s">
        <v>15</v>
      </c>
      <c r="F4" s="91">
        <v>3011</v>
      </c>
      <c r="G4" s="91" t="s">
        <v>106</v>
      </c>
      <c r="H4" s="91" t="s">
        <v>20</v>
      </c>
      <c r="I4" s="134">
        <v>85200310084954</v>
      </c>
      <c r="J4" s="92" t="s">
        <v>54</v>
      </c>
      <c r="K4" s="92" t="s">
        <v>137</v>
      </c>
      <c r="L4" s="117">
        <v>42676</v>
      </c>
      <c r="M4" s="91" t="s">
        <v>109</v>
      </c>
      <c r="N4" s="91" t="s">
        <v>10</v>
      </c>
      <c r="O4" s="117">
        <v>42709</v>
      </c>
      <c r="P4" s="93" t="s">
        <v>261</v>
      </c>
      <c r="Q4" s="94">
        <v>204</v>
      </c>
      <c r="R4" s="93" t="s">
        <v>99</v>
      </c>
      <c r="S4" s="122">
        <v>425956</v>
      </c>
      <c r="T4" s="91" t="s">
        <v>119</v>
      </c>
      <c r="U4" s="91" t="s">
        <v>101</v>
      </c>
      <c r="V4" s="125">
        <v>5.92</v>
      </c>
      <c r="W4" s="51">
        <v>1</v>
      </c>
      <c r="X4" s="127" t="s">
        <v>133</v>
      </c>
      <c r="Y4" s="51" t="s">
        <v>32</v>
      </c>
      <c r="Z4" s="120">
        <v>1.48</v>
      </c>
      <c r="AA4" s="120">
        <v>4.4399999999999995</v>
      </c>
    </row>
    <row r="5" spans="1:27" x14ac:dyDescent="0.25">
      <c r="A5" s="51" t="s">
        <v>102</v>
      </c>
      <c r="B5" s="51" t="s">
        <v>466</v>
      </c>
      <c r="C5" s="91">
        <v>8520</v>
      </c>
      <c r="D5" s="91" t="s">
        <v>186</v>
      </c>
      <c r="E5" s="91" t="s">
        <v>15</v>
      </c>
      <c r="F5" s="91">
        <v>8420</v>
      </c>
      <c r="G5" s="91" t="s">
        <v>120</v>
      </c>
      <c r="H5" s="91" t="s">
        <v>15</v>
      </c>
      <c r="I5" s="134">
        <v>85200310085185</v>
      </c>
      <c r="J5" s="92" t="s">
        <v>54</v>
      </c>
      <c r="K5" s="92" t="s">
        <v>137</v>
      </c>
      <c r="L5" s="117">
        <v>42676</v>
      </c>
      <c r="M5" s="91" t="s">
        <v>121</v>
      </c>
      <c r="N5" s="91" t="s">
        <v>9</v>
      </c>
      <c r="O5" s="117">
        <v>42732</v>
      </c>
      <c r="P5" s="93" t="s">
        <v>261</v>
      </c>
      <c r="Q5" s="94">
        <v>181</v>
      </c>
      <c r="R5" s="93" t="s">
        <v>99</v>
      </c>
      <c r="S5" s="122">
        <v>481167</v>
      </c>
      <c r="T5" s="91" t="s">
        <v>119</v>
      </c>
      <c r="U5" s="91" t="s">
        <v>105</v>
      </c>
      <c r="V5" s="125">
        <v>6.69</v>
      </c>
      <c r="W5" s="51">
        <v>1</v>
      </c>
      <c r="X5" s="127" t="s">
        <v>138</v>
      </c>
      <c r="Y5" s="51" t="s">
        <v>31</v>
      </c>
      <c r="Z5" s="120">
        <v>3.3450000000000002</v>
      </c>
      <c r="AA5" s="120">
        <v>3.3450000000000002</v>
      </c>
    </row>
    <row r="6" spans="1:27" x14ac:dyDescent="0.25">
      <c r="A6" s="51" t="s">
        <v>102</v>
      </c>
      <c r="B6" s="51" t="s">
        <v>466</v>
      </c>
      <c r="C6" s="91">
        <v>8520</v>
      </c>
      <c r="D6" s="91" t="s">
        <v>186</v>
      </c>
      <c r="E6" s="91" t="s">
        <v>15</v>
      </c>
      <c r="F6" s="91">
        <v>8420</v>
      </c>
      <c r="G6" s="91" t="s">
        <v>120</v>
      </c>
      <c r="H6" s="91" t="s">
        <v>15</v>
      </c>
      <c r="I6" s="134">
        <v>85200910002117</v>
      </c>
      <c r="J6" s="92" t="s">
        <v>54</v>
      </c>
      <c r="K6" s="92" t="s">
        <v>137</v>
      </c>
      <c r="L6" s="117">
        <v>42676</v>
      </c>
      <c r="M6" s="91" t="s">
        <v>104</v>
      </c>
      <c r="N6" s="91" t="s">
        <v>9</v>
      </c>
      <c r="O6" s="117">
        <v>42732</v>
      </c>
      <c r="P6" s="93" t="s">
        <v>261</v>
      </c>
      <c r="Q6" s="94">
        <v>181</v>
      </c>
      <c r="R6" s="93" t="s">
        <v>99</v>
      </c>
      <c r="S6" s="122">
        <v>119562.5</v>
      </c>
      <c r="T6" s="91" t="s">
        <v>119</v>
      </c>
      <c r="U6" s="91" t="s">
        <v>105</v>
      </c>
      <c r="V6" s="125">
        <v>1.66</v>
      </c>
      <c r="W6" s="51">
        <v>1</v>
      </c>
      <c r="X6" s="127" t="s">
        <v>134</v>
      </c>
      <c r="Y6" s="51" t="s">
        <v>31</v>
      </c>
      <c r="Z6" s="120">
        <v>0.83</v>
      </c>
      <c r="AA6" s="120">
        <v>0.83</v>
      </c>
    </row>
    <row r="7" spans="1:27" x14ac:dyDescent="0.25">
      <c r="A7" s="51" t="s">
        <v>102</v>
      </c>
      <c r="B7" s="51" t="s">
        <v>466</v>
      </c>
      <c r="C7" s="91">
        <v>8520</v>
      </c>
      <c r="D7" s="91" t="s">
        <v>186</v>
      </c>
      <c r="E7" s="91" t="s">
        <v>15</v>
      </c>
      <c r="F7" s="91">
        <v>8420</v>
      </c>
      <c r="G7" s="91" t="s">
        <v>120</v>
      </c>
      <c r="H7" s="91" t="s">
        <v>15</v>
      </c>
      <c r="I7" s="134">
        <v>85200910002127</v>
      </c>
      <c r="J7" s="92" t="s">
        <v>54</v>
      </c>
      <c r="K7" s="92" t="s">
        <v>137</v>
      </c>
      <c r="L7" s="117">
        <v>42676</v>
      </c>
      <c r="M7" s="91" t="s">
        <v>104</v>
      </c>
      <c r="N7" s="91" t="s">
        <v>9</v>
      </c>
      <c r="O7" s="117">
        <v>42732</v>
      </c>
      <c r="P7" s="93" t="s">
        <v>261</v>
      </c>
      <c r="Q7" s="94">
        <v>181</v>
      </c>
      <c r="R7" s="93" t="s">
        <v>99</v>
      </c>
      <c r="S7" s="122">
        <v>108000</v>
      </c>
      <c r="T7" s="91" t="s">
        <v>119</v>
      </c>
      <c r="U7" s="91" t="s">
        <v>105</v>
      </c>
      <c r="V7" s="125">
        <v>1.5</v>
      </c>
      <c r="W7" s="51">
        <v>1</v>
      </c>
      <c r="X7" s="127" t="s">
        <v>134</v>
      </c>
      <c r="Y7" s="51" t="s">
        <v>31</v>
      </c>
      <c r="Z7" s="120">
        <v>0.75</v>
      </c>
      <c r="AA7" s="120">
        <v>0.75</v>
      </c>
    </row>
    <row r="8" spans="1:27" x14ac:dyDescent="0.25">
      <c r="A8" s="51" t="s">
        <v>102</v>
      </c>
      <c r="B8" s="51" t="s">
        <v>466</v>
      </c>
      <c r="C8" s="91">
        <v>8520</v>
      </c>
      <c r="D8" s="91" t="s">
        <v>186</v>
      </c>
      <c r="E8" s="91" t="s">
        <v>15</v>
      </c>
      <c r="F8" s="91">
        <v>8420</v>
      </c>
      <c r="G8" s="91" t="s">
        <v>120</v>
      </c>
      <c r="H8" s="91" t="s">
        <v>15</v>
      </c>
      <c r="I8" s="134">
        <v>85202710000482</v>
      </c>
      <c r="J8" s="92" t="s">
        <v>54</v>
      </c>
      <c r="K8" s="92" t="s">
        <v>137</v>
      </c>
      <c r="L8" s="117">
        <v>42676</v>
      </c>
      <c r="M8" s="91" t="s">
        <v>104</v>
      </c>
      <c r="N8" s="91" t="s">
        <v>9</v>
      </c>
      <c r="O8" s="117">
        <v>42732</v>
      </c>
      <c r="P8" s="93" t="s">
        <v>261</v>
      </c>
      <c r="Q8" s="94">
        <v>181</v>
      </c>
      <c r="R8" s="93" t="s">
        <v>99</v>
      </c>
      <c r="S8" s="122">
        <v>5564</v>
      </c>
      <c r="T8" s="91" t="s">
        <v>119</v>
      </c>
      <c r="U8" s="91" t="s">
        <v>105</v>
      </c>
      <c r="V8" s="125">
        <v>0.08</v>
      </c>
      <c r="W8" s="51">
        <v>1</v>
      </c>
      <c r="X8" s="127" t="s">
        <v>134</v>
      </c>
      <c r="Y8" s="51" t="s">
        <v>31</v>
      </c>
      <c r="Z8" s="120">
        <v>0.04</v>
      </c>
      <c r="AA8" s="120">
        <v>0.04</v>
      </c>
    </row>
    <row r="9" spans="1:27" x14ac:dyDescent="0.25">
      <c r="A9" s="51" t="s">
        <v>102</v>
      </c>
      <c r="B9" s="51" t="s">
        <v>466</v>
      </c>
      <c r="C9" s="91">
        <v>8520</v>
      </c>
      <c r="D9" s="91" t="s">
        <v>186</v>
      </c>
      <c r="E9" s="91" t="s">
        <v>15</v>
      </c>
      <c r="F9" s="91">
        <v>8420</v>
      </c>
      <c r="G9" s="91" t="s">
        <v>120</v>
      </c>
      <c r="H9" s="91" t="s">
        <v>15</v>
      </c>
      <c r="I9" s="134">
        <v>85202710000485</v>
      </c>
      <c r="J9" s="92" t="s">
        <v>54</v>
      </c>
      <c r="K9" s="92" t="s">
        <v>137</v>
      </c>
      <c r="L9" s="117">
        <v>42676</v>
      </c>
      <c r="M9" s="91" t="s">
        <v>104</v>
      </c>
      <c r="N9" s="91" t="s">
        <v>9</v>
      </c>
      <c r="O9" s="117">
        <v>42732</v>
      </c>
      <c r="P9" s="93" t="s">
        <v>261</v>
      </c>
      <c r="Q9" s="94">
        <v>181</v>
      </c>
      <c r="R9" s="93" t="s">
        <v>99</v>
      </c>
      <c r="S9" s="122">
        <v>360009</v>
      </c>
      <c r="T9" s="91" t="s">
        <v>119</v>
      </c>
      <c r="U9" s="91" t="s">
        <v>105</v>
      </c>
      <c r="V9" s="125">
        <v>5.01</v>
      </c>
      <c r="W9" s="51">
        <v>1</v>
      </c>
      <c r="X9" s="127" t="s">
        <v>134</v>
      </c>
      <c r="Y9" s="51" t="s">
        <v>31</v>
      </c>
      <c r="Z9" s="120">
        <v>2.5049999999999999</v>
      </c>
      <c r="AA9" s="120">
        <v>2.5049999999999999</v>
      </c>
    </row>
    <row r="10" spans="1:27" x14ac:dyDescent="0.25">
      <c r="A10" s="51" t="s">
        <v>102</v>
      </c>
      <c r="B10" s="51" t="s">
        <v>466</v>
      </c>
      <c r="C10" s="91">
        <v>8520</v>
      </c>
      <c r="D10" s="91" t="s">
        <v>186</v>
      </c>
      <c r="E10" s="91" t="s">
        <v>15</v>
      </c>
      <c r="F10" s="91">
        <v>199</v>
      </c>
      <c r="G10" s="91" t="s">
        <v>124</v>
      </c>
      <c r="H10" s="91" t="s">
        <v>20</v>
      </c>
      <c r="I10" s="134">
        <v>85200410039938</v>
      </c>
      <c r="J10" s="92" t="s">
        <v>54</v>
      </c>
      <c r="K10" s="92" t="s">
        <v>137</v>
      </c>
      <c r="L10" s="117">
        <v>42643</v>
      </c>
      <c r="M10" s="91" t="s">
        <v>122</v>
      </c>
      <c r="N10" s="91" t="s">
        <v>9</v>
      </c>
      <c r="O10" s="117">
        <v>42709</v>
      </c>
      <c r="P10" s="93" t="s">
        <v>261</v>
      </c>
      <c r="Q10" s="94">
        <v>204</v>
      </c>
      <c r="R10" s="93" t="s">
        <v>99</v>
      </c>
      <c r="S10" s="122">
        <v>337572</v>
      </c>
      <c r="T10" s="91" t="s">
        <v>119</v>
      </c>
      <c r="U10" s="91" t="s">
        <v>101</v>
      </c>
      <c r="V10" s="125">
        <v>4.6900000000000004</v>
      </c>
      <c r="W10" s="51">
        <v>1</v>
      </c>
      <c r="X10" s="127" t="s">
        <v>140</v>
      </c>
      <c r="Y10" s="51" t="s">
        <v>31</v>
      </c>
      <c r="Z10" s="120">
        <v>2.3450000000000002</v>
      </c>
      <c r="AA10" s="120">
        <v>2.3450000000000002</v>
      </c>
    </row>
    <row r="11" spans="1:27" x14ac:dyDescent="0.25">
      <c r="A11" s="51" t="s">
        <v>102</v>
      </c>
      <c r="B11" s="51" t="s">
        <v>466</v>
      </c>
      <c r="C11" s="91">
        <v>8520</v>
      </c>
      <c r="D11" s="91" t="s">
        <v>186</v>
      </c>
      <c r="E11" s="91" t="s">
        <v>15</v>
      </c>
      <c r="F11" s="91">
        <v>8420</v>
      </c>
      <c r="G11" s="91" t="s">
        <v>120</v>
      </c>
      <c r="H11" s="91" t="s">
        <v>15</v>
      </c>
      <c r="I11" s="134">
        <v>85200910002135</v>
      </c>
      <c r="J11" s="92" t="s">
        <v>54</v>
      </c>
      <c r="K11" s="92" t="s">
        <v>137</v>
      </c>
      <c r="L11" s="117">
        <v>42704</v>
      </c>
      <c r="M11" s="91" t="s">
        <v>121</v>
      </c>
      <c r="N11" s="91" t="s">
        <v>9</v>
      </c>
      <c r="O11" s="117">
        <v>42732</v>
      </c>
      <c r="P11" s="93" t="s">
        <v>261</v>
      </c>
      <c r="Q11" s="94">
        <v>181</v>
      </c>
      <c r="R11" s="93" t="s">
        <v>99</v>
      </c>
      <c r="S11" s="122">
        <v>71829</v>
      </c>
      <c r="T11" s="91" t="s">
        <v>119</v>
      </c>
      <c r="U11" s="91" t="s">
        <v>105</v>
      </c>
      <c r="V11" s="125">
        <v>1</v>
      </c>
      <c r="W11" s="51">
        <v>1</v>
      </c>
      <c r="X11" s="127" t="s">
        <v>138</v>
      </c>
      <c r="Y11" s="51" t="s">
        <v>31</v>
      </c>
      <c r="Z11" s="120">
        <v>0.5</v>
      </c>
      <c r="AA11" s="120">
        <v>0.5</v>
      </c>
    </row>
    <row r="12" spans="1:27" x14ac:dyDescent="0.25">
      <c r="A12" s="51" t="s">
        <v>102</v>
      </c>
      <c r="B12" s="51" t="s">
        <v>466</v>
      </c>
      <c r="C12" s="91">
        <v>8520</v>
      </c>
      <c r="D12" s="91" t="s">
        <v>186</v>
      </c>
      <c r="E12" s="91" t="s">
        <v>15</v>
      </c>
      <c r="F12" s="91">
        <v>8420</v>
      </c>
      <c r="G12" s="91" t="s">
        <v>120</v>
      </c>
      <c r="H12" s="91" t="s">
        <v>15</v>
      </c>
      <c r="I12" s="134">
        <v>85200310085986</v>
      </c>
      <c r="J12" s="92" t="s">
        <v>54</v>
      </c>
      <c r="K12" s="92" t="s">
        <v>137</v>
      </c>
      <c r="L12" s="117">
        <v>42704</v>
      </c>
      <c r="M12" s="91" t="s">
        <v>121</v>
      </c>
      <c r="N12" s="91" t="s">
        <v>9</v>
      </c>
      <c r="O12" s="117">
        <v>42732</v>
      </c>
      <c r="P12" s="93" t="s">
        <v>261</v>
      </c>
      <c r="Q12" s="94">
        <v>181</v>
      </c>
      <c r="R12" s="93" t="s">
        <v>99</v>
      </c>
      <c r="S12" s="122">
        <v>166959</v>
      </c>
      <c r="T12" s="91" t="s">
        <v>119</v>
      </c>
      <c r="U12" s="91" t="s">
        <v>105</v>
      </c>
      <c r="V12" s="125">
        <v>2.3199999999999998</v>
      </c>
      <c r="W12" s="51">
        <v>1</v>
      </c>
      <c r="X12" s="127" t="s">
        <v>138</v>
      </c>
      <c r="Y12" s="51" t="s">
        <v>31</v>
      </c>
      <c r="Z12" s="120">
        <v>1.1599999999999999</v>
      </c>
      <c r="AA12" s="120">
        <v>1.1599999999999999</v>
      </c>
    </row>
    <row r="13" spans="1:27" x14ac:dyDescent="0.25">
      <c r="A13" s="51" t="s">
        <v>102</v>
      </c>
      <c r="B13" s="51" t="s">
        <v>466</v>
      </c>
      <c r="C13" s="91">
        <v>8520</v>
      </c>
      <c r="D13" s="91" t="s">
        <v>186</v>
      </c>
      <c r="E13" s="91" t="s">
        <v>15</v>
      </c>
      <c r="F13" s="91">
        <v>8420</v>
      </c>
      <c r="G13" s="91" t="s">
        <v>120</v>
      </c>
      <c r="H13" s="91" t="s">
        <v>15</v>
      </c>
      <c r="I13" s="134">
        <v>85202710000490</v>
      </c>
      <c r="J13" s="92" t="s">
        <v>54</v>
      </c>
      <c r="K13" s="92" t="s">
        <v>137</v>
      </c>
      <c r="L13" s="117">
        <v>42704</v>
      </c>
      <c r="M13" s="91" t="s">
        <v>121</v>
      </c>
      <c r="N13" s="91" t="s">
        <v>9</v>
      </c>
      <c r="O13" s="117">
        <v>42732</v>
      </c>
      <c r="P13" s="93" t="s">
        <v>261</v>
      </c>
      <c r="Q13" s="94">
        <v>181</v>
      </c>
      <c r="R13" s="93" t="s">
        <v>99</v>
      </c>
      <c r="S13" s="122">
        <v>137628</v>
      </c>
      <c r="T13" s="91" t="s">
        <v>119</v>
      </c>
      <c r="U13" s="91" t="s">
        <v>105</v>
      </c>
      <c r="V13" s="125">
        <v>1.91</v>
      </c>
      <c r="W13" s="51">
        <v>1</v>
      </c>
      <c r="X13" s="127" t="s">
        <v>138</v>
      </c>
      <c r="Y13" s="51" t="s">
        <v>31</v>
      </c>
      <c r="Z13" s="120">
        <v>0.95499999999999996</v>
      </c>
      <c r="AA13" s="120">
        <v>0.95499999999999996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6" tint="0.59999389629810485"/>
  </sheetPr>
  <dimension ref="A3:AA19"/>
  <sheetViews>
    <sheetView workbookViewId="0"/>
  </sheetViews>
  <sheetFormatPr defaultRowHeight="15" x14ac:dyDescent="0.25"/>
  <cols>
    <col min="1" max="1" width="11.140625" bestFit="1" customWidth="1"/>
    <col min="2" max="2" width="16.85546875" bestFit="1" customWidth="1"/>
    <col min="3" max="3" width="6.7109375" bestFit="1" customWidth="1"/>
    <col min="4" max="4" width="53.140625" bestFit="1" customWidth="1"/>
    <col min="5" max="6" width="16" bestFit="1" customWidth="1"/>
    <col min="7" max="7" width="23.28515625" customWidth="1"/>
    <col min="8" max="8" width="23.140625" bestFit="1" customWidth="1"/>
    <col min="9" max="9" width="17" style="133" customWidth="1"/>
    <col min="10" max="10" width="16.42578125" bestFit="1" customWidth="1"/>
    <col min="11" max="11" width="17.5703125" bestFit="1" customWidth="1"/>
    <col min="12" max="12" width="9.28515625" style="118" bestFit="1" customWidth="1"/>
    <col min="13" max="13" width="22" customWidth="1"/>
    <col min="14" max="14" width="19.5703125" customWidth="1"/>
    <col min="15" max="15" width="12.7109375" style="118" bestFit="1" customWidth="1"/>
    <col min="16" max="16" width="11" customWidth="1"/>
    <col min="17" max="17" width="9.5703125" customWidth="1"/>
    <col min="18" max="18" width="14.85546875" bestFit="1" customWidth="1"/>
    <col min="19" max="19" width="10.85546875" style="123" customWidth="1"/>
    <col min="21" max="21" width="14.85546875" bestFit="1" customWidth="1"/>
    <col min="22" max="22" width="11" style="126" bestFit="1" customWidth="1"/>
    <col min="23" max="23" width="7.140625" bestFit="1" customWidth="1"/>
    <col min="24" max="24" width="8.28515625" style="101" bestFit="1" customWidth="1"/>
    <col min="25" max="25" width="25.28515625" customWidth="1"/>
    <col min="26" max="27" width="7.5703125" style="72" customWidth="1"/>
  </cols>
  <sheetData>
    <row r="3" spans="1:27" ht="36" x14ac:dyDescent="0.25">
      <c r="A3" s="47" t="s">
        <v>96</v>
      </c>
      <c r="B3" s="47" t="s">
        <v>69</v>
      </c>
      <c r="C3" s="48" t="s">
        <v>70</v>
      </c>
      <c r="D3" s="48" t="s">
        <v>71</v>
      </c>
      <c r="E3" s="48" t="s">
        <v>73</v>
      </c>
      <c r="F3" s="48" t="s">
        <v>74</v>
      </c>
      <c r="G3" s="48" t="s">
        <v>75</v>
      </c>
      <c r="H3" s="48" t="s">
        <v>77</v>
      </c>
      <c r="I3" s="131" t="s">
        <v>78</v>
      </c>
      <c r="J3" s="47" t="s">
        <v>29</v>
      </c>
      <c r="K3" s="47" t="s">
        <v>79</v>
      </c>
      <c r="L3" s="116" t="s">
        <v>81</v>
      </c>
      <c r="M3" s="48" t="s">
        <v>82</v>
      </c>
      <c r="N3" s="48" t="s">
        <v>83</v>
      </c>
      <c r="O3" s="116" t="s">
        <v>84</v>
      </c>
      <c r="P3" s="48" t="s">
        <v>85</v>
      </c>
      <c r="Q3" s="48" t="s">
        <v>86</v>
      </c>
      <c r="R3" s="48" t="s">
        <v>87</v>
      </c>
      <c r="S3" s="121" t="s">
        <v>88</v>
      </c>
      <c r="T3" s="48" t="s">
        <v>89</v>
      </c>
      <c r="U3" s="48" t="s">
        <v>90</v>
      </c>
      <c r="V3" s="124" t="s">
        <v>91</v>
      </c>
      <c r="W3" s="48" t="s">
        <v>92</v>
      </c>
      <c r="X3" s="47" t="s">
        <v>93</v>
      </c>
      <c r="Y3" s="47" t="s">
        <v>65</v>
      </c>
      <c r="Z3" s="119" t="s">
        <v>94</v>
      </c>
      <c r="AA3" s="119" t="s">
        <v>95</v>
      </c>
    </row>
    <row r="4" spans="1:27" x14ac:dyDescent="0.25">
      <c r="A4" s="51" t="s">
        <v>102</v>
      </c>
      <c r="B4" s="51" t="s">
        <v>131</v>
      </c>
      <c r="C4" s="91">
        <v>8520</v>
      </c>
      <c r="D4" s="91" t="s">
        <v>186</v>
      </c>
      <c r="E4" s="91" t="s">
        <v>15</v>
      </c>
      <c r="F4" s="91">
        <v>95</v>
      </c>
      <c r="G4" s="91" t="s">
        <v>110</v>
      </c>
      <c r="H4" s="91" t="s">
        <v>18</v>
      </c>
      <c r="I4" s="134" t="s">
        <v>111</v>
      </c>
      <c r="J4" s="92" t="s">
        <v>52</v>
      </c>
      <c r="K4" s="92" t="s">
        <v>132</v>
      </c>
      <c r="L4" s="117">
        <v>41452</v>
      </c>
      <c r="M4" s="91" t="s">
        <v>109</v>
      </c>
      <c r="N4" s="91" t="s">
        <v>10</v>
      </c>
      <c r="O4" s="117">
        <v>42433</v>
      </c>
      <c r="P4" s="93" t="s">
        <v>205</v>
      </c>
      <c r="Q4" s="94">
        <v>480</v>
      </c>
      <c r="R4" s="93" t="s">
        <v>252</v>
      </c>
      <c r="S4" s="122">
        <v>-6183.5</v>
      </c>
      <c r="T4" s="91" t="s">
        <v>100</v>
      </c>
      <c r="U4" s="91" t="s">
        <v>101</v>
      </c>
      <c r="V4" s="125">
        <v>-6.18</v>
      </c>
      <c r="W4" s="51">
        <v>1</v>
      </c>
      <c r="X4" s="127" t="s">
        <v>133</v>
      </c>
      <c r="Y4" s="51" t="s">
        <v>32</v>
      </c>
      <c r="Z4" s="120">
        <v>-1.5449999999999999</v>
      </c>
      <c r="AA4" s="120">
        <v>-4.6349999999999998</v>
      </c>
    </row>
    <row r="5" spans="1:27" x14ac:dyDescent="0.25">
      <c r="A5" s="51" t="s">
        <v>102</v>
      </c>
      <c r="B5" s="51" t="s">
        <v>466</v>
      </c>
      <c r="C5" s="91">
        <v>8520</v>
      </c>
      <c r="D5" s="91" t="s">
        <v>186</v>
      </c>
      <c r="E5" s="91" t="s">
        <v>15</v>
      </c>
      <c r="F5" s="91">
        <v>199</v>
      </c>
      <c r="G5" s="91" t="s">
        <v>124</v>
      </c>
      <c r="H5" s="91" t="s">
        <v>20</v>
      </c>
      <c r="I5" s="134">
        <v>85202010000897</v>
      </c>
      <c r="J5" s="92" t="s">
        <v>52</v>
      </c>
      <c r="K5" s="92" t="s">
        <v>132</v>
      </c>
      <c r="L5" s="117">
        <v>42614</v>
      </c>
      <c r="M5" s="91" t="s">
        <v>109</v>
      </c>
      <c r="N5" s="91" t="s">
        <v>10</v>
      </c>
      <c r="O5" s="117">
        <v>42681</v>
      </c>
      <c r="P5" s="93" t="s">
        <v>261</v>
      </c>
      <c r="Q5" s="94">
        <v>232</v>
      </c>
      <c r="R5" s="93" t="s">
        <v>99</v>
      </c>
      <c r="S5" s="122">
        <v>203300</v>
      </c>
      <c r="T5" s="91" t="s">
        <v>119</v>
      </c>
      <c r="U5" s="91" t="s">
        <v>101</v>
      </c>
      <c r="V5" s="125">
        <v>2.83</v>
      </c>
      <c r="W5" s="51">
        <v>1</v>
      </c>
      <c r="X5" s="127" t="s">
        <v>133</v>
      </c>
      <c r="Y5" s="51" t="s">
        <v>32</v>
      </c>
      <c r="Z5" s="120">
        <v>0.70750000000000002</v>
      </c>
      <c r="AA5" s="120">
        <v>2.1225000000000001</v>
      </c>
    </row>
    <row r="6" spans="1:27" x14ac:dyDescent="0.25">
      <c r="A6" s="51" t="s">
        <v>96</v>
      </c>
      <c r="B6" s="51" t="s">
        <v>96</v>
      </c>
      <c r="C6" s="91">
        <v>8520</v>
      </c>
      <c r="D6" s="91" t="s">
        <v>186</v>
      </c>
      <c r="E6" s="91" t="s">
        <v>15</v>
      </c>
      <c r="F6" s="91">
        <v>3011</v>
      </c>
      <c r="G6" s="91" t="s">
        <v>106</v>
      </c>
      <c r="H6" s="91" t="s">
        <v>20</v>
      </c>
      <c r="I6" s="134">
        <v>85201110010268</v>
      </c>
      <c r="J6" s="92" t="s">
        <v>52</v>
      </c>
      <c r="K6" s="92" t="s">
        <v>132</v>
      </c>
      <c r="L6" s="117">
        <v>42646</v>
      </c>
      <c r="M6" s="91" t="s">
        <v>121</v>
      </c>
      <c r="N6" s="91" t="s">
        <v>9</v>
      </c>
      <c r="O6" s="117">
        <v>42681</v>
      </c>
      <c r="P6" s="93" t="s">
        <v>261</v>
      </c>
      <c r="Q6" s="94">
        <v>232</v>
      </c>
      <c r="R6" s="93" t="s">
        <v>99</v>
      </c>
      <c r="S6" s="122">
        <v>329400</v>
      </c>
      <c r="T6" s="91" t="s">
        <v>119</v>
      </c>
      <c r="U6" s="91" t="s">
        <v>101</v>
      </c>
      <c r="V6" s="125">
        <v>4.58</v>
      </c>
      <c r="W6" s="51">
        <v>1</v>
      </c>
      <c r="X6" s="127" t="s">
        <v>138</v>
      </c>
      <c r="Y6" s="51" t="s">
        <v>31</v>
      </c>
      <c r="Z6" s="120">
        <v>2.29</v>
      </c>
      <c r="AA6" s="120">
        <v>2.29</v>
      </c>
    </row>
    <row r="7" spans="1:27" x14ac:dyDescent="0.25">
      <c r="A7" s="51" t="s">
        <v>102</v>
      </c>
      <c r="B7" s="51" t="s">
        <v>223</v>
      </c>
      <c r="C7" s="91">
        <v>8520</v>
      </c>
      <c r="D7" s="91" t="s">
        <v>186</v>
      </c>
      <c r="E7" s="91" t="s">
        <v>15</v>
      </c>
      <c r="F7" s="91">
        <v>199</v>
      </c>
      <c r="G7" s="91" t="s">
        <v>124</v>
      </c>
      <c r="H7" s="91" t="s">
        <v>20</v>
      </c>
      <c r="I7" s="134" t="s">
        <v>192</v>
      </c>
      <c r="J7" s="92" t="s">
        <v>52</v>
      </c>
      <c r="K7" s="92" t="s">
        <v>132</v>
      </c>
      <c r="L7" s="117">
        <v>42579</v>
      </c>
      <c r="M7" s="91" t="s">
        <v>122</v>
      </c>
      <c r="N7" s="91" t="s">
        <v>9</v>
      </c>
      <c r="O7" s="117">
        <v>42586</v>
      </c>
      <c r="P7" s="93" t="s">
        <v>206</v>
      </c>
      <c r="Q7" s="94">
        <v>327</v>
      </c>
      <c r="R7" s="93" t="s">
        <v>99</v>
      </c>
      <c r="S7" s="122">
        <v>110285</v>
      </c>
      <c r="T7" s="91" t="s">
        <v>119</v>
      </c>
      <c r="U7" s="91" t="s">
        <v>101</v>
      </c>
      <c r="V7" s="125">
        <v>1.53</v>
      </c>
      <c r="W7" s="51">
        <v>1</v>
      </c>
      <c r="X7" s="127" t="s">
        <v>140</v>
      </c>
      <c r="Y7" s="51" t="s">
        <v>31</v>
      </c>
      <c r="Z7" s="120">
        <v>0.76500000000000001</v>
      </c>
      <c r="AA7" s="120">
        <v>0.76500000000000001</v>
      </c>
    </row>
    <row r="8" spans="1:27" x14ac:dyDescent="0.25">
      <c r="A8" s="51" t="s">
        <v>102</v>
      </c>
      <c r="B8" s="51" t="s">
        <v>223</v>
      </c>
      <c r="C8" s="91">
        <v>8520</v>
      </c>
      <c r="D8" s="91" t="s">
        <v>186</v>
      </c>
      <c r="E8" s="91" t="s">
        <v>15</v>
      </c>
      <c r="F8" s="91">
        <v>199</v>
      </c>
      <c r="G8" s="91" t="s">
        <v>124</v>
      </c>
      <c r="H8" s="91" t="s">
        <v>20</v>
      </c>
      <c r="I8" s="134" t="s">
        <v>193</v>
      </c>
      <c r="J8" s="92" t="s">
        <v>52</v>
      </c>
      <c r="K8" s="92" t="s">
        <v>132</v>
      </c>
      <c r="L8" s="117">
        <v>42579</v>
      </c>
      <c r="M8" s="91" t="s">
        <v>109</v>
      </c>
      <c r="N8" s="91" t="s">
        <v>10</v>
      </c>
      <c r="O8" s="117">
        <v>42586</v>
      </c>
      <c r="P8" s="93" t="s">
        <v>206</v>
      </c>
      <c r="Q8" s="94">
        <v>327</v>
      </c>
      <c r="R8" s="93" t="s">
        <v>99</v>
      </c>
      <c r="S8" s="122">
        <v>168945</v>
      </c>
      <c r="T8" s="91" t="s">
        <v>119</v>
      </c>
      <c r="U8" s="91" t="s">
        <v>101</v>
      </c>
      <c r="V8" s="125">
        <v>2.35</v>
      </c>
      <c r="W8" s="51">
        <v>1</v>
      </c>
      <c r="X8" s="127" t="s">
        <v>133</v>
      </c>
      <c r="Y8" s="51" t="s">
        <v>32</v>
      </c>
      <c r="Z8" s="120">
        <v>0.58750000000000002</v>
      </c>
      <c r="AA8" s="120">
        <v>1.7625000000000002</v>
      </c>
    </row>
    <row r="9" spans="1:27" x14ac:dyDescent="0.25">
      <c r="A9" s="51" t="s">
        <v>102</v>
      </c>
      <c r="B9" s="51" t="s">
        <v>223</v>
      </c>
      <c r="C9" s="91">
        <v>8520</v>
      </c>
      <c r="D9" s="91" t="s">
        <v>186</v>
      </c>
      <c r="E9" s="91" t="s">
        <v>15</v>
      </c>
      <c r="F9" s="91">
        <v>199</v>
      </c>
      <c r="G9" s="91" t="s">
        <v>124</v>
      </c>
      <c r="H9" s="91" t="s">
        <v>20</v>
      </c>
      <c r="I9" s="134" t="s">
        <v>194</v>
      </c>
      <c r="J9" s="92" t="s">
        <v>52</v>
      </c>
      <c r="K9" s="92" t="s">
        <v>132</v>
      </c>
      <c r="L9" s="117">
        <v>42579</v>
      </c>
      <c r="M9" s="91" t="s">
        <v>122</v>
      </c>
      <c r="N9" s="91" t="s">
        <v>9</v>
      </c>
      <c r="O9" s="117">
        <v>42586</v>
      </c>
      <c r="P9" s="93" t="s">
        <v>206</v>
      </c>
      <c r="Q9" s="94">
        <v>327</v>
      </c>
      <c r="R9" s="93" t="s">
        <v>99</v>
      </c>
      <c r="S9" s="122">
        <v>218135</v>
      </c>
      <c r="T9" s="91" t="s">
        <v>119</v>
      </c>
      <c r="U9" s="91" t="s">
        <v>101</v>
      </c>
      <c r="V9" s="125">
        <v>3.03</v>
      </c>
      <c r="W9" s="51">
        <v>1</v>
      </c>
      <c r="X9" s="127" t="s">
        <v>140</v>
      </c>
      <c r="Y9" s="51" t="s">
        <v>31</v>
      </c>
      <c r="Z9" s="120">
        <v>1.5149999999999999</v>
      </c>
      <c r="AA9" s="120">
        <v>1.5149999999999999</v>
      </c>
    </row>
    <row r="10" spans="1:27" x14ac:dyDescent="0.25">
      <c r="A10" s="51" t="s">
        <v>102</v>
      </c>
      <c r="B10" s="51" t="s">
        <v>223</v>
      </c>
      <c r="C10" s="91">
        <v>8520</v>
      </c>
      <c r="D10" s="91" t="s">
        <v>186</v>
      </c>
      <c r="E10" s="91" t="s">
        <v>15</v>
      </c>
      <c r="F10" s="91">
        <v>199</v>
      </c>
      <c r="G10" s="91" t="s">
        <v>124</v>
      </c>
      <c r="H10" s="91" t="s">
        <v>20</v>
      </c>
      <c r="I10" s="134" t="s">
        <v>195</v>
      </c>
      <c r="J10" s="92" t="s">
        <v>52</v>
      </c>
      <c r="K10" s="92" t="s">
        <v>132</v>
      </c>
      <c r="L10" s="117">
        <v>42579</v>
      </c>
      <c r="M10" s="91" t="s">
        <v>117</v>
      </c>
      <c r="N10" s="91" t="s">
        <v>118</v>
      </c>
      <c r="O10" s="117">
        <v>42586</v>
      </c>
      <c r="P10" s="93" t="s">
        <v>206</v>
      </c>
      <c r="Q10" s="94">
        <v>327</v>
      </c>
      <c r="R10" s="93" t="s">
        <v>99</v>
      </c>
      <c r="S10" s="122">
        <v>239469</v>
      </c>
      <c r="T10" s="91" t="s">
        <v>119</v>
      </c>
      <c r="U10" s="91" t="s">
        <v>101</v>
      </c>
      <c r="V10" s="125">
        <v>3.33</v>
      </c>
      <c r="W10" s="51">
        <v>1</v>
      </c>
      <c r="X10" s="127" t="s">
        <v>13</v>
      </c>
      <c r="Y10" s="51" t="s">
        <v>31</v>
      </c>
      <c r="Z10" s="120">
        <v>1.665</v>
      </c>
      <c r="AA10" s="120">
        <v>1.665</v>
      </c>
    </row>
    <row r="11" spans="1:27" x14ac:dyDescent="0.25">
      <c r="A11" s="51" t="s">
        <v>102</v>
      </c>
      <c r="B11" s="51" t="s">
        <v>223</v>
      </c>
      <c r="C11" s="91">
        <v>8520</v>
      </c>
      <c r="D11" s="91" t="s">
        <v>186</v>
      </c>
      <c r="E11" s="91" t="s">
        <v>15</v>
      </c>
      <c r="F11" s="91">
        <v>199</v>
      </c>
      <c r="G11" s="91" t="s">
        <v>124</v>
      </c>
      <c r="H11" s="91" t="s">
        <v>20</v>
      </c>
      <c r="I11" s="134" t="s">
        <v>196</v>
      </c>
      <c r="J11" s="92" t="s">
        <v>52</v>
      </c>
      <c r="K11" s="92" t="s">
        <v>132</v>
      </c>
      <c r="L11" s="117">
        <v>42579</v>
      </c>
      <c r="M11" s="91" t="s">
        <v>109</v>
      </c>
      <c r="N11" s="91" t="s">
        <v>10</v>
      </c>
      <c r="O11" s="117">
        <v>42586</v>
      </c>
      <c r="P11" s="93" t="s">
        <v>206</v>
      </c>
      <c r="Q11" s="94">
        <v>327</v>
      </c>
      <c r="R11" s="93" t="s">
        <v>99</v>
      </c>
      <c r="S11" s="122">
        <v>459040</v>
      </c>
      <c r="T11" s="91" t="s">
        <v>119</v>
      </c>
      <c r="U11" s="91" t="s">
        <v>101</v>
      </c>
      <c r="V11" s="125">
        <v>6.38</v>
      </c>
      <c r="W11" s="51">
        <v>1</v>
      </c>
      <c r="X11" s="127" t="s">
        <v>133</v>
      </c>
      <c r="Y11" s="51" t="s">
        <v>32</v>
      </c>
      <c r="Z11" s="120">
        <v>1.595</v>
      </c>
      <c r="AA11" s="120">
        <v>4.7850000000000001</v>
      </c>
    </row>
    <row r="12" spans="1:27" x14ac:dyDescent="0.25">
      <c r="A12" s="51" t="s">
        <v>96</v>
      </c>
      <c r="B12" s="51" t="s">
        <v>96</v>
      </c>
      <c r="C12" s="91">
        <v>8520</v>
      </c>
      <c r="D12" s="91" t="s">
        <v>186</v>
      </c>
      <c r="E12" s="91" t="s">
        <v>15</v>
      </c>
      <c r="F12" s="91">
        <v>199</v>
      </c>
      <c r="G12" s="91" t="s">
        <v>124</v>
      </c>
      <c r="H12" s="91" t="s">
        <v>20</v>
      </c>
      <c r="I12" s="134">
        <v>85201210002664</v>
      </c>
      <c r="J12" s="92" t="s">
        <v>52</v>
      </c>
      <c r="K12" s="92" t="s">
        <v>132</v>
      </c>
      <c r="L12" s="117">
        <v>42583</v>
      </c>
      <c r="M12" s="91" t="s">
        <v>109</v>
      </c>
      <c r="N12" s="91" t="s">
        <v>10</v>
      </c>
      <c r="O12" s="117">
        <v>42648</v>
      </c>
      <c r="P12" s="93" t="s">
        <v>206</v>
      </c>
      <c r="Q12" s="94">
        <v>265</v>
      </c>
      <c r="R12" s="93" t="s">
        <v>99</v>
      </c>
      <c r="S12" s="122">
        <v>316800</v>
      </c>
      <c r="T12" s="91" t="s">
        <v>119</v>
      </c>
      <c r="U12" s="91" t="s">
        <v>101</v>
      </c>
      <c r="V12" s="125">
        <v>4.41</v>
      </c>
      <c r="W12" s="51">
        <v>1</v>
      </c>
      <c r="X12" s="127" t="s">
        <v>133</v>
      </c>
      <c r="Y12" s="51" t="s">
        <v>32</v>
      </c>
      <c r="Z12" s="120">
        <v>1.1025</v>
      </c>
      <c r="AA12" s="120">
        <v>3.3075000000000001</v>
      </c>
    </row>
    <row r="13" spans="1:27" x14ac:dyDescent="0.25">
      <c r="A13" s="51" t="s">
        <v>102</v>
      </c>
      <c r="B13" s="51" t="s">
        <v>466</v>
      </c>
      <c r="C13" s="91">
        <v>1960</v>
      </c>
      <c r="D13" s="91" t="s">
        <v>127</v>
      </c>
      <c r="E13" s="91" t="s">
        <v>20</v>
      </c>
      <c r="F13" s="91">
        <v>3011</v>
      </c>
      <c r="G13" s="91" t="s">
        <v>106</v>
      </c>
      <c r="H13" s="91" t="s">
        <v>20</v>
      </c>
      <c r="I13" s="134">
        <v>19600510065279</v>
      </c>
      <c r="J13" s="92" t="s">
        <v>52</v>
      </c>
      <c r="K13" s="92" t="s">
        <v>145</v>
      </c>
      <c r="L13" s="117">
        <v>42614</v>
      </c>
      <c r="M13" s="91" t="s">
        <v>122</v>
      </c>
      <c r="N13" s="91" t="s">
        <v>9</v>
      </c>
      <c r="O13" s="117">
        <v>42649</v>
      </c>
      <c r="P13" s="93" t="s">
        <v>206</v>
      </c>
      <c r="Q13" s="94">
        <v>264</v>
      </c>
      <c r="R13" s="93" t="s">
        <v>99</v>
      </c>
      <c r="S13" s="122">
        <v>12922.94</v>
      </c>
      <c r="T13" s="91" t="s">
        <v>128</v>
      </c>
      <c r="U13" s="91" t="s">
        <v>105</v>
      </c>
      <c r="V13" s="125">
        <v>11.59</v>
      </c>
      <c r="W13" s="51">
        <v>1</v>
      </c>
      <c r="X13" s="127" t="s">
        <v>140</v>
      </c>
      <c r="Y13" s="51" t="s">
        <v>31</v>
      </c>
      <c r="Z13" s="120">
        <v>5.7949999999999999</v>
      </c>
      <c r="AA13" s="120">
        <v>5.7949999999999999</v>
      </c>
    </row>
    <row r="14" spans="1:27" x14ac:dyDescent="0.25">
      <c r="A14" s="51" t="s">
        <v>96</v>
      </c>
      <c r="B14" s="51" t="s">
        <v>96</v>
      </c>
      <c r="C14" s="91">
        <v>1960</v>
      </c>
      <c r="D14" s="91" t="s">
        <v>127</v>
      </c>
      <c r="E14" s="91" t="s">
        <v>20</v>
      </c>
      <c r="F14" s="91">
        <v>8243</v>
      </c>
      <c r="G14" s="91" t="s">
        <v>125</v>
      </c>
      <c r="H14" s="91" t="s">
        <v>14</v>
      </c>
      <c r="I14" s="134">
        <v>19600510062725</v>
      </c>
      <c r="J14" s="92" t="s">
        <v>52</v>
      </c>
      <c r="K14" s="92" t="s">
        <v>145</v>
      </c>
      <c r="L14" s="117">
        <v>42544</v>
      </c>
      <c r="M14" s="91" t="s">
        <v>126</v>
      </c>
      <c r="N14" s="91" t="s">
        <v>118</v>
      </c>
      <c r="O14" s="117">
        <v>42648</v>
      </c>
      <c r="P14" s="93" t="s">
        <v>206</v>
      </c>
      <c r="Q14" s="94">
        <v>265</v>
      </c>
      <c r="R14" s="93" t="s">
        <v>99</v>
      </c>
      <c r="S14" s="122">
        <v>49463.35</v>
      </c>
      <c r="T14" s="91" t="s">
        <v>128</v>
      </c>
      <c r="U14" s="91" t="s">
        <v>101</v>
      </c>
      <c r="V14" s="125">
        <v>44.37</v>
      </c>
      <c r="W14" s="51">
        <v>1</v>
      </c>
      <c r="X14" s="127" t="s">
        <v>13</v>
      </c>
      <c r="Y14" s="51" t="s">
        <v>31</v>
      </c>
      <c r="Z14" s="120">
        <v>22.184999999999999</v>
      </c>
      <c r="AA14" s="120">
        <v>22.184999999999999</v>
      </c>
    </row>
    <row r="15" spans="1:27" x14ac:dyDescent="0.25">
      <c r="A15" s="51" t="s">
        <v>96</v>
      </c>
      <c r="B15" s="51" t="s">
        <v>96</v>
      </c>
      <c r="C15" s="91">
        <v>1960</v>
      </c>
      <c r="D15" s="91" t="s">
        <v>127</v>
      </c>
      <c r="E15" s="91" t="s">
        <v>20</v>
      </c>
      <c r="F15" s="91">
        <v>8243</v>
      </c>
      <c r="G15" s="91" t="s">
        <v>125</v>
      </c>
      <c r="H15" s="91" t="s">
        <v>14</v>
      </c>
      <c r="I15" s="134">
        <v>19600510062729</v>
      </c>
      <c r="J15" s="92" t="s">
        <v>52</v>
      </c>
      <c r="K15" s="92" t="s">
        <v>145</v>
      </c>
      <c r="L15" s="117">
        <v>42544</v>
      </c>
      <c r="M15" s="91" t="s">
        <v>126</v>
      </c>
      <c r="N15" s="91" t="s">
        <v>118</v>
      </c>
      <c r="O15" s="117">
        <v>42648</v>
      </c>
      <c r="P15" s="93" t="s">
        <v>206</v>
      </c>
      <c r="Q15" s="94">
        <v>265</v>
      </c>
      <c r="R15" s="93" t="s">
        <v>99</v>
      </c>
      <c r="S15" s="122">
        <v>53941.79</v>
      </c>
      <c r="T15" s="91" t="s">
        <v>128</v>
      </c>
      <c r="U15" s="91" t="s">
        <v>101</v>
      </c>
      <c r="V15" s="125">
        <v>48.39</v>
      </c>
      <c r="W15" s="51">
        <v>1</v>
      </c>
      <c r="X15" s="127" t="s">
        <v>13</v>
      </c>
      <c r="Y15" s="51" t="s">
        <v>31</v>
      </c>
      <c r="Z15" s="120">
        <v>24.195</v>
      </c>
      <c r="AA15" s="120">
        <v>24.195</v>
      </c>
    </row>
    <row r="16" spans="1:27" x14ac:dyDescent="0.25">
      <c r="A16" s="51" t="s">
        <v>102</v>
      </c>
      <c r="B16" s="51" t="s">
        <v>262</v>
      </c>
      <c r="C16" s="91">
        <v>902</v>
      </c>
      <c r="D16" s="91" t="s">
        <v>243</v>
      </c>
      <c r="E16" s="91" t="s">
        <v>15</v>
      </c>
      <c r="F16" s="91">
        <v>199</v>
      </c>
      <c r="G16" s="91" t="s">
        <v>124</v>
      </c>
      <c r="H16" s="91" t="s">
        <v>20</v>
      </c>
      <c r="I16" s="134" t="s">
        <v>244</v>
      </c>
      <c r="J16" s="92" t="s">
        <v>52</v>
      </c>
      <c r="K16" s="92" t="s">
        <v>251</v>
      </c>
      <c r="L16" s="117">
        <v>42579</v>
      </c>
      <c r="M16" s="91" t="s">
        <v>109</v>
      </c>
      <c r="N16" s="91" t="s">
        <v>10</v>
      </c>
      <c r="O16" s="117">
        <v>42648</v>
      </c>
      <c r="P16" s="93" t="s">
        <v>206</v>
      </c>
      <c r="Q16" s="94">
        <v>265</v>
      </c>
      <c r="R16" s="93" t="s">
        <v>99</v>
      </c>
      <c r="S16" s="122">
        <v>31880</v>
      </c>
      <c r="T16" s="91" t="s">
        <v>128</v>
      </c>
      <c r="U16" s="91" t="s">
        <v>101</v>
      </c>
      <c r="V16" s="125">
        <v>28.6</v>
      </c>
      <c r="W16" s="51">
        <v>1</v>
      </c>
      <c r="X16" s="127" t="s">
        <v>133</v>
      </c>
      <c r="Y16" s="51" t="s">
        <v>32</v>
      </c>
      <c r="Z16" s="120">
        <v>7.15</v>
      </c>
      <c r="AA16" s="120">
        <v>21.450000000000003</v>
      </c>
    </row>
    <row r="17" spans="1:27" x14ac:dyDescent="0.25">
      <c r="A17" s="51" t="s">
        <v>102</v>
      </c>
      <c r="B17" s="51" t="s">
        <v>262</v>
      </c>
      <c r="C17" s="91">
        <v>1960</v>
      </c>
      <c r="D17" s="91" t="s">
        <v>127</v>
      </c>
      <c r="E17" s="91" t="s">
        <v>20</v>
      </c>
      <c r="F17" s="91">
        <v>199</v>
      </c>
      <c r="G17" s="91" t="s">
        <v>124</v>
      </c>
      <c r="H17" s="91" t="s">
        <v>20</v>
      </c>
      <c r="I17" s="134" t="s">
        <v>245</v>
      </c>
      <c r="J17" s="92" t="s">
        <v>52</v>
      </c>
      <c r="K17" s="92" t="s">
        <v>145</v>
      </c>
      <c r="L17" s="117">
        <v>42579</v>
      </c>
      <c r="M17" s="91" t="s">
        <v>121</v>
      </c>
      <c r="N17" s="91" t="s">
        <v>9</v>
      </c>
      <c r="O17" s="117">
        <v>42649</v>
      </c>
      <c r="P17" s="93" t="s">
        <v>206</v>
      </c>
      <c r="Q17" s="94">
        <v>264</v>
      </c>
      <c r="R17" s="93" t="s">
        <v>99</v>
      </c>
      <c r="S17" s="122">
        <v>12573.88</v>
      </c>
      <c r="T17" s="91" t="s">
        <v>128</v>
      </c>
      <c r="U17" s="91" t="s">
        <v>105</v>
      </c>
      <c r="V17" s="125">
        <v>11.28</v>
      </c>
      <c r="W17" s="51">
        <v>1</v>
      </c>
      <c r="X17" s="127" t="s">
        <v>138</v>
      </c>
      <c r="Y17" s="51" t="s">
        <v>31</v>
      </c>
      <c r="Z17" s="120">
        <v>5.64</v>
      </c>
      <c r="AA17" s="120">
        <v>5.64</v>
      </c>
    </row>
    <row r="18" spans="1:27" x14ac:dyDescent="0.25">
      <c r="A18" s="51" t="s">
        <v>96</v>
      </c>
      <c r="B18" s="51" t="s">
        <v>96</v>
      </c>
      <c r="C18" s="91">
        <v>1960</v>
      </c>
      <c r="D18" s="91" t="s">
        <v>127</v>
      </c>
      <c r="E18" s="91" t="s">
        <v>20</v>
      </c>
      <c r="F18" s="91">
        <v>8243</v>
      </c>
      <c r="G18" s="91" t="s">
        <v>125</v>
      </c>
      <c r="H18" s="91" t="s">
        <v>14</v>
      </c>
      <c r="I18" s="134">
        <v>19600510066778</v>
      </c>
      <c r="J18" s="92" t="s">
        <v>52</v>
      </c>
      <c r="K18" s="92" t="s">
        <v>145</v>
      </c>
      <c r="L18" s="117">
        <v>42646</v>
      </c>
      <c r="M18" s="91" t="s">
        <v>98</v>
      </c>
      <c r="N18" s="91" t="s">
        <v>9</v>
      </c>
      <c r="O18" s="117">
        <v>42708</v>
      </c>
      <c r="P18" s="93" t="s">
        <v>261</v>
      </c>
      <c r="Q18" s="94">
        <v>205</v>
      </c>
      <c r="R18" s="93" t="s">
        <v>99</v>
      </c>
      <c r="S18" s="122">
        <v>28998.11</v>
      </c>
      <c r="T18" s="91" t="s">
        <v>128</v>
      </c>
      <c r="U18" s="91" t="s">
        <v>101</v>
      </c>
      <c r="V18" s="125">
        <v>26.01</v>
      </c>
      <c r="W18" s="51">
        <v>1</v>
      </c>
      <c r="X18" s="127" t="s">
        <v>135</v>
      </c>
      <c r="Y18" s="51" t="s">
        <v>30</v>
      </c>
      <c r="Z18" s="120">
        <v>26.01</v>
      </c>
      <c r="AA18" s="120">
        <v>0</v>
      </c>
    </row>
    <row r="19" spans="1:27" x14ac:dyDescent="0.25">
      <c r="A19" s="51" t="s">
        <v>96</v>
      </c>
      <c r="B19" s="51" t="s">
        <v>96</v>
      </c>
      <c r="C19" s="91">
        <v>1985</v>
      </c>
      <c r="D19" s="91" t="s">
        <v>129</v>
      </c>
      <c r="E19" s="91" t="s">
        <v>17</v>
      </c>
      <c r="F19" s="91">
        <v>260</v>
      </c>
      <c r="G19" s="91" t="s">
        <v>114</v>
      </c>
      <c r="H19" s="91" t="s">
        <v>17</v>
      </c>
      <c r="I19" s="134">
        <v>198504300000002</v>
      </c>
      <c r="J19" s="92" t="s">
        <v>52</v>
      </c>
      <c r="K19" s="92" t="s">
        <v>146</v>
      </c>
      <c r="L19" s="117">
        <v>42430</v>
      </c>
      <c r="M19" s="91" t="s">
        <v>117</v>
      </c>
      <c r="N19" s="91" t="s">
        <v>118</v>
      </c>
      <c r="O19" s="117">
        <v>42495</v>
      </c>
      <c r="P19" s="93" t="s">
        <v>207</v>
      </c>
      <c r="Q19" s="94">
        <v>418</v>
      </c>
      <c r="R19" s="93" t="s">
        <v>252</v>
      </c>
      <c r="S19" s="122">
        <v>35637.199999999997</v>
      </c>
      <c r="T19" s="91" t="s">
        <v>130</v>
      </c>
      <c r="U19" s="91" t="s">
        <v>105</v>
      </c>
      <c r="V19" s="125">
        <v>2.4500000000000002</v>
      </c>
      <c r="W19" s="51">
        <v>1</v>
      </c>
      <c r="X19" s="127" t="s">
        <v>13</v>
      </c>
      <c r="Y19" s="51" t="s">
        <v>31</v>
      </c>
      <c r="Z19" s="120">
        <v>1.2250000000000001</v>
      </c>
      <c r="AA19" s="120">
        <v>1.2250000000000001</v>
      </c>
    </row>
  </sheetData>
  <dataValidations disablePrompts="1" count="1">
    <dataValidation type="list" allowBlank="1" showInputMessage="1" showErrorMessage="1" sqref="R4">
      <formula1>#REF!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A6"/>
  <sheetViews>
    <sheetView showGridLines="0" workbookViewId="0">
      <pane xSplit="2" ySplit="1" topLeftCell="D2" activePane="bottomRight" state="frozen"/>
      <selection activeCell="I11" sqref="I11"/>
      <selection pane="topRight" activeCell="I11" sqref="I11"/>
      <selection pane="bottomLeft" activeCell="I11" sqref="I11"/>
      <selection pane="bottomRight"/>
    </sheetView>
  </sheetViews>
  <sheetFormatPr defaultRowHeight="15" outlineLevelCol="2" x14ac:dyDescent="0.25"/>
  <cols>
    <col min="1" max="1" width="11.140625" bestFit="1" customWidth="1"/>
    <col min="2" max="2" width="16.85546875" bestFit="1" customWidth="1"/>
    <col min="3" max="3" width="13.5703125" hidden="1" customWidth="1" outlineLevel="1"/>
    <col min="4" max="4" width="57.42578125" bestFit="1" customWidth="1" collapsed="1"/>
    <col min="5" max="5" width="21" bestFit="1" customWidth="1"/>
    <col min="6" max="6" width="11.28515625" hidden="1" customWidth="1" outlineLevel="1"/>
    <col min="7" max="7" width="57.42578125" bestFit="1" customWidth="1" collapsed="1"/>
    <col min="8" max="8" width="18.85546875" bestFit="1" customWidth="1"/>
    <col min="9" max="9" width="20.85546875" style="133" bestFit="1" customWidth="1"/>
    <col min="10" max="10" width="21.5703125" bestFit="1" customWidth="1"/>
    <col min="11" max="11" width="45.7109375" bestFit="1" customWidth="1"/>
    <col min="12" max="12" width="19.42578125" style="118" bestFit="1" customWidth="1"/>
    <col min="13" max="13" width="39.140625" bestFit="1" customWidth="1"/>
    <col min="14" max="14" width="32.5703125" bestFit="1" customWidth="1"/>
    <col min="15" max="15" width="15.85546875" hidden="1" customWidth="1" outlineLevel="1"/>
    <col min="16" max="16" width="16.5703125" hidden="1" customWidth="1" outlineLevel="1"/>
    <col min="17" max="17" width="9.140625" style="82" hidden="1" customWidth="1" outlineLevel="1"/>
    <col min="18" max="18" width="14.85546875" hidden="1" customWidth="1" outlineLevel="1"/>
    <col min="19" max="19" width="7.140625" hidden="1" customWidth="1" outlineLevel="1"/>
    <col min="20" max="20" width="10.28515625" hidden="1" customWidth="1" outlineLevel="1"/>
    <col min="21" max="21" width="8.7109375" hidden="1" customWidth="1" outlineLevel="1"/>
    <col min="22" max="22" width="8.28515625" style="126" customWidth="1" collapsed="1"/>
    <col min="23" max="23" width="11.5703125" hidden="1" customWidth="1" outlineLevel="1"/>
    <col min="24" max="24" width="11.85546875" hidden="1" customWidth="1" outlineLevel="2"/>
    <col min="25" max="25" width="23.85546875" bestFit="1" customWidth="1" collapsed="1"/>
    <col min="26" max="26" width="8.42578125" style="126" bestFit="1" customWidth="1"/>
    <col min="27" max="27" width="14.85546875" style="126" bestFit="1" customWidth="1"/>
  </cols>
  <sheetData>
    <row r="1" spans="1:27" ht="36" x14ac:dyDescent="0.25">
      <c r="A1" s="47" t="s">
        <v>96</v>
      </c>
      <c r="B1" s="47" t="s">
        <v>69</v>
      </c>
      <c r="C1" s="48" t="s">
        <v>70</v>
      </c>
      <c r="D1" s="48" t="s">
        <v>71</v>
      </c>
      <c r="E1" s="48" t="s">
        <v>73</v>
      </c>
      <c r="F1" s="48" t="s">
        <v>74</v>
      </c>
      <c r="G1" s="48" t="s">
        <v>75</v>
      </c>
      <c r="H1" s="48" t="s">
        <v>77</v>
      </c>
      <c r="I1" s="131" t="s">
        <v>78</v>
      </c>
      <c r="J1" s="47" t="s">
        <v>29</v>
      </c>
      <c r="K1" s="47" t="s">
        <v>79</v>
      </c>
      <c r="L1" s="116" t="s">
        <v>81</v>
      </c>
      <c r="M1" s="48" t="s">
        <v>82</v>
      </c>
      <c r="N1" s="48" t="s">
        <v>83</v>
      </c>
      <c r="O1" s="48" t="s">
        <v>84</v>
      </c>
      <c r="P1" s="48" t="s">
        <v>85</v>
      </c>
      <c r="Q1" s="50" t="s">
        <v>86</v>
      </c>
      <c r="R1" s="48" t="s">
        <v>87</v>
      </c>
      <c r="S1" s="48" t="s">
        <v>88</v>
      </c>
      <c r="T1" s="48" t="s">
        <v>89</v>
      </c>
      <c r="U1" s="48" t="s">
        <v>90</v>
      </c>
      <c r="V1" s="124" t="s">
        <v>91</v>
      </c>
      <c r="W1" s="48" t="s">
        <v>92</v>
      </c>
      <c r="X1" s="47" t="s">
        <v>93</v>
      </c>
      <c r="Y1" s="47" t="s">
        <v>65</v>
      </c>
      <c r="Z1" s="130" t="s">
        <v>94</v>
      </c>
      <c r="AA1" s="130" t="s">
        <v>95</v>
      </c>
    </row>
    <row r="2" spans="1:27" ht="15" customHeight="1" x14ac:dyDescent="0.25">
      <c r="A2" s="51" t="s">
        <v>96</v>
      </c>
      <c r="B2" s="51" t="s">
        <v>96</v>
      </c>
      <c r="C2" s="91">
        <v>413</v>
      </c>
      <c r="D2" s="91" t="s">
        <v>188</v>
      </c>
      <c r="E2" s="91" t="s">
        <v>22</v>
      </c>
      <c r="F2" s="91">
        <v>1350</v>
      </c>
      <c r="G2" s="91" t="s">
        <v>115</v>
      </c>
      <c r="H2" s="91" t="s">
        <v>19</v>
      </c>
      <c r="I2" s="134">
        <v>4130110158156</v>
      </c>
      <c r="J2" s="92" t="s">
        <v>39</v>
      </c>
      <c r="K2" s="92" t="s">
        <v>218</v>
      </c>
      <c r="L2" s="117">
        <v>42642</v>
      </c>
      <c r="M2" s="91" t="s">
        <v>117</v>
      </c>
      <c r="N2" s="91" t="s">
        <v>118</v>
      </c>
      <c r="O2" s="93">
        <v>42706</v>
      </c>
      <c r="P2" s="93" t="s">
        <v>261</v>
      </c>
      <c r="Q2" s="94">
        <v>207</v>
      </c>
      <c r="R2" s="93" t="s">
        <v>99</v>
      </c>
      <c r="S2" s="91">
        <v>27968</v>
      </c>
      <c r="T2" s="91" t="s">
        <v>100</v>
      </c>
      <c r="U2" s="91" t="s">
        <v>101</v>
      </c>
      <c r="V2" s="125">
        <v>27.97</v>
      </c>
      <c r="W2" s="51">
        <v>1</v>
      </c>
      <c r="X2" s="51" t="s">
        <v>13</v>
      </c>
      <c r="Y2" s="51" t="s">
        <v>31</v>
      </c>
      <c r="Z2" s="129">
        <v>13.984999999999999</v>
      </c>
      <c r="AA2" s="129">
        <v>13.984999999999999</v>
      </c>
    </row>
    <row r="3" spans="1:27" s="135" customFormat="1" ht="15" customHeight="1" x14ac:dyDescent="0.25">
      <c r="A3" s="51" t="s">
        <v>102</v>
      </c>
      <c r="B3" s="51" t="s">
        <v>466</v>
      </c>
      <c r="C3" s="91">
        <v>413</v>
      </c>
      <c r="D3" s="91" t="s">
        <v>188</v>
      </c>
      <c r="E3" s="91" t="s">
        <v>22</v>
      </c>
      <c r="F3" s="91">
        <v>1350</v>
      </c>
      <c r="G3" s="91" t="s">
        <v>115</v>
      </c>
      <c r="H3" s="91" t="s">
        <v>19</v>
      </c>
      <c r="I3" s="134">
        <v>4130110158423</v>
      </c>
      <c r="J3" s="92" t="s">
        <v>39</v>
      </c>
      <c r="K3" s="92" t="s">
        <v>218</v>
      </c>
      <c r="L3" s="117">
        <v>42642</v>
      </c>
      <c r="M3" s="91" t="s">
        <v>117</v>
      </c>
      <c r="N3" s="91" t="s">
        <v>118</v>
      </c>
      <c r="O3" s="93">
        <v>42706</v>
      </c>
      <c r="P3" s="93" t="s">
        <v>261</v>
      </c>
      <c r="Q3" s="94">
        <v>207</v>
      </c>
      <c r="R3" s="93" t="s">
        <v>99</v>
      </c>
      <c r="S3" s="91">
        <v>11440</v>
      </c>
      <c r="T3" s="91" t="s">
        <v>100</v>
      </c>
      <c r="U3" s="91" t="s">
        <v>101</v>
      </c>
      <c r="V3" s="125">
        <v>11.44</v>
      </c>
      <c r="W3" s="51">
        <v>1</v>
      </c>
      <c r="X3" s="51" t="s">
        <v>13</v>
      </c>
      <c r="Y3" s="51" t="s">
        <v>31</v>
      </c>
      <c r="Z3" s="129">
        <v>5.72</v>
      </c>
      <c r="AA3" s="129">
        <v>5.72</v>
      </c>
    </row>
    <row r="4" spans="1:27" ht="15" customHeight="1" x14ac:dyDescent="0.25">
      <c r="A4" s="51" t="s">
        <v>102</v>
      </c>
      <c r="B4" s="51" t="s">
        <v>466</v>
      </c>
      <c r="C4" s="91">
        <v>429</v>
      </c>
      <c r="D4" s="91" t="s">
        <v>231</v>
      </c>
      <c r="E4" s="91" t="s">
        <v>22</v>
      </c>
      <c r="F4" s="91">
        <v>1350</v>
      </c>
      <c r="G4" s="91" t="s">
        <v>115</v>
      </c>
      <c r="H4" s="91" t="s">
        <v>19</v>
      </c>
      <c r="I4" s="134">
        <v>80802767</v>
      </c>
      <c r="J4" s="92" t="s">
        <v>58</v>
      </c>
      <c r="K4" s="92" t="s">
        <v>266</v>
      </c>
      <c r="L4" s="117">
        <v>42647</v>
      </c>
      <c r="M4" s="91" t="s">
        <v>98</v>
      </c>
      <c r="N4" s="91" t="s">
        <v>9</v>
      </c>
      <c r="O4" s="93">
        <v>42706</v>
      </c>
      <c r="P4" s="93" t="s">
        <v>261</v>
      </c>
      <c r="Q4" s="94">
        <v>207</v>
      </c>
      <c r="R4" s="93" t="s">
        <v>99</v>
      </c>
      <c r="S4" s="91">
        <v>17600</v>
      </c>
      <c r="T4" s="91" t="s">
        <v>100</v>
      </c>
      <c r="U4" s="91" t="s">
        <v>101</v>
      </c>
      <c r="V4" s="125">
        <v>17.600000000000001</v>
      </c>
      <c r="W4" s="51">
        <v>1</v>
      </c>
      <c r="X4" s="51" t="s">
        <v>135</v>
      </c>
      <c r="Y4" s="51" t="s">
        <v>30</v>
      </c>
      <c r="Z4" s="129">
        <v>17.600000000000001</v>
      </c>
      <c r="AA4" s="129">
        <v>0</v>
      </c>
    </row>
    <row r="5" spans="1:27" ht="15" customHeight="1" x14ac:dyDescent="0.25">
      <c r="A5" s="51" t="s">
        <v>102</v>
      </c>
      <c r="B5" s="51" t="s">
        <v>466</v>
      </c>
      <c r="C5" s="91">
        <v>429</v>
      </c>
      <c r="D5" s="91" t="s">
        <v>231</v>
      </c>
      <c r="E5" s="91" t="s">
        <v>22</v>
      </c>
      <c r="F5" s="91">
        <v>1350</v>
      </c>
      <c r="G5" s="91" t="s">
        <v>115</v>
      </c>
      <c r="H5" s="91" t="s">
        <v>19</v>
      </c>
      <c r="I5" s="134">
        <v>80802790</v>
      </c>
      <c r="J5" s="92" t="s">
        <v>58</v>
      </c>
      <c r="K5" s="92" t="s">
        <v>266</v>
      </c>
      <c r="L5" s="117">
        <v>42647</v>
      </c>
      <c r="M5" s="91" t="s">
        <v>98</v>
      </c>
      <c r="N5" s="91" t="s">
        <v>9</v>
      </c>
      <c r="O5" s="93">
        <v>42706</v>
      </c>
      <c r="P5" s="93" t="s">
        <v>261</v>
      </c>
      <c r="Q5" s="94">
        <v>207</v>
      </c>
      <c r="R5" s="93" t="s">
        <v>99</v>
      </c>
      <c r="S5" s="91">
        <v>12800</v>
      </c>
      <c r="T5" s="91" t="s">
        <v>100</v>
      </c>
      <c r="U5" s="91" t="s">
        <v>101</v>
      </c>
      <c r="V5" s="125">
        <v>12.8</v>
      </c>
      <c r="W5" s="51">
        <v>1</v>
      </c>
      <c r="X5" s="51" t="s">
        <v>135</v>
      </c>
      <c r="Y5" s="51" t="s">
        <v>30</v>
      </c>
      <c r="Z5" s="129">
        <v>12.8</v>
      </c>
      <c r="AA5" s="129">
        <v>0</v>
      </c>
    </row>
    <row r="6" spans="1:27" ht="15" customHeight="1" x14ac:dyDescent="0.25">
      <c r="A6" s="51" t="s">
        <v>102</v>
      </c>
      <c r="B6" s="51" t="s">
        <v>466</v>
      </c>
      <c r="C6" s="91">
        <v>429</v>
      </c>
      <c r="D6" s="91" t="s">
        <v>231</v>
      </c>
      <c r="E6" s="91" t="s">
        <v>22</v>
      </c>
      <c r="F6" s="91">
        <v>1350</v>
      </c>
      <c r="G6" s="91" t="s">
        <v>115</v>
      </c>
      <c r="H6" s="91" t="s">
        <v>19</v>
      </c>
      <c r="I6" s="134">
        <v>80802867</v>
      </c>
      <c r="J6" s="92" t="s">
        <v>58</v>
      </c>
      <c r="K6" s="92" t="s">
        <v>266</v>
      </c>
      <c r="L6" s="117">
        <v>42647</v>
      </c>
      <c r="M6" s="91" t="s">
        <v>98</v>
      </c>
      <c r="N6" s="91" t="s">
        <v>9</v>
      </c>
      <c r="O6" s="93">
        <v>42706</v>
      </c>
      <c r="P6" s="93" t="s">
        <v>261</v>
      </c>
      <c r="Q6" s="94">
        <v>207</v>
      </c>
      <c r="R6" s="93" t="s">
        <v>99</v>
      </c>
      <c r="S6" s="91">
        <v>18400</v>
      </c>
      <c r="T6" s="91" t="s">
        <v>100</v>
      </c>
      <c r="U6" s="91" t="s">
        <v>101</v>
      </c>
      <c r="V6" s="125">
        <v>18.399999999999999</v>
      </c>
      <c r="W6" s="51">
        <v>1</v>
      </c>
      <c r="X6" s="51" t="s">
        <v>135</v>
      </c>
      <c r="Y6" s="51" t="s">
        <v>30</v>
      </c>
      <c r="Z6" s="129">
        <v>18.399999999999999</v>
      </c>
      <c r="AA6" s="129">
        <v>0</v>
      </c>
    </row>
  </sheetData>
  <dataValidations count="1">
    <dataValidation type="list" allowBlank="1" showInputMessage="1" showErrorMessage="1" sqref="R2:R6">
      <formula1>#REF!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A6"/>
  <sheetViews>
    <sheetView showGridLines="0" workbookViewId="0">
      <pane xSplit="2" ySplit="1" topLeftCell="D2" activePane="bottomRight" state="frozen"/>
      <selection activeCell="D2" sqref="D2"/>
      <selection pane="topRight" activeCell="D2" sqref="D2"/>
      <selection pane="bottomLeft" activeCell="D2" sqref="D2"/>
      <selection pane="bottomRight"/>
    </sheetView>
  </sheetViews>
  <sheetFormatPr defaultRowHeight="15" outlineLevelCol="2" x14ac:dyDescent="0.25"/>
  <cols>
    <col min="1" max="1" width="11.140625" bestFit="1" customWidth="1"/>
    <col min="2" max="2" width="16.85546875" bestFit="1" customWidth="1"/>
    <col min="3" max="3" width="13.5703125" hidden="1" customWidth="1" outlineLevel="1"/>
    <col min="4" max="4" width="57.42578125" bestFit="1" customWidth="1" collapsed="1"/>
    <col min="5" max="5" width="21" bestFit="1" customWidth="1"/>
    <col min="6" max="6" width="11.28515625" hidden="1" customWidth="1" outlineLevel="1"/>
    <col min="7" max="7" width="57.42578125" bestFit="1" customWidth="1" collapsed="1"/>
    <col min="8" max="8" width="18.85546875" bestFit="1" customWidth="1"/>
    <col min="9" max="9" width="20.85546875" style="133" bestFit="1" customWidth="1"/>
    <col min="10" max="10" width="21.5703125" bestFit="1" customWidth="1"/>
    <col min="11" max="11" width="45.7109375" bestFit="1" customWidth="1"/>
    <col min="12" max="12" width="19.42578125" style="118" bestFit="1" customWidth="1"/>
    <col min="13" max="13" width="39.140625" bestFit="1" customWidth="1"/>
    <col min="14" max="14" width="32.5703125" bestFit="1" customWidth="1"/>
    <col min="15" max="15" width="15.85546875" hidden="1" customWidth="1" outlineLevel="1"/>
    <col min="16" max="16" width="16.5703125" hidden="1" customWidth="1" outlineLevel="1"/>
    <col min="17" max="17" width="9.140625" style="82" hidden="1" customWidth="1" outlineLevel="1"/>
    <col min="18" max="18" width="14.85546875" hidden="1" customWidth="1" outlineLevel="1"/>
    <col min="19" max="19" width="7.140625" hidden="1" customWidth="1" outlineLevel="1"/>
    <col min="20" max="20" width="10.28515625" hidden="1" customWidth="1" outlineLevel="1"/>
    <col min="21" max="21" width="8.7109375" hidden="1" customWidth="1" outlineLevel="1"/>
    <col min="22" max="22" width="8.28515625" style="126" customWidth="1" collapsed="1"/>
    <col min="23" max="23" width="11.5703125" hidden="1" customWidth="1" outlineLevel="1"/>
    <col min="24" max="24" width="11.85546875" hidden="1" customWidth="1" outlineLevel="2"/>
    <col min="25" max="25" width="23.85546875" bestFit="1" customWidth="1" collapsed="1"/>
    <col min="26" max="26" width="8.42578125" style="126" bestFit="1" customWidth="1"/>
    <col min="27" max="27" width="14.85546875" style="126" bestFit="1" customWidth="1"/>
  </cols>
  <sheetData>
    <row r="1" spans="1:27" ht="36" x14ac:dyDescent="0.25">
      <c r="A1" s="47" t="s">
        <v>96</v>
      </c>
      <c r="B1" s="47" t="s">
        <v>69</v>
      </c>
      <c r="C1" s="48" t="s">
        <v>70</v>
      </c>
      <c r="D1" s="48" t="s">
        <v>71</v>
      </c>
      <c r="E1" s="48" t="s">
        <v>73</v>
      </c>
      <c r="F1" s="48" t="s">
        <v>74</v>
      </c>
      <c r="G1" s="48" t="s">
        <v>75</v>
      </c>
      <c r="H1" s="48" t="s">
        <v>77</v>
      </c>
      <c r="I1" s="131" t="s">
        <v>78</v>
      </c>
      <c r="J1" s="47" t="s">
        <v>29</v>
      </c>
      <c r="K1" s="47" t="s">
        <v>79</v>
      </c>
      <c r="L1" s="116" t="s">
        <v>81</v>
      </c>
      <c r="M1" s="48" t="s">
        <v>82</v>
      </c>
      <c r="N1" s="48" t="s">
        <v>83</v>
      </c>
      <c r="O1" s="48" t="s">
        <v>84</v>
      </c>
      <c r="P1" s="48" t="s">
        <v>85</v>
      </c>
      <c r="Q1" s="50" t="s">
        <v>86</v>
      </c>
      <c r="R1" s="48" t="s">
        <v>87</v>
      </c>
      <c r="S1" s="48" t="s">
        <v>88</v>
      </c>
      <c r="T1" s="48" t="s">
        <v>89</v>
      </c>
      <c r="U1" s="48" t="s">
        <v>90</v>
      </c>
      <c r="V1" s="124" t="s">
        <v>91</v>
      </c>
      <c r="W1" s="48" t="s">
        <v>92</v>
      </c>
      <c r="X1" s="47" t="s">
        <v>93</v>
      </c>
      <c r="Y1" s="47" t="s">
        <v>65</v>
      </c>
      <c r="Z1" s="130" t="s">
        <v>94</v>
      </c>
      <c r="AA1" s="130" t="s">
        <v>95</v>
      </c>
    </row>
    <row r="2" spans="1:27" ht="15" customHeight="1" x14ac:dyDescent="0.25">
      <c r="A2" s="51" t="s">
        <v>96</v>
      </c>
      <c r="B2" s="51" t="s">
        <v>96</v>
      </c>
      <c r="C2" s="91">
        <v>8243</v>
      </c>
      <c r="D2" s="91" t="s">
        <v>125</v>
      </c>
      <c r="E2" s="91" t="s">
        <v>14</v>
      </c>
      <c r="F2" s="91">
        <v>95</v>
      </c>
      <c r="G2" s="91" t="s">
        <v>110</v>
      </c>
      <c r="H2" s="91" t="s">
        <v>18</v>
      </c>
      <c r="I2" s="134">
        <v>82430169003337</v>
      </c>
      <c r="J2" s="92" t="s">
        <v>56</v>
      </c>
      <c r="K2" s="92" t="s">
        <v>461</v>
      </c>
      <c r="L2" s="117">
        <v>42677</v>
      </c>
      <c r="M2" s="91" t="s">
        <v>122</v>
      </c>
      <c r="N2" s="91" t="s">
        <v>9</v>
      </c>
      <c r="O2" s="93">
        <v>42732</v>
      </c>
      <c r="P2" s="93" t="s">
        <v>261</v>
      </c>
      <c r="Q2" s="94">
        <v>181</v>
      </c>
      <c r="R2" s="93" t="s">
        <v>99</v>
      </c>
      <c r="S2" s="91">
        <v>18840</v>
      </c>
      <c r="T2" s="91" t="s">
        <v>100</v>
      </c>
      <c r="U2" s="91" t="s">
        <v>101</v>
      </c>
      <c r="V2" s="125">
        <v>18.84</v>
      </c>
      <c r="W2" s="51">
        <v>1</v>
      </c>
      <c r="X2" s="51" t="s">
        <v>140</v>
      </c>
      <c r="Y2" s="51" t="s">
        <v>31</v>
      </c>
      <c r="Z2" s="129">
        <v>9.42</v>
      </c>
      <c r="AA2" s="129">
        <v>9.42</v>
      </c>
    </row>
    <row r="3" spans="1:27" s="135" customFormat="1" ht="15" customHeight="1" x14ac:dyDescent="0.25">
      <c r="A3" s="51"/>
      <c r="B3" s="51"/>
      <c r="C3" s="91"/>
      <c r="D3" s="91"/>
      <c r="E3" s="91"/>
      <c r="F3" s="91"/>
      <c r="G3" s="91"/>
      <c r="H3" s="91"/>
      <c r="I3" s="134"/>
      <c r="J3" s="92"/>
      <c r="K3" s="92"/>
      <c r="L3" s="117"/>
      <c r="M3" s="91"/>
      <c r="N3" s="91"/>
      <c r="O3" s="93"/>
      <c r="P3" s="93"/>
      <c r="Q3" s="94"/>
      <c r="R3" s="93"/>
      <c r="S3" s="91"/>
      <c r="T3" s="91"/>
      <c r="U3" s="91"/>
      <c r="V3" s="125"/>
      <c r="W3" s="51"/>
      <c r="X3" s="51"/>
      <c r="Y3" s="51"/>
      <c r="Z3" s="129"/>
      <c r="AA3" s="129"/>
    </row>
    <row r="4" spans="1:27" ht="15" customHeight="1" x14ac:dyDescent="0.25">
      <c r="A4" s="51" t="s">
        <v>102</v>
      </c>
      <c r="B4" s="51" t="s">
        <v>466</v>
      </c>
      <c r="C4" s="91">
        <v>8310</v>
      </c>
      <c r="D4" s="91" t="s">
        <v>112</v>
      </c>
      <c r="E4" s="91" t="s">
        <v>14</v>
      </c>
      <c r="F4" s="91">
        <v>199</v>
      </c>
      <c r="G4" s="91" t="s">
        <v>124</v>
      </c>
      <c r="H4" s="91" t="s">
        <v>20</v>
      </c>
      <c r="I4" s="134" t="s">
        <v>239</v>
      </c>
      <c r="J4" s="92" t="s">
        <v>47</v>
      </c>
      <c r="K4" s="92" t="s">
        <v>250</v>
      </c>
      <c r="L4" s="117">
        <v>42584</v>
      </c>
      <c r="M4" s="91" t="s">
        <v>98</v>
      </c>
      <c r="N4" s="91" t="s">
        <v>9</v>
      </c>
      <c r="O4" s="93">
        <v>42647</v>
      </c>
      <c r="P4" s="93" t="s">
        <v>206</v>
      </c>
      <c r="Q4" s="94">
        <v>266</v>
      </c>
      <c r="R4" s="93" t="s">
        <v>99</v>
      </c>
      <c r="S4" s="91">
        <v>4409</v>
      </c>
      <c r="T4" s="91" t="s">
        <v>209</v>
      </c>
      <c r="U4" s="91" t="s">
        <v>101</v>
      </c>
      <c r="V4" s="125">
        <v>1.04</v>
      </c>
      <c r="W4" s="51">
        <v>1</v>
      </c>
      <c r="X4" s="51" t="s">
        <v>135</v>
      </c>
      <c r="Y4" s="51" t="s">
        <v>30</v>
      </c>
      <c r="Z4" s="129">
        <v>1.04</v>
      </c>
      <c r="AA4" s="129">
        <v>0</v>
      </c>
    </row>
    <row r="5" spans="1:27" s="135" customFormat="1" ht="15" customHeight="1" x14ac:dyDescent="0.25">
      <c r="A5" s="51" t="s">
        <v>102</v>
      </c>
      <c r="B5" s="51" t="s">
        <v>466</v>
      </c>
      <c r="C5" s="91">
        <v>8310</v>
      </c>
      <c r="D5" s="91" t="s">
        <v>112</v>
      </c>
      <c r="E5" s="91" t="s">
        <v>14</v>
      </c>
      <c r="F5" s="91">
        <v>199</v>
      </c>
      <c r="G5" s="91" t="s">
        <v>124</v>
      </c>
      <c r="H5" s="91" t="s">
        <v>20</v>
      </c>
      <c r="I5" s="134" t="s">
        <v>463</v>
      </c>
      <c r="J5" s="92" t="s">
        <v>37</v>
      </c>
      <c r="K5" s="92" t="s">
        <v>175</v>
      </c>
      <c r="L5" s="117">
        <v>42647</v>
      </c>
      <c r="M5" s="91" t="s">
        <v>109</v>
      </c>
      <c r="N5" s="91" t="s">
        <v>10</v>
      </c>
      <c r="O5" s="93">
        <v>42732</v>
      </c>
      <c r="P5" s="93" t="s">
        <v>261</v>
      </c>
      <c r="Q5" s="94">
        <v>181</v>
      </c>
      <c r="R5" s="93" t="s">
        <v>99</v>
      </c>
      <c r="S5" s="91">
        <v>33218.199999999997</v>
      </c>
      <c r="T5" s="91" t="s">
        <v>209</v>
      </c>
      <c r="U5" s="91" t="s">
        <v>101</v>
      </c>
      <c r="V5" s="125">
        <v>7.84</v>
      </c>
      <c r="W5" s="51">
        <v>1</v>
      </c>
      <c r="X5" s="51" t="s">
        <v>133</v>
      </c>
      <c r="Y5" s="51" t="s">
        <v>32</v>
      </c>
      <c r="Z5" s="129">
        <v>1.96</v>
      </c>
      <c r="AA5" s="129">
        <v>5.88</v>
      </c>
    </row>
    <row r="6" spans="1:27" ht="15" customHeight="1" x14ac:dyDescent="0.25">
      <c r="A6" s="51" t="s">
        <v>102</v>
      </c>
      <c r="B6" s="51" t="s">
        <v>466</v>
      </c>
      <c r="C6" s="91">
        <v>8310</v>
      </c>
      <c r="D6" s="91" t="s">
        <v>112</v>
      </c>
      <c r="E6" s="91" t="s">
        <v>14</v>
      </c>
      <c r="F6" s="91">
        <v>199</v>
      </c>
      <c r="G6" s="91" t="s">
        <v>124</v>
      </c>
      <c r="H6" s="91" t="s">
        <v>20</v>
      </c>
      <c r="I6" s="134" t="s">
        <v>464</v>
      </c>
      <c r="J6" s="92" t="s">
        <v>37</v>
      </c>
      <c r="K6" s="92" t="s">
        <v>175</v>
      </c>
      <c r="L6" s="117">
        <v>42647</v>
      </c>
      <c r="M6" s="91" t="s">
        <v>109</v>
      </c>
      <c r="N6" s="91" t="s">
        <v>10</v>
      </c>
      <c r="O6" s="93">
        <v>42732</v>
      </c>
      <c r="P6" s="93" t="s">
        <v>261</v>
      </c>
      <c r="Q6" s="94">
        <v>181</v>
      </c>
      <c r="R6" s="93" t="s">
        <v>99</v>
      </c>
      <c r="S6" s="91">
        <v>10264</v>
      </c>
      <c r="T6" s="91" t="s">
        <v>209</v>
      </c>
      <c r="U6" s="91" t="s">
        <v>101</v>
      </c>
      <c r="V6" s="125">
        <v>2.42</v>
      </c>
      <c r="W6" s="51">
        <v>1</v>
      </c>
      <c r="X6" s="51" t="s">
        <v>133</v>
      </c>
      <c r="Y6" s="51" t="s">
        <v>32</v>
      </c>
      <c r="Z6" s="129">
        <v>0.60499999999999998</v>
      </c>
      <c r="AA6" s="129">
        <v>1.8149999999999999</v>
      </c>
    </row>
  </sheetData>
  <dataValidations count="1">
    <dataValidation type="list" allowBlank="1" showInputMessage="1" showErrorMessage="1" sqref="R2:R5">
      <formula1>#REF!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A6"/>
  <sheetViews>
    <sheetView showGridLines="0" workbookViewId="0">
      <pane xSplit="2" ySplit="1" topLeftCell="D2" activePane="bottomRight" state="frozen"/>
      <selection activeCell="D2" sqref="D2"/>
      <selection pane="topRight" activeCell="D2" sqref="D2"/>
      <selection pane="bottomLeft" activeCell="D2" sqref="D2"/>
      <selection pane="bottomRight"/>
    </sheetView>
  </sheetViews>
  <sheetFormatPr defaultRowHeight="15" outlineLevelCol="2" x14ac:dyDescent="0.25"/>
  <cols>
    <col min="1" max="1" width="11.140625" style="135" bestFit="1" customWidth="1"/>
    <col min="2" max="2" width="16.85546875" style="135" bestFit="1" customWidth="1"/>
    <col min="3" max="3" width="13.5703125" style="135" hidden="1" customWidth="1" outlineLevel="1"/>
    <col min="4" max="4" width="57.42578125" style="135" bestFit="1" customWidth="1" collapsed="1"/>
    <col min="5" max="5" width="21" style="135" bestFit="1" customWidth="1"/>
    <col min="6" max="6" width="11.28515625" style="135" hidden="1" customWidth="1" outlineLevel="1"/>
    <col min="7" max="7" width="57.42578125" style="135" bestFit="1" customWidth="1" collapsed="1"/>
    <col min="8" max="8" width="18.85546875" style="135" bestFit="1" customWidth="1"/>
    <col min="9" max="9" width="20.85546875" style="133" bestFit="1" customWidth="1"/>
    <col min="10" max="10" width="21.5703125" style="135" bestFit="1" customWidth="1"/>
    <col min="11" max="11" width="45.7109375" style="135" bestFit="1" customWidth="1"/>
    <col min="12" max="12" width="19.42578125" style="118" bestFit="1" customWidth="1"/>
    <col min="13" max="13" width="39.140625" style="135" bestFit="1" customWidth="1"/>
    <col min="14" max="14" width="32.5703125" style="135" bestFit="1" customWidth="1"/>
    <col min="15" max="15" width="15.85546875" style="135" hidden="1" customWidth="1" outlineLevel="1"/>
    <col min="16" max="16" width="16.5703125" style="135" hidden="1" customWidth="1" outlineLevel="1"/>
    <col min="17" max="17" width="9.140625" style="82" hidden="1" customWidth="1" outlineLevel="1"/>
    <col min="18" max="18" width="14.85546875" style="135" hidden="1" customWidth="1" outlineLevel="1"/>
    <col min="19" max="19" width="7.140625" style="135" hidden="1" customWidth="1" outlineLevel="1"/>
    <col min="20" max="20" width="10.28515625" style="135" hidden="1" customWidth="1" outlineLevel="1"/>
    <col min="21" max="21" width="8.7109375" style="135" hidden="1" customWidth="1" outlineLevel="1"/>
    <col min="22" max="22" width="8.28515625" style="126" customWidth="1" collapsed="1"/>
    <col min="23" max="23" width="11.5703125" style="135" hidden="1" customWidth="1" outlineLevel="1"/>
    <col min="24" max="24" width="11.85546875" style="135" hidden="1" customWidth="1" outlineLevel="2"/>
    <col min="25" max="25" width="23.85546875" style="135" bestFit="1" customWidth="1" collapsed="1"/>
    <col min="26" max="26" width="8.42578125" style="126" bestFit="1" customWidth="1"/>
    <col min="27" max="27" width="14.85546875" style="126" bestFit="1" customWidth="1"/>
    <col min="28" max="16384" width="9.140625" style="135"/>
  </cols>
  <sheetData>
    <row r="1" spans="1:27" ht="36" x14ac:dyDescent="0.25">
      <c r="A1" s="47" t="s">
        <v>96</v>
      </c>
      <c r="B1" s="47" t="s">
        <v>69</v>
      </c>
      <c r="C1" s="48" t="s">
        <v>70</v>
      </c>
      <c r="D1" s="48" t="s">
        <v>71</v>
      </c>
      <c r="E1" s="48" t="s">
        <v>73</v>
      </c>
      <c r="F1" s="48" t="s">
        <v>74</v>
      </c>
      <c r="G1" s="48" t="s">
        <v>75</v>
      </c>
      <c r="H1" s="48" t="s">
        <v>77</v>
      </c>
      <c r="I1" s="131" t="s">
        <v>78</v>
      </c>
      <c r="J1" s="47" t="s">
        <v>29</v>
      </c>
      <c r="K1" s="47" t="s">
        <v>79</v>
      </c>
      <c r="L1" s="116" t="s">
        <v>81</v>
      </c>
      <c r="M1" s="48" t="s">
        <v>82</v>
      </c>
      <c r="N1" s="48" t="s">
        <v>83</v>
      </c>
      <c r="O1" s="48" t="s">
        <v>84</v>
      </c>
      <c r="P1" s="48" t="s">
        <v>85</v>
      </c>
      <c r="Q1" s="50" t="s">
        <v>86</v>
      </c>
      <c r="R1" s="48" t="s">
        <v>87</v>
      </c>
      <c r="S1" s="48" t="s">
        <v>88</v>
      </c>
      <c r="T1" s="48" t="s">
        <v>89</v>
      </c>
      <c r="U1" s="48" t="s">
        <v>90</v>
      </c>
      <c r="V1" s="124" t="s">
        <v>91</v>
      </c>
      <c r="W1" s="48" t="s">
        <v>92</v>
      </c>
      <c r="X1" s="47" t="s">
        <v>93</v>
      </c>
      <c r="Y1" s="47" t="s">
        <v>65</v>
      </c>
      <c r="Z1" s="130" t="s">
        <v>94</v>
      </c>
      <c r="AA1" s="130" t="s">
        <v>95</v>
      </c>
    </row>
    <row r="2" spans="1:27" ht="15" customHeight="1" x14ac:dyDescent="0.25">
      <c r="A2" s="51" t="s">
        <v>102</v>
      </c>
      <c r="B2" s="51" t="s">
        <v>466</v>
      </c>
      <c r="C2" s="91">
        <v>3019</v>
      </c>
      <c r="D2" s="91" t="s">
        <v>267</v>
      </c>
      <c r="E2" s="91" t="s">
        <v>21</v>
      </c>
      <c r="F2" s="91">
        <v>8113</v>
      </c>
      <c r="G2" s="91" t="s">
        <v>268</v>
      </c>
      <c r="H2" s="91" t="s">
        <v>20</v>
      </c>
      <c r="I2" s="134">
        <v>30190110007798</v>
      </c>
      <c r="J2" s="92" t="s">
        <v>58</v>
      </c>
      <c r="K2" s="92" t="s">
        <v>198</v>
      </c>
      <c r="L2" s="117">
        <v>42697</v>
      </c>
      <c r="M2" s="91" t="s">
        <v>98</v>
      </c>
      <c r="N2" s="91" t="s">
        <v>9</v>
      </c>
      <c r="O2" s="93">
        <v>42706</v>
      </c>
      <c r="P2" s="93" t="s">
        <v>261</v>
      </c>
      <c r="Q2" s="94">
        <v>207</v>
      </c>
      <c r="R2" s="93" t="s">
        <v>99</v>
      </c>
      <c r="S2" s="91">
        <v>4363.16</v>
      </c>
      <c r="T2" s="91" t="s">
        <v>100</v>
      </c>
      <c r="U2" s="91" t="s">
        <v>101</v>
      </c>
      <c r="V2" s="125">
        <v>4.3600000000000003</v>
      </c>
      <c r="W2" s="51">
        <v>1</v>
      </c>
      <c r="X2" s="51" t="s">
        <v>135</v>
      </c>
      <c r="Y2" s="51" t="s">
        <v>30</v>
      </c>
      <c r="Z2" s="129">
        <v>4.3600000000000003</v>
      </c>
      <c r="AA2" s="129">
        <v>0</v>
      </c>
    </row>
    <row r="3" spans="1:27" ht="15" customHeight="1" x14ac:dyDescent="0.25">
      <c r="A3" s="51"/>
      <c r="B3" s="51"/>
      <c r="C3" s="91"/>
      <c r="D3" s="91"/>
      <c r="E3" s="91"/>
      <c r="F3" s="91"/>
      <c r="G3" s="91"/>
      <c r="H3" s="91"/>
      <c r="I3" s="134"/>
      <c r="J3" s="92"/>
      <c r="K3" s="92"/>
      <c r="L3" s="117"/>
      <c r="M3" s="91"/>
      <c r="N3" s="91"/>
      <c r="O3" s="93"/>
      <c r="P3" s="93"/>
      <c r="Q3" s="94"/>
      <c r="R3" s="93"/>
      <c r="S3" s="91"/>
      <c r="T3" s="91"/>
      <c r="U3" s="91"/>
      <c r="V3" s="125"/>
      <c r="W3" s="51"/>
      <c r="X3" s="51"/>
      <c r="Y3" s="51"/>
      <c r="Z3" s="129"/>
      <c r="AA3" s="129"/>
    </row>
    <row r="4" spans="1:27" ht="15" customHeight="1" x14ac:dyDescent="0.25">
      <c r="A4" s="51" t="s">
        <v>102</v>
      </c>
      <c r="B4" s="51" t="s">
        <v>466</v>
      </c>
      <c r="C4" s="91">
        <v>635</v>
      </c>
      <c r="D4" s="91" t="s">
        <v>187</v>
      </c>
      <c r="E4" s="91" t="s">
        <v>21</v>
      </c>
      <c r="F4" s="91">
        <v>1350</v>
      </c>
      <c r="G4" s="91" t="s">
        <v>115</v>
      </c>
      <c r="H4" s="91" t="s">
        <v>19</v>
      </c>
      <c r="I4" s="134">
        <v>63503300004708</v>
      </c>
      <c r="J4" s="92" t="s">
        <v>39</v>
      </c>
      <c r="K4" s="92" t="s">
        <v>217</v>
      </c>
      <c r="L4" s="117">
        <v>42543</v>
      </c>
      <c r="M4" s="91" t="s">
        <v>117</v>
      </c>
      <c r="N4" s="91" t="s">
        <v>118</v>
      </c>
      <c r="O4" s="93">
        <v>42618</v>
      </c>
      <c r="P4" s="93" t="s">
        <v>206</v>
      </c>
      <c r="Q4" s="94">
        <v>295</v>
      </c>
      <c r="R4" s="93" t="s">
        <v>99</v>
      </c>
      <c r="S4" s="91">
        <v>12129.08</v>
      </c>
      <c r="T4" s="91" t="s">
        <v>100</v>
      </c>
      <c r="U4" s="91" t="s">
        <v>101</v>
      </c>
      <c r="V4" s="125">
        <v>12.13</v>
      </c>
      <c r="W4" s="51">
        <v>1</v>
      </c>
      <c r="X4" s="51" t="s">
        <v>13</v>
      </c>
      <c r="Y4" s="51" t="s">
        <v>31</v>
      </c>
      <c r="Z4" s="129">
        <v>6.0650000000000004</v>
      </c>
      <c r="AA4" s="129">
        <v>6.0650000000000004</v>
      </c>
    </row>
    <row r="5" spans="1:27" ht="15" customHeight="1" x14ac:dyDescent="0.25">
      <c r="A5" s="51" t="s">
        <v>102</v>
      </c>
      <c r="B5" s="51" t="s">
        <v>466</v>
      </c>
      <c r="C5" s="91">
        <v>693</v>
      </c>
      <c r="D5" s="91" t="s">
        <v>190</v>
      </c>
      <c r="E5" s="91" t="s">
        <v>21</v>
      </c>
      <c r="F5" s="91">
        <v>95</v>
      </c>
      <c r="G5" s="91" t="s">
        <v>110</v>
      </c>
      <c r="H5" s="91" t="s">
        <v>18</v>
      </c>
      <c r="I5" s="134">
        <v>69308300001418</v>
      </c>
      <c r="J5" s="92" t="s">
        <v>43</v>
      </c>
      <c r="K5" s="92" t="s">
        <v>246</v>
      </c>
      <c r="L5" s="117">
        <v>42636</v>
      </c>
      <c r="M5" s="91" t="s">
        <v>122</v>
      </c>
      <c r="N5" s="91" t="s">
        <v>9</v>
      </c>
      <c r="O5" s="93">
        <v>42706</v>
      </c>
      <c r="P5" s="93" t="s">
        <v>261</v>
      </c>
      <c r="Q5" s="94">
        <v>207</v>
      </c>
      <c r="R5" s="93" t="s">
        <v>99</v>
      </c>
      <c r="S5" s="91">
        <v>-6191.64</v>
      </c>
      <c r="T5" s="91" t="s">
        <v>100</v>
      </c>
      <c r="U5" s="91" t="s">
        <v>101</v>
      </c>
      <c r="V5" s="125">
        <v>-6.19</v>
      </c>
      <c r="W5" s="51">
        <v>1</v>
      </c>
      <c r="X5" s="51" t="s">
        <v>140</v>
      </c>
      <c r="Y5" s="51" t="s">
        <v>31</v>
      </c>
      <c r="Z5" s="129">
        <v>-3.0950000000000002</v>
      </c>
      <c r="AA5" s="129">
        <v>-3.0950000000000002</v>
      </c>
    </row>
    <row r="6" spans="1:27" x14ac:dyDescent="0.25">
      <c r="A6" s="51" t="s">
        <v>102</v>
      </c>
      <c r="B6" s="51" t="s">
        <v>466</v>
      </c>
      <c r="C6" s="91">
        <v>635</v>
      </c>
      <c r="D6" s="91" t="s">
        <v>187</v>
      </c>
      <c r="E6" s="91" t="s">
        <v>21</v>
      </c>
      <c r="F6" s="91">
        <v>692</v>
      </c>
      <c r="G6" s="91" t="s">
        <v>174</v>
      </c>
      <c r="H6" s="91" t="s">
        <v>21</v>
      </c>
      <c r="I6" s="134">
        <v>63503300004994</v>
      </c>
      <c r="J6" s="92" t="s">
        <v>56</v>
      </c>
      <c r="K6" s="92" t="s">
        <v>247</v>
      </c>
      <c r="L6" s="117">
        <v>42614</v>
      </c>
      <c r="M6" s="91" t="s">
        <v>109</v>
      </c>
      <c r="N6" s="91" t="s">
        <v>10</v>
      </c>
      <c r="O6" s="93">
        <v>42648</v>
      </c>
      <c r="P6" s="93" t="s">
        <v>206</v>
      </c>
      <c r="Q6" s="94">
        <v>265</v>
      </c>
      <c r="R6" s="93" t="s">
        <v>99</v>
      </c>
      <c r="S6" s="91">
        <v>-13288.7</v>
      </c>
      <c r="T6" s="91" t="s">
        <v>100</v>
      </c>
      <c r="U6" s="91" t="s">
        <v>105</v>
      </c>
      <c r="V6" s="125">
        <v>-13.29</v>
      </c>
      <c r="W6" s="51">
        <v>1</v>
      </c>
      <c r="X6" s="51" t="s">
        <v>133</v>
      </c>
      <c r="Y6" s="51" t="s">
        <v>32</v>
      </c>
      <c r="Z6" s="129">
        <v>-3.3224999999999998</v>
      </c>
      <c r="AA6" s="129">
        <v>-9.9674999999999994</v>
      </c>
    </row>
  </sheetData>
  <sortState ref="A2:AB8">
    <sortCondition ref="D2:D8"/>
  </sortState>
  <dataValidations count="1">
    <dataValidation type="list" allowBlank="1" showInputMessage="1" showErrorMessage="1" sqref="R2:R6">
      <formula1>#REF!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A3"/>
  <sheetViews>
    <sheetView showGridLines="0" workbookViewId="0">
      <pane xSplit="2" ySplit="1" topLeftCell="D2" activePane="bottomRight" state="frozen"/>
      <selection activeCell="D2" sqref="D2"/>
      <selection pane="topRight" activeCell="D2" sqref="D2"/>
      <selection pane="bottomLeft" activeCell="D2" sqref="D2"/>
      <selection pane="bottomRight"/>
    </sheetView>
  </sheetViews>
  <sheetFormatPr defaultRowHeight="15" outlineLevelCol="2" x14ac:dyDescent="0.25"/>
  <cols>
    <col min="1" max="1" width="11.140625" style="135" bestFit="1" customWidth="1"/>
    <col min="2" max="2" width="16.85546875" style="135" bestFit="1" customWidth="1"/>
    <col min="3" max="3" width="13.5703125" style="135" hidden="1" customWidth="1" outlineLevel="1"/>
    <col min="4" max="4" width="57.42578125" style="135" bestFit="1" customWidth="1" collapsed="1"/>
    <col min="5" max="5" width="21" style="135" bestFit="1" customWidth="1"/>
    <col min="6" max="6" width="11.28515625" style="135" hidden="1" customWidth="1" outlineLevel="1"/>
    <col min="7" max="7" width="57.42578125" style="135" bestFit="1" customWidth="1" collapsed="1"/>
    <col min="8" max="8" width="18.85546875" style="135" bestFit="1" customWidth="1"/>
    <col min="9" max="9" width="20.85546875" style="133" bestFit="1" customWidth="1"/>
    <col min="10" max="10" width="21.5703125" style="135" bestFit="1" customWidth="1"/>
    <col min="11" max="11" width="45.7109375" style="135" bestFit="1" customWidth="1"/>
    <col min="12" max="12" width="19.42578125" style="118" bestFit="1" customWidth="1"/>
    <col min="13" max="13" width="39.140625" style="135" bestFit="1" customWidth="1"/>
    <col min="14" max="14" width="32.5703125" style="135" bestFit="1" customWidth="1"/>
    <col min="15" max="15" width="15.85546875" style="135" hidden="1" customWidth="1" outlineLevel="1"/>
    <col min="16" max="16" width="16.5703125" style="135" hidden="1" customWidth="1" outlineLevel="1"/>
    <col min="17" max="17" width="9.140625" style="82" hidden="1" customWidth="1" outlineLevel="1"/>
    <col min="18" max="18" width="14.85546875" style="135" hidden="1" customWidth="1" outlineLevel="1"/>
    <col min="19" max="19" width="7.140625" style="135" hidden="1" customWidth="1" outlineLevel="1"/>
    <col min="20" max="20" width="10.28515625" style="135" hidden="1" customWidth="1" outlineLevel="1"/>
    <col min="21" max="21" width="8.7109375" style="135" hidden="1" customWidth="1" outlineLevel="1"/>
    <col min="22" max="22" width="8.28515625" style="126" customWidth="1" collapsed="1"/>
    <col min="23" max="23" width="11.5703125" style="135" hidden="1" customWidth="1" outlineLevel="1"/>
    <col min="24" max="24" width="11.85546875" style="135" hidden="1" customWidth="1" outlineLevel="2"/>
    <col min="25" max="25" width="23.85546875" style="135" bestFit="1" customWidth="1" collapsed="1"/>
    <col min="26" max="26" width="8.42578125" style="126" bestFit="1" customWidth="1"/>
    <col min="27" max="27" width="14.85546875" style="126" bestFit="1" customWidth="1"/>
    <col min="28" max="16384" width="9.140625" style="135"/>
  </cols>
  <sheetData>
    <row r="1" spans="1:27" ht="36" x14ac:dyDescent="0.25">
      <c r="A1" s="47" t="s">
        <v>96</v>
      </c>
      <c r="B1" s="47" t="s">
        <v>69</v>
      </c>
      <c r="C1" s="48" t="s">
        <v>70</v>
      </c>
      <c r="D1" s="48" t="s">
        <v>71</v>
      </c>
      <c r="E1" s="48" t="s">
        <v>73</v>
      </c>
      <c r="F1" s="48" t="s">
        <v>74</v>
      </c>
      <c r="G1" s="48" t="s">
        <v>75</v>
      </c>
      <c r="H1" s="48" t="s">
        <v>77</v>
      </c>
      <c r="I1" s="131" t="s">
        <v>78</v>
      </c>
      <c r="J1" s="47" t="s">
        <v>29</v>
      </c>
      <c r="K1" s="47" t="s">
        <v>79</v>
      </c>
      <c r="L1" s="116" t="s">
        <v>81</v>
      </c>
      <c r="M1" s="48" t="s">
        <v>82</v>
      </c>
      <c r="N1" s="48" t="s">
        <v>83</v>
      </c>
      <c r="O1" s="48" t="s">
        <v>84</v>
      </c>
      <c r="P1" s="48" t="s">
        <v>85</v>
      </c>
      <c r="Q1" s="50" t="s">
        <v>86</v>
      </c>
      <c r="R1" s="48" t="s">
        <v>87</v>
      </c>
      <c r="S1" s="48" t="s">
        <v>88</v>
      </c>
      <c r="T1" s="48" t="s">
        <v>89</v>
      </c>
      <c r="U1" s="48" t="s">
        <v>90</v>
      </c>
      <c r="V1" s="124" t="s">
        <v>91</v>
      </c>
      <c r="W1" s="48" t="s">
        <v>92</v>
      </c>
      <c r="X1" s="47" t="s">
        <v>93</v>
      </c>
      <c r="Y1" s="47" t="s">
        <v>65</v>
      </c>
      <c r="Z1" s="130" t="s">
        <v>94</v>
      </c>
      <c r="AA1" s="130" t="s">
        <v>95</v>
      </c>
    </row>
    <row r="2" spans="1:27" ht="15" customHeight="1" x14ac:dyDescent="0.25">
      <c r="A2" s="51" t="s">
        <v>102</v>
      </c>
      <c r="B2" s="51" t="s">
        <v>466</v>
      </c>
      <c r="C2" s="91">
        <v>95</v>
      </c>
      <c r="D2" s="91" t="s">
        <v>110</v>
      </c>
      <c r="E2" s="91" t="s">
        <v>18</v>
      </c>
      <c r="F2" s="91">
        <v>8520</v>
      </c>
      <c r="G2" s="91" t="s">
        <v>186</v>
      </c>
      <c r="H2" s="91" t="s">
        <v>15</v>
      </c>
      <c r="I2" s="134" t="s">
        <v>226</v>
      </c>
      <c r="J2" s="92" t="s">
        <v>45</v>
      </c>
      <c r="K2" s="92" t="s">
        <v>136</v>
      </c>
      <c r="L2" s="117">
        <v>42649</v>
      </c>
      <c r="M2" s="91" t="s">
        <v>121</v>
      </c>
      <c r="N2" s="91" t="s">
        <v>9</v>
      </c>
      <c r="O2" s="93">
        <v>42649</v>
      </c>
      <c r="P2" s="93" t="s">
        <v>206</v>
      </c>
      <c r="Q2" s="94">
        <v>264</v>
      </c>
      <c r="R2" s="93" t="s">
        <v>99</v>
      </c>
      <c r="S2" s="91">
        <v>108349.32</v>
      </c>
      <c r="T2" s="91" t="s">
        <v>100</v>
      </c>
      <c r="U2" s="91" t="s">
        <v>101</v>
      </c>
      <c r="V2" s="125">
        <v>108.35</v>
      </c>
      <c r="W2" s="51">
        <v>1</v>
      </c>
      <c r="X2" s="51" t="s">
        <v>138</v>
      </c>
      <c r="Y2" s="51" t="s">
        <v>31</v>
      </c>
      <c r="Z2" s="129">
        <v>54.174999999999997</v>
      </c>
      <c r="AA2" s="129">
        <v>54.174999999999997</v>
      </c>
    </row>
    <row r="3" spans="1:27" ht="15" customHeight="1" x14ac:dyDescent="0.25">
      <c r="A3" s="51" t="s">
        <v>102</v>
      </c>
      <c r="B3" s="51" t="s">
        <v>466</v>
      </c>
      <c r="C3" s="91">
        <v>95</v>
      </c>
      <c r="D3" s="91" t="s">
        <v>110</v>
      </c>
      <c r="E3" s="91" t="s">
        <v>18</v>
      </c>
      <c r="F3" s="91">
        <v>8520</v>
      </c>
      <c r="G3" s="91" t="s">
        <v>186</v>
      </c>
      <c r="H3" s="91" t="s">
        <v>15</v>
      </c>
      <c r="I3" s="134" t="s">
        <v>227</v>
      </c>
      <c r="J3" s="92" t="s">
        <v>45</v>
      </c>
      <c r="K3" s="92" t="s">
        <v>136</v>
      </c>
      <c r="L3" s="117">
        <v>42649</v>
      </c>
      <c r="M3" s="91" t="s">
        <v>121</v>
      </c>
      <c r="N3" s="91" t="s">
        <v>9</v>
      </c>
      <c r="O3" s="93">
        <v>42649</v>
      </c>
      <c r="P3" s="93" t="s">
        <v>206</v>
      </c>
      <c r="Q3" s="94">
        <v>264</v>
      </c>
      <c r="R3" s="93" t="s">
        <v>99</v>
      </c>
      <c r="S3" s="91">
        <v>152869.15</v>
      </c>
      <c r="T3" s="91" t="s">
        <v>100</v>
      </c>
      <c r="U3" s="91" t="s">
        <v>101</v>
      </c>
      <c r="V3" s="125">
        <v>152.87</v>
      </c>
      <c r="W3" s="51">
        <v>1</v>
      </c>
      <c r="X3" s="51" t="s">
        <v>138</v>
      </c>
      <c r="Y3" s="51" t="s">
        <v>31</v>
      </c>
      <c r="Z3" s="129">
        <v>76.435000000000002</v>
      </c>
      <c r="AA3" s="129">
        <v>76.435000000000002</v>
      </c>
    </row>
  </sheetData>
  <dataValidations count="1">
    <dataValidation type="list" allowBlank="1" showInputMessage="1" showErrorMessage="1" sqref="R2:R3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"/>
  <sheetViews>
    <sheetView showGridLines="0" tabSelected="1" topLeftCell="B1" zoomScale="84" zoomScaleNormal="84" workbookViewId="0">
      <selection activeCell="I66" sqref="I66"/>
    </sheetView>
  </sheetViews>
  <sheetFormatPr defaultRowHeight="15" outlineLevelRow="1" outlineLevelCol="1" x14ac:dyDescent="0.25"/>
  <cols>
    <col min="1" max="1" width="20.85546875" style="135" hidden="1" customWidth="1" outlineLevel="1"/>
    <col min="2" max="2" width="3.85546875" style="135" customWidth="1" collapsed="1"/>
    <col min="3" max="3" width="16.28515625" style="135" bestFit="1" customWidth="1"/>
    <col min="4" max="4" width="9.85546875" style="135" bestFit="1" customWidth="1"/>
    <col min="5" max="5" width="9.42578125" style="135" bestFit="1" customWidth="1"/>
    <col min="6" max="6" width="1.140625" style="135" customWidth="1"/>
    <col min="7" max="7" width="9.85546875" style="135" bestFit="1" customWidth="1"/>
    <col min="8" max="8" width="9" style="135" customWidth="1"/>
    <col min="9" max="9" width="9.85546875" style="135" bestFit="1" customWidth="1"/>
    <col min="10" max="10" width="8" style="135" bestFit="1" customWidth="1"/>
    <col min="11" max="11" width="9.28515625" style="135" bestFit="1" customWidth="1"/>
    <col min="12" max="12" width="8" style="135" customWidth="1"/>
    <col min="13" max="13" width="9.85546875" style="135" bestFit="1" customWidth="1"/>
    <col min="14" max="14" width="8" style="135" bestFit="1" customWidth="1"/>
    <col min="15" max="15" width="1.28515625" style="135" customWidth="1"/>
    <col min="16" max="16" width="9.85546875" style="135" bestFit="1" customWidth="1"/>
    <col min="17" max="17" width="8" style="135" bestFit="1" customWidth="1"/>
    <col min="18" max="18" width="4.5703125" customWidth="1"/>
    <col min="19" max="19" width="17.85546875" style="135" hidden="1" customWidth="1" outlineLevel="1"/>
    <col min="20" max="20" width="6" style="135" hidden="1" customWidth="1" outlineLevel="1"/>
    <col min="21" max="23" width="5.85546875" style="135" hidden="1" customWidth="1" outlineLevel="1"/>
    <col min="24" max="24" width="6" style="135" hidden="1" customWidth="1" outlineLevel="1"/>
    <col min="25" max="25" width="12" style="135" hidden="1" customWidth="1" outlineLevel="1"/>
    <col min="26" max="26" width="10.140625" style="135" hidden="1" customWidth="1" outlineLevel="1"/>
    <col min="27" max="27" width="13.140625" style="135" hidden="1" customWidth="1" outlineLevel="1"/>
    <col min="28" max="28" width="7.42578125" style="135" hidden="1" customWidth="1" outlineLevel="1"/>
    <col min="29" max="29" width="9.140625" style="135" hidden="1" customWidth="1" outlineLevel="1"/>
    <col min="30" max="30" width="16.140625" style="135" customWidth="1" collapsed="1"/>
    <col min="31" max="31" width="8.5703125" style="135" bestFit="1" customWidth="1"/>
    <col min="32" max="32" width="12.140625" style="135" bestFit="1" customWidth="1"/>
    <col min="33" max="33" width="6.7109375" style="135" bestFit="1" customWidth="1"/>
    <col min="34" max="34" width="13.85546875" style="135" customWidth="1"/>
    <col min="35" max="35" width="12.140625" style="135" bestFit="1" customWidth="1"/>
    <col min="36" max="36" width="7.28515625" style="135" bestFit="1" customWidth="1"/>
    <col min="37" max="37" width="6.7109375" style="135" bestFit="1" customWidth="1"/>
    <col min="38" max="38" width="2.42578125" style="135" customWidth="1"/>
    <col min="39" max="39" width="7.42578125" style="135" bestFit="1" customWidth="1"/>
    <col min="40" max="40" width="8.42578125" hidden="1" customWidth="1" outlineLevel="1"/>
    <col min="41" max="41" width="0" hidden="1" customWidth="1" outlineLevel="1"/>
    <col min="42" max="42" width="9.140625" collapsed="1"/>
    <col min="54" max="55" width="9.140625" hidden="1" customWidth="1" outlineLevel="1"/>
    <col min="56" max="56" width="9.140625" collapsed="1"/>
  </cols>
  <sheetData>
    <row r="1" spans="1:55" ht="15.75" thickBot="1" x14ac:dyDescent="0.3">
      <c r="I1" s="1"/>
      <c r="J1" s="1"/>
      <c r="K1" s="1"/>
      <c r="L1" s="1"/>
      <c r="M1" s="2"/>
    </row>
    <row r="2" spans="1:55" ht="15.75" thickTop="1" x14ac:dyDescent="0.25">
      <c r="H2" s="6"/>
      <c r="I2" s="5"/>
      <c r="J2" s="6"/>
      <c r="K2" s="5"/>
      <c r="L2" s="6"/>
    </row>
    <row r="3" spans="1:55" ht="54.75" customHeight="1" thickBot="1" x14ac:dyDescent="0.3">
      <c r="D3" s="149" t="s">
        <v>279</v>
      </c>
      <c r="E3" s="149"/>
      <c r="G3" s="149" t="s">
        <v>1</v>
      </c>
      <c r="H3" s="149"/>
      <c r="I3" s="146" t="s">
        <v>480</v>
      </c>
      <c r="J3" s="147"/>
      <c r="K3" s="144" t="s">
        <v>467</v>
      </c>
      <c r="L3" s="145"/>
      <c r="M3" s="148" t="s">
        <v>4</v>
      </c>
      <c r="N3" s="148"/>
      <c r="P3" s="149" t="s">
        <v>468</v>
      </c>
      <c r="Q3" s="149"/>
      <c r="BB3" s="144" t="s">
        <v>264</v>
      </c>
      <c r="BC3" s="145"/>
    </row>
    <row r="4" spans="1:55" ht="49.5" customHeight="1" thickTop="1" thickBot="1" x14ac:dyDescent="0.3">
      <c r="C4" s="7" t="s">
        <v>6</v>
      </c>
      <c r="D4" s="8" t="s">
        <v>7</v>
      </c>
      <c r="E4" s="9" t="s">
        <v>8</v>
      </c>
      <c r="G4" s="8" t="s">
        <v>7</v>
      </c>
      <c r="H4" s="9" t="s">
        <v>8</v>
      </c>
      <c r="I4" s="10" t="s">
        <v>7</v>
      </c>
      <c r="J4" s="11" t="s">
        <v>8</v>
      </c>
      <c r="K4" s="142" t="s">
        <v>7</v>
      </c>
      <c r="L4" s="98" t="s">
        <v>8</v>
      </c>
      <c r="M4" s="8" t="s">
        <v>7</v>
      </c>
      <c r="N4" s="9" t="s">
        <v>8</v>
      </c>
      <c r="P4" s="8" t="s">
        <v>7</v>
      </c>
      <c r="Q4" s="9" t="s">
        <v>8</v>
      </c>
      <c r="S4" s="8" t="s">
        <v>6</v>
      </c>
      <c r="T4" s="12"/>
      <c r="U4" s="12"/>
      <c r="V4" s="12"/>
      <c r="W4" s="12"/>
      <c r="X4" s="12"/>
      <c r="Y4" s="8" t="s">
        <v>9</v>
      </c>
      <c r="Z4" s="8" t="s">
        <v>10</v>
      </c>
      <c r="AA4" s="8" t="s">
        <v>11</v>
      </c>
      <c r="AB4" s="9" t="s">
        <v>12</v>
      </c>
      <c r="BB4" s="10" t="s">
        <v>7</v>
      </c>
      <c r="BC4" s="11" t="s">
        <v>8</v>
      </c>
    </row>
    <row r="5" spans="1:55" ht="15.75" thickBot="1" x14ac:dyDescent="0.3">
      <c r="I5" s="141"/>
      <c r="J5" s="6"/>
      <c r="K5" s="5"/>
      <c r="L5" s="6"/>
      <c r="S5" s="7"/>
      <c r="T5" s="14">
        <v>1</v>
      </c>
      <c r="U5" s="14">
        <v>2</v>
      </c>
      <c r="V5" s="14">
        <v>3</v>
      </c>
      <c r="W5" s="14">
        <v>4</v>
      </c>
      <c r="X5" s="14">
        <v>5</v>
      </c>
      <c r="Y5" s="15"/>
      <c r="Z5" s="16">
        <v>8</v>
      </c>
      <c r="AA5" s="16" t="s">
        <v>13</v>
      </c>
      <c r="AB5" s="17"/>
    </row>
    <row r="6" spans="1:55" x14ac:dyDescent="0.25">
      <c r="A6" s="18" t="s">
        <v>14</v>
      </c>
      <c r="C6" s="19" t="s">
        <v>14</v>
      </c>
      <c r="D6" s="20">
        <f>COUNTIF(DATA_PRIOR!$E:$E,A6)</f>
        <v>15</v>
      </c>
      <c r="E6" s="21">
        <f>SUMIF(DATA_PRIOR!$E:$E,A6,DATA_PRIOR!$V:$V)</f>
        <v>250.79</v>
      </c>
      <c r="G6" s="20">
        <v>-12</v>
      </c>
      <c r="H6" s="21">
        <v>-239.48999999999998</v>
      </c>
      <c r="I6" s="22">
        <f>+D6+G6-K6</f>
        <v>0</v>
      </c>
      <c r="J6" s="23">
        <f t="shared" ref="J6:J16" si="0">+E6+H6-L6</f>
        <v>0</v>
      </c>
      <c r="K6" s="22">
        <f>COUNTIFS(DATA_CURRENT!$B:$B,"Unresolved (May)",DATA_CURRENT!$E:$E,$A6)</f>
        <v>3</v>
      </c>
      <c r="L6" s="23">
        <f>SUMIFS(DATA_CURRENT!$V:$V,DATA_CURRENT!$E:$E,$A6,DATA_CURRENT!$B:$B,"Unresolved (May)")</f>
        <v>11.299999999999999</v>
      </c>
      <c r="M6" s="20">
        <f>COUNTIFS(DATA_CURRENT!$B:$B,"Added",DATA_CURRENT!$E:$E,$A6)</f>
        <v>1</v>
      </c>
      <c r="N6" s="21">
        <f>SUMIFS(DATA_CURRENT!$V:$V,DATA_CURRENT!$E:$E,$A6,DATA_CURRENT!$B:$B,"Added")</f>
        <v>18.84</v>
      </c>
      <c r="P6" s="20">
        <v>4</v>
      </c>
      <c r="Q6" s="21">
        <v>30.14</v>
      </c>
      <c r="S6" s="19" t="s">
        <v>14</v>
      </c>
      <c r="T6" s="77">
        <f>SUMIFS(DATA_CURRENT!$V:$V,DATA_CURRENT!$E:$E,$A6,DATA_CURRENT!$X:$X,T$5)</f>
        <v>1.04</v>
      </c>
      <c r="U6" s="77">
        <f>SUMIFS(DATA_CURRENT!$V:$V,DATA_CURRENT!$E:$E,$A6,DATA_CURRENT!$X:$X,U$5)</f>
        <v>0</v>
      </c>
      <c r="V6" s="77">
        <f>SUMIFS(DATA_CURRENT!$V:$V,DATA_CURRENT!$E:$E,$A6,DATA_CURRENT!$X:$X,V$5)</f>
        <v>0</v>
      </c>
      <c r="W6" s="77">
        <f>SUMIFS(DATA_CURRENT!$V:$V,DATA_CURRENT!$E:$E,$A6,DATA_CURRENT!$X:$X,W$5)</f>
        <v>18.84</v>
      </c>
      <c r="X6" s="77">
        <f>SUMIFS(DATA_CURRENT!$V:$V,DATA_CURRENT!$E:$E,$A6,DATA_CURRENT!$X:$X,X$5)</f>
        <v>0</v>
      </c>
      <c r="Y6" s="24">
        <f t="shared" ref="Y6:Y16" si="1">SUM(T6:X6)</f>
        <v>19.88</v>
      </c>
      <c r="Z6" s="25">
        <f>SUMIFS(DATA_CURRENT!$V:$V,DATA_CURRENT!$E:$E,$A6,DATA_CURRENT!$X:$X,Z$5)</f>
        <v>10.26</v>
      </c>
      <c r="AA6" s="26">
        <f>SUMIFS(DATA_CURRENT!$V:$V,DATA_CURRENT!$E:$E,$A6,DATA_CURRENT!$X:$X,AA$5)</f>
        <v>0</v>
      </c>
      <c r="AB6" s="21">
        <f t="shared" ref="AB6:AB16" si="2">SUM(Y6:AA6)</f>
        <v>30.14</v>
      </c>
      <c r="AC6" s="27"/>
      <c r="BB6">
        <f>Summary!J6+Summary!L6+Summary!N6+Summary!P6+Summary!R6+Summary!T6+Summary!V6</f>
        <v>0</v>
      </c>
      <c r="BC6">
        <f>Summary!K6+Summary!M6+Summary!O6+Summary!Q6+Summary!S6+Summary!U6+Summary!W6</f>
        <v>0</v>
      </c>
    </row>
    <row r="7" spans="1:55" x14ac:dyDescent="0.25">
      <c r="A7" s="18" t="s">
        <v>15</v>
      </c>
      <c r="C7" s="28" t="s">
        <v>16</v>
      </c>
      <c r="D7" s="29">
        <f>COUNTIF(DATA_PRIOR!$E:$E,A7)</f>
        <v>104</v>
      </c>
      <c r="E7" s="30">
        <f>SUMIF(DATA_PRIOR!$E:$E,A7,DATA_PRIOR!$V:$V)</f>
        <v>338.67000000000013</v>
      </c>
      <c r="G7" s="29">
        <v>-40</v>
      </c>
      <c r="H7" s="30">
        <v>-168.29000000000016</v>
      </c>
      <c r="I7" s="31">
        <f t="shared" ref="I7:I16" si="3">+D7+G7-K7</f>
        <v>12</v>
      </c>
      <c r="J7" s="32">
        <f t="shared" si="0"/>
        <v>45.120000000000005</v>
      </c>
      <c r="K7" s="31">
        <f>COUNTIFS(DATA_CURRENT!$B:$B,"Unresolved (May)",DATA_CURRENT!$E:$E,$A7)</f>
        <v>52</v>
      </c>
      <c r="L7" s="32">
        <f>SUMIFS(DATA_CURRENT!$V:$V,DATA_CURRENT!$E:$E,$A7,DATA_CURRENT!$B:$B,"Unresolved (May)")</f>
        <v>125.25999999999996</v>
      </c>
      <c r="M7" s="29">
        <f>COUNTIFS(DATA_CURRENT!$B:$B,"Added",DATA_CURRENT!$E:$E,$A7)</f>
        <v>12</v>
      </c>
      <c r="N7" s="30">
        <f>SUMIFS(DATA_CURRENT!$V:$V,DATA_CURRENT!$E:$E,$A7,DATA_CURRENT!$B:$B,"Added")</f>
        <v>34.840000000000003</v>
      </c>
      <c r="P7" s="29">
        <v>76</v>
      </c>
      <c r="Q7" s="30">
        <v>205.21999999999997</v>
      </c>
      <c r="S7" s="28" t="s">
        <v>16</v>
      </c>
      <c r="T7" s="77">
        <f>SUMIFS(DATA_CURRENT!$V:$V,DATA_CURRENT!$E:$E,$A7,DATA_CURRENT!$X:$X,T$5)</f>
        <v>19.880000000000003</v>
      </c>
      <c r="U7" s="77">
        <f>SUMIFS(DATA_CURRENT!$V:$V,DATA_CURRENT!$E:$E,$A7,DATA_CURRENT!$X:$X,U$5)</f>
        <v>6.43</v>
      </c>
      <c r="V7" s="77">
        <f>SUMIFS(DATA_CURRENT!$V:$V,DATA_CURRENT!$E:$E,$A7,DATA_CURRENT!$X:$X,V$5)</f>
        <v>40.26</v>
      </c>
      <c r="W7" s="77">
        <f>SUMIFS(DATA_CURRENT!$V:$V,DATA_CURRENT!$E:$E,$A7,DATA_CURRENT!$X:$X,W$5)</f>
        <v>14.909999999999998</v>
      </c>
      <c r="X7" s="77">
        <f>SUMIFS(DATA_CURRENT!$V:$V,DATA_CURRENT!$E:$E,$A7,DATA_CURRENT!$X:$X,X$5)</f>
        <v>0</v>
      </c>
      <c r="Y7" s="26">
        <f t="shared" si="1"/>
        <v>81.47999999999999</v>
      </c>
      <c r="Z7" s="26">
        <f>SUMIFS(DATA_CURRENT!$V:$V,DATA_CURRENT!$E:$E,$A7,DATA_CURRENT!$X:$X,Z$5)</f>
        <v>114.57</v>
      </c>
      <c r="AA7" s="26">
        <f>SUMIFS(DATA_CURRENT!$V:$V,DATA_CURRENT!$E:$E,$A7,DATA_CURRENT!$X:$X,AA$5)</f>
        <v>9.17</v>
      </c>
      <c r="AB7" s="30">
        <f t="shared" si="2"/>
        <v>205.21999999999997</v>
      </c>
      <c r="AC7" s="27"/>
      <c r="BB7">
        <f>Summary!J7+Summary!L7+Summary!N7+Summary!P7+Summary!R7+Summary!T7+Summary!V7</f>
        <v>7</v>
      </c>
      <c r="BC7">
        <f>Summary!K7+Summary!M7+Summary!O7+Summary!Q7+Summary!S7+Summary!U7+Summary!W7</f>
        <v>39.040000000000006</v>
      </c>
    </row>
    <row r="8" spans="1:55" x14ac:dyDescent="0.25">
      <c r="A8" s="18" t="s">
        <v>17</v>
      </c>
      <c r="C8" s="28" t="s">
        <v>17</v>
      </c>
      <c r="D8" s="29">
        <f>COUNTIF(DATA_PRIOR!$E:$E,A8)</f>
        <v>5</v>
      </c>
      <c r="E8" s="30">
        <f>SUMIF(DATA_PRIOR!$E:$E,A8,DATA_PRIOR!$V:$V)</f>
        <v>107.80000000000003</v>
      </c>
      <c r="G8" s="29">
        <v>-5</v>
      </c>
      <c r="H8" s="30">
        <v>-107.80000000000003</v>
      </c>
      <c r="I8" s="31">
        <f t="shared" si="3"/>
        <v>0</v>
      </c>
      <c r="J8" s="32">
        <f t="shared" si="0"/>
        <v>0</v>
      </c>
      <c r="K8" s="31">
        <f>COUNTIFS(DATA_CURRENT!$B:$B,"Unresolved (May)",DATA_CURRENT!$E:$E,$A8)</f>
        <v>0</v>
      </c>
      <c r="L8" s="32">
        <f>SUMIFS(DATA_CURRENT!$V:$V,DATA_CURRENT!$E:$E,$A8,DATA_CURRENT!$B:$B,"Unresolved (May)")</f>
        <v>0</v>
      </c>
      <c r="M8" s="29">
        <f>COUNTIFS(DATA_CURRENT!$B:$B,"Added",DATA_CURRENT!$E:$E,$A8)</f>
        <v>3</v>
      </c>
      <c r="N8" s="30">
        <f>SUMIFS(DATA_CURRENT!$V:$V,DATA_CURRENT!$E:$E,$A8,DATA_CURRENT!$B:$B,"Added")</f>
        <v>66.41</v>
      </c>
      <c r="P8" s="29">
        <v>3</v>
      </c>
      <c r="Q8" s="30">
        <v>66.41</v>
      </c>
      <c r="S8" s="28" t="s">
        <v>17</v>
      </c>
      <c r="T8" s="77">
        <f>SUMIFS(DATA_CURRENT!$V:$V,DATA_CURRENT!$E:$E,$A8,DATA_CURRENT!$X:$X,T$5)</f>
        <v>0</v>
      </c>
      <c r="U8" s="77">
        <f>SUMIFS(DATA_CURRENT!$V:$V,DATA_CURRENT!$E:$E,$A8,DATA_CURRENT!$X:$X,U$5)</f>
        <v>12.7</v>
      </c>
      <c r="V8" s="77">
        <f>SUMIFS(DATA_CURRENT!$V:$V,DATA_CURRENT!$E:$E,$A8,DATA_CURRENT!$X:$X,V$5)</f>
        <v>0</v>
      </c>
      <c r="W8" s="77">
        <f>SUMIFS(DATA_CURRENT!$V:$V,DATA_CURRENT!$E:$E,$A8,DATA_CURRENT!$X:$X,W$5)</f>
        <v>0</v>
      </c>
      <c r="X8" s="77">
        <f>SUMIFS(DATA_CURRENT!$V:$V,DATA_CURRENT!$E:$E,$A8,DATA_CURRENT!$X:$X,X$5)</f>
        <v>0</v>
      </c>
      <c r="Y8" s="26">
        <f t="shared" si="1"/>
        <v>12.7</v>
      </c>
      <c r="Z8" s="26">
        <f>SUMIFS(DATA_CURRENT!$V:$V,DATA_CURRENT!$E:$E,$A8,DATA_CURRENT!$X:$X,Z$5)</f>
        <v>51.26</v>
      </c>
      <c r="AA8" s="33">
        <f>SUMIFS(DATA_CURRENT!$V:$V,DATA_CURRENT!$E:$E,$A8,DATA_CURRENT!$X:$X,AA$5)</f>
        <v>2.4500000000000002</v>
      </c>
      <c r="AB8" s="30">
        <f t="shared" si="2"/>
        <v>66.41</v>
      </c>
      <c r="AC8" s="27"/>
      <c r="BB8">
        <f>Summary!J8+Summary!L8+Summary!N8+Summary!P8+Summary!R8+Summary!T8+Summary!V8</f>
        <v>0</v>
      </c>
      <c r="BC8">
        <f>Summary!K8+Summary!M8+Summary!O8+Summary!Q8+Summary!S8+Summary!U8+Summary!W8</f>
        <v>0</v>
      </c>
    </row>
    <row r="9" spans="1:55" x14ac:dyDescent="0.25">
      <c r="A9" s="18" t="s">
        <v>18</v>
      </c>
      <c r="C9" s="28" t="s">
        <v>18</v>
      </c>
      <c r="D9" s="29">
        <f>COUNTIF(DATA_PRIOR!$E:$E,A9)</f>
        <v>7</v>
      </c>
      <c r="E9" s="30">
        <f>SUMIF(DATA_PRIOR!$E:$E,A9,DATA_PRIOR!$V:$V)</f>
        <v>265.13</v>
      </c>
      <c r="G9" s="29">
        <v>-5</v>
      </c>
      <c r="H9" s="30">
        <v>-3.9099999999999682</v>
      </c>
      <c r="I9" s="31">
        <f t="shared" si="3"/>
        <v>0</v>
      </c>
      <c r="J9" s="32">
        <f t="shared" si="0"/>
        <v>0</v>
      </c>
      <c r="K9" s="31">
        <f>COUNTIFS(DATA_CURRENT!$B:$B,"Unresolved (May)",DATA_CURRENT!$E:$E,$A9)</f>
        <v>2</v>
      </c>
      <c r="L9" s="32">
        <f>SUMIFS(DATA_CURRENT!$V:$V,DATA_CURRENT!$E:$E,$A9,DATA_CURRENT!$B:$B,"Unresolved (May)")</f>
        <v>261.22000000000003</v>
      </c>
      <c r="M9" s="29">
        <f>COUNTIFS(DATA_CURRENT!$B:$B,"Added",DATA_CURRENT!$E:$E,$A9)</f>
        <v>0</v>
      </c>
      <c r="N9" s="30">
        <f>SUMIFS(DATA_CURRENT!$V:$V,DATA_CURRENT!$E:$E,$A9,DATA_CURRENT!$B:$B,"Added")</f>
        <v>0</v>
      </c>
      <c r="P9" s="29">
        <v>2</v>
      </c>
      <c r="Q9" s="30">
        <v>261.22000000000003</v>
      </c>
      <c r="S9" s="28" t="s">
        <v>18</v>
      </c>
      <c r="T9" s="77">
        <f>SUMIFS(DATA_CURRENT!$V:$V,DATA_CURRENT!$E:$E,$A9,DATA_CURRENT!$X:$X,T$5)</f>
        <v>0</v>
      </c>
      <c r="U9" s="77">
        <f>SUMIFS(DATA_CURRENT!$V:$V,DATA_CURRENT!$E:$E,$A9,DATA_CURRENT!$X:$X,U$5)</f>
        <v>0</v>
      </c>
      <c r="V9" s="77">
        <f>SUMIFS(DATA_CURRENT!$V:$V,DATA_CURRENT!$E:$E,$A9,DATA_CURRENT!$X:$X,V$5)</f>
        <v>261.22000000000003</v>
      </c>
      <c r="W9" s="77">
        <f>SUMIFS(DATA_CURRENT!$V:$V,DATA_CURRENT!$E:$E,$A9,DATA_CURRENT!$X:$X,W$5)</f>
        <v>0</v>
      </c>
      <c r="X9" s="77">
        <f>SUMIFS(DATA_CURRENT!$V:$V,DATA_CURRENT!$E:$E,$A9,DATA_CURRENT!$X:$X,X$5)</f>
        <v>0</v>
      </c>
      <c r="Y9" s="26">
        <f t="shared" si="1"/>
        <v>261.22000000000003</v>
      </c>
      <c r="Z9" s="26">
        <f>SUMIFS(DATA_CURRENT!$V:$V,DATA_CURRENT!$E:$E,$A9,DATA_CURRENT!$X:$X,Z$5)</f>
        <v>0</v>
      </c>
      <c r="AA9" s="33">
        <f>SUMIFS(DATA_CURRENT!$V:$V,DATA_CURRENT!$E:$E,$A9,DATA_CURRENT!$X:$X,AA$5)</f>
        <v>0</v>
      </c>
      <c r="AB9" s="30">
        <f t="shared" si="2"/>
        <v>261.22000000000003</v>
      </c>
      <c r="AC9" s="27"/>
      <c r="BB9">
        <f>Summary!J9+Summary!L9+Summary!N9+Summary!P9+Summary!R9+Summary!T9+Summary!V9</f>
        <v>0</v>
      </c>
      <c r="BC9">
        <f>Summary!K9+Summary!M9+Summary!O9+Summary!Q9+Summary!S9+Summary!U9+Summary!W9</f>
        <v>0</v>
      </c>
    </row>
    <row r="10" spans="1:55" x14ac:dyDescent="0.25">
      <c r="A10" s="18" t="s">
        <v>19</v>
      </c>
      <c r="C10" s="28" t="s">
        <v>19</v>
      </c>
      <c r="D10" s="29">
        <f>COUNTIF(DATA_PRIOR!$E:$E,A10)</f>
        <v>1</v>
      </c>
      <c r="E10" s="30">
        <f>SUMIF(DATA_PRIOR!$E:$E,A10,DATA_PRIOR!$V:$V)</f>
        <v>20.72</v>
      </c>
      <c r="G10" s="29">
        <v>0</v>
      </c>
      <c r="H10" s="30">
        <v>-20.919999999999998</v>
      </c>
      <c r="I10" s="31">
        <f t="shared" si="3"/>
        <v>0</v>
      </c>
      <c r="J10" s="32">
        <f t="shared" si="0"/>
        <v>7.2164496600635175E-16</v>
      </c>
      <c r="K10" s="31">
        <f>COUNTIFS(DATA_CURRENT!$B:$B,"Unresolved (May)",DATA_CURRENT!$E:$E,$A10)</f>
        <v>1</v>
      </c>
      <c r="L10" s="32">
        <f>SUMIFS(DATA_CURRENT!$V:$V,DATA_CURRENT!$E:$E,$A10,DATA_CURRENT!$B:$B,"Unresolved (May)")</f>
        <v>-0.2</v>
      </c>
      <c r="M10" s="29">
        <f>COUNTIFS(DATA_CURRENT!$B:$B,"Added",DATA_CURRENT!$E:$E,$A10)</f>
        <v>0</v>
      </c>
      <c r="N10" s="30">
        <f>SUMIFS(DATA_CURRENT!$V:$V,DATA_CURRENT!$E:$E,$A10,DATA_CURRENT!$B:$B,"Added")</f>
        <v>0</v>
      </c>
      <c r="P10" s="29">
        <v>1</v>
      </c>
      <c r="Q10" s="30">
        <v>-0.2</v>
      </c>
      <c r="S10" s="28" t="s">
        <v>19</v>
      </c>
      <c r="T10" s="77">
        <f>SUMIFS(DATA_CURRENT!$V:$V,DATA_CURRENT!$E:$E,$A10,DATA_CURRENT!$X:$X,T$5)</f>
        <v>0</v>
      </c>
      <c r="U10" s="77">
        <f>SUMIFS(DATA_CURRENT!$V:$V,DATA_CURRENT!$E:$E,$A10,DATA_CURRENT!$X:$X,U$5)</f>
        <v>0</v>
      </c>
      <c r="V10" s="77">
        <f>SUMIFS(DATA_CURRENT!$V:$V,DATA_CURRENT!$E:$E,$A10,DATA_CURRENT!$X:$X,V$5)</f>
        <v>0</v>
      </c>
      <c r="W10" s="77">
        <f>SUMIFS(DATA_CURRENT!$V:$V,DATA_CURRENT!$E:$E,$A10,DATA_CURRENT!$X:$X,W$5)</f>
        <v>0</v>
      </c>
      <c r="X10" s="77">
        <f>SUMIFS(DATA_CURRENT!$V:$V,DATA_CURRENT!$E:$E,$A10,DATA_CURRENT!$X:$X,X$5)</f>
        <v>-0.2</v>
      </c>
      <c r="Y10" s="26">
        <f t="shared" si="1"/>
        <v>-0.2</v>
      </c>
      <c r="Z10" s="33">
        <f>SUMIFS(DATA_CURRENT!$V:$V,DATA_CURRENT!$E:$E,$A10,DATA_CURRENT!$X:$X,Z$5)</f>
        <v>0</v>
      </c>
      <c r="AA10" s="33">
        <f>SUMIFS(DATA_CURRENT!$V:$V,DATA_CURRENT!$E:$E,$A10,DATA_CURRENT!$X:$X,AA$5)</f>
        <v>0</v>
      </c>
      <c r="AB10" s="30">
        <f t="shared" si="2"/>
        <v>-0.2</v>
      </c>
      <c r="AC10" s="27"/>
      <c r="BB10">
        <f>Summary!J10+Summary!L10+Summary!N10+Summary!P10+Summary!R10+Summary!T10+Summary!V10</f>
        <v>0</v>
      </c>
      <c r="BC10">
        <f>Summary!K10+Summary!M10+Summary!O10+Summary!Q10+Summary!S10+Summary!U10+Summary!W10</f>
        <v>0</v>
      </c>
    </row>
    <row r="11" spans="1:55" x14ac:dyDescent="0.25">
      <c r="A11" s="18" t="s">
        <v>20</v>
      </c>
      <c r="C11" s="28" t="s">
        <v>20</v>
      </c>
      <c r="D11" s="29">
        <f>COUNTIF(DATA_PRIOR!$E:$E,A11)</f>
        <v>24</v>
      </c>
      <c r="E11" s="30">
        <f>SUMIF(DATA_PRIOR!$E:$E,A11,DATA_PRIOR!$V:$V)</f>
        <v>661.12</v>
      </c>
      <c r="G11" s="29">
        <v>-18</v>
      </c>
      <c r="H11" s="30">
        <v>-530.69000000000005</v>
      </c>
      <c r="I11" s="31">
        <f t="shared" si="3"/>
        <v>3</v>
      </c>
      <c r="J11" s="32">
        <f t="shared" si="0"/>
        <v>54.379999999999953</v>
      </c>
      <c r="K11" s="31">
        <f>COUNTIFS(DATA_CURRENT!$B:$B,"Unresolved (May)",DATA_CURRENT!$E:$E,$A11)</f>
        <v>3</v>
      </c>
      <c r="L11" s="32">
        <f>SUMIFS(DATA_CURRENT!$V:$V,DATA_CURRENT!$E:$E,$A11,DATA_CURRENT!$B:$B,"Unresolved (May)")</f>
        <v>76.05</v>
      </c>
      <c r="M11" s="29">
        <f>COUNTIFS(DATA_CURRENT!$B:$B,"Added",DATA_CURRENT!$E:$E,$A11)</f>
        <v>18</v>
      </c>
      <c r="N11" s="30">
        <f>SUMIFS(DATA_CURRENT!$V:$V,DATA_CURRENT!$E:$E,$A11,DATA_CURRENT!$B:$B,"Added")</f>
        <v>557.70999999999992</v>
      </c>
      <c r="P11" s="29">
        <v>24</v>
      </c>
      <c r="Q11" s="30">
        <v>688.13999999999987</v>
      </c>
      <c r="S11" s="28" t="s">
        <v>20</v>
      </c>
      <c r="T11" s="77">
        <f>SUMIFS(DATA_CURRENT!$V:$V,DATA_CURRENT!$E:$E,$A11,DATA_CURRENT!$X:$X,T$5)</f>
        <v>169.20999999999998</v>
      </c>
      <c r="U11" s="77">
        <f>SUMIFS(DATA_CURRENT!$V:$V,DATA_CURRENT!$E:$E,$A11,DATA_CURRENT!$X:$X,U$5)</f>
        <v>0</v>
      </c>
      <c r="V11" s="77">
        <f>SUMIFS(DATA_CURRENT!$V:$V,DATA_CURRENT!$E:$E,$A11,DATA_CURRENT!$X:$X,V$5)</f>
        <v>11.28</v>
      </c>
      <c r="W11" s="77">
        <f>SUMIFS(DATA_CURRENT!$V:$V,DATA_CURRENT!$E:$E,$A11,DATA_CURRENT!$X:$X,W$5)</f>
        <v>47.94</v>
      </c>
      <c r="X11" s="77">
        <f>SUMIFS(DATA_CURRENT!$V:$V,DATA_CURRENT!$E:$E,$A11,DATA_CURRENT!$X:$X,X$5)</f>
        <v>0</v>
      </c>
      <c r="Y11" s="33">
        <f t="shared" si="1"/>
        <v>228.42999999999998</v>
      </c>
      <c r="Z11" s="33">
        <f>SUMIFS(DATA_CURRENT!$V:$V,DATA_CURRENT!$E:$E,$A11,DATA_CURRENT!$X:$X,Z$5)</f>
        <v>74.75</v>
      </c>
      <c r="AA11" s="33">
        <f>SUMIFS(DATA_CURRENT!$V:$V,DATA_CURRENT!$E:$E,$A11,DATA_CURRENT!$X:$X,AA$5)</f>
        <v>384.96</v>
      </c>
      <c r="AB11" s="30">
        <f t="shared" si="2"/>
        <v>688.13999999999987</v>
      </c>
      <c r="AC11" s="27"/>
      <c r="BB11">
        <f>Summary!J11+Summary!L11+Summary!N11+Summary!P11+Summary!R11+Summary!T11+Summary!V11</f>
        <v>2</v>
      </c>
      <c r="BC11">
        <f>Summary!K11+Summary!M11+Summary!O11+Summary!Q11+Summary!S11+Summary!U11+Summary!W11</f>
        <v>52.94</v>
      </c>
    </row>
    <row r="12" spans="1:55" x14ac:dyDescent="0.25">
      <c r="A12" s="18" t="s">
        <v>21</v>
      </c>
      <c r="C12" s="28" t="s">
        <v>21</v>
      </c>
      <c r="D12" s="29">
        <f>COUNTIF(DATA_PRIOR!$E:$E,A12)</f>
        <v>7</v>
      </c>
      <c r="E12" s="30">
        <f>SUMIF(DATA_PRIOR!$E:$E,A12,DATA_PRIOR!$V:$V)</f>
        <v>47.32</v>
      </c>
      <c r="G12" s="29">
        <v>-3</v>
      </c>
      <c r="H12" s="30">
        <v>-50.31</v>
      </c>
      <c r="I12" s="31">
        <f t="shared" si="3"/>
        <v>0</v>
      </c>
      <c r="J12" s="32">
        <f t="shared" si="0"/>
        <v>-3.5527136788005009E-15</v>
      </c>
      <c r="K12" s="31">
        <f>COUNTIFS(DATA_CURRENT!$B:$B,"Unresolved (May)",DATA_CURRENT!$E:$E,$A12)</f>
        <v>4</v>
      </c>
      <c r="L12" s="32">
        <f>SUMIFS(DATA_CURRENT!$V:$V,DATA_CURRENT!$E:$E,$A12,DATA_CURRENT!$B:$B,"Unresolved (May)")</f>
        <v>-2.9899999999999984</v>
      </c>
      <c r="M12" s="29">
        <f>COUNTIFS(DATA_CURRENT!$B:$B,"Added",DATA_CURRENT!$E:$E,$A12)</f>
        <v>0</v>
      </c>
      <c r="N12" s="30">
        <f>SUMIFS(DATA_CURRENT!$V:$V,DATA_CURRENT!$E:$E,$A12,DATA_CURRENT!$B:$B,"Added")</f>
        <v>0</v>
      </c>
      <c r="P12" s="29">
        <v>4</v>
      </c>
      <c r="Q12" s="30">
        <v>-2.9899999999999984</v>
      </c>
      <c r="S12" s="28" t="s">
        <v>21</v>
      </c>
      <c r="T12" s="77">
        <f>SUMIFS(DATA_CURRENT!$V:$V,DATA_CURRENT!$E:$E,$A12,DATA_CURRENT!$X:$X,T$5)</f>
        <v>4.3600000000000003</v>
      </c>
      <c r="U12" s="77">
        <f>SUMIFS(DATA_CURRENT!$V:$V,DATA_CURRENT!$E:$E,$A12,DATA_CURRENT!$X:$X,U$5)</f>
        <v>0</v>
      </c>
      <c r="V12" s="77">
        <f>SUMIFS(DATA_CURRENT!$V:$V,DATA_CURRENT!$E:$E,$A12,DATA_CURRENT!$X:$X,V$5)</f>
        <v>0</v>
      </c>
      <c r="W12" s="77">
        <f>SUMIFS(DATA_CURRENT!$V:$V,DATA_CURRENT!$E:$E,$A12,DATA_CURRENT!$X:$X,W$5)</f>
        <v>-6.19</v>
      </c>
      <c r="X12" s="77">
        <f>SUMIFS(DATA_CURRENT!$V:$V,DATA_CURRENT!$E:$E,$A12,DATA_CURRENT!$X:$X,X$5)</f>
        <v>0</v>
      </c>
      <c r="Y12" s="33">
        <f t="shared" si="1"/>
        <v>-1.83</v>
      </c>
      <c r="Z12" s="33">
        <f>SUMIFS(DATA_CURRENT!$V:$V,DATA_CURRENT!$E:$E,$A12,DATA_CURRENT!$X:$X,Z$5)</f>
        <v>-13.29</v>
      </c>
      <c r="AA12" s="33">
        <f>SUMIFS(DATA_CURRENT!$V:$V,DATA_CURRENT!$E:$E,$A12,DATA_CURRENT!$X:$X,AA$5)</f>
        <v>12.13</v>
      </c>
      <c r="AB12" s="30">
        <f t="shared" si="2"/>
        <v>-2.9899999999999984</v>
      </c>
      <c r="AC12" s="27"/>
      <c r="BB12">
        <f>Summary!J12+Summary!L12+Summary!N12+Summary!P12+Summary!R12+Summary!T12+Summary!V12</f>
        <v>0</v>
      </c>
      <c r="BC12">
        <f>Summary!K12+Summary!M12+Summary!O12+Summary!Q12+Summary!S12+Summary!U12+Summary!W12</f>
        <v>0</v>
      </c>
    </row>
    <row r="13" spans="1:55" x14ac:dyDescent="0.25">
      <c r="A13" s="18" t="s">
        <v>22</v>
      </c>
      <c r="C13" s="28" t="s">
        <v>22</v>
      </c>
      <c r="D13" s="29">
        <f>COUNTIF(DATA_PRIOR!$E:$E,A13)</f>
        <v>6</v>
      </c>
      <c r="E13" s="30">
        <f>SUMIF(DATA_PRIOR!$E:$E,A13,DATA_PRIOR!$V:$V)</f>
        <v>85.03</v>
      </c>
      <c r="G13" s="29">
        <v>-2</v>
      </c>
      <c r="H13" s="30">
        <v>-24.79</v>
      </c>
      <c r="I13" s="31">
        <f t="shared" si="3"/>
        <v>0</v>
      </c>
      <c r="J13" s="32">
        <f t="shared" si="0"/>
        <v>0</v>
      </c>
      <c r="K13" s="31">
        <f>COUNTIFS(DATA_CURRENT!$B:$B,"Unresolved (May)",DATA_CURRENT!$E:$E,$A13)</f>
        <v>4</v>
      </c>
      <c r="L13" s="32">
        <f>SUMIFS(DATA_CURRENT!$V:$V,DATA_CURRENT!$E:$E,$A13,DATA_CURRENT!$B:$B,"Unresolved (May)")</f>
        <v>60.24</v>
      </c>
      <c r="M13" s="29">
        <f>COUNTIFS(DATA_CURRENT!$B:$B,"Added",DATA_CURRENT!$E:$E,$A13)</f>
        <v>1</v>
      </c>
      <c r="N13" s="30">
        <f>SUMIFS(DATA_CURRENT!$V:$V,DATA_CURRENT!$E:$E,$A13,DATA_CURRENT!$B:$B,"Added")</f>
        <v>27.97</v>
      </c>
      <c r="P13" s="29">
        <v>5</v>
      </c>
      <c r="Q13" s="30">
        <v>88.210000000000008</v>
      </c>
      <c r="S13" s="28" t="s">
        <v>22</v>
      </c>
      <c r="T13" s="77">
        <f>SUMIFS(DATA_CURRENT!$V:$V,DATA_CURRENT!$E:$E,$A13,DATA_CURRENT!$X:$X,T$5)</f>
        <v>48.8</v>
      </c>
      <c r="U13" s="77">
        <f>SUMIFS(DATA_CURRENT!$V:$V,DATA_CURRENT!$E:$E,$A13,DATA_CURRENT!$X:$X,U$5)</f>
        <v>0</v>
      </c>
      <c r="V13" s="77">
        <f>SUMIFS(DATA_CURRENT!$V:$V,DATA_CURRENT!$E:$E,$A13,DATA_CURRENT!$X:$X,V$5)</f>
        <v>0</v>
      </c>
      <c r="W13" s="77">
        <f>SUMIFS(DATA_CURRENT!$V:$V,DATA_CURRENT!$E:$E,$A13,DATA_CURRENT!$X:$X,W$5)</f>
        <v>0</v>
      </c>
      <c r="X13" s="77">
        <f>SUMIFS(DATA_CURRENT!$V:$V,DATA_CURRENT!$E:$E,$A13,DATA_CURRENT!$X:$X,X$5)</f>
        <v>0</v>
      </c>
      <c r="Y13" s="33">
        <f t="shared" si="1"/>
        <v>48.8</v>
      </c>
      <c r="Z13" s="33">
        <f>SUMIFS(DATA_CURRENT!$V:$V,DATA_CURRENT!$E:$E,$A13,DATA_CURRENT!$X:$X,Z$5)</f>
        <v>0</v>
      </c>
      <c r="AA13" s="26">
        <f>SUMIFS(DATA_CURRENT!$V:$V,DATA_CURRENT!$E:$E,$A13,DATA_CURRENT!$X:$X,AA$5)</f>
        <v>39.409999999999997</v>
      </c>
      <c r="AB13" s="30">
        <f t="shared" si="2"/>
        <v>88.21</v>
      </c>
      <c r="AC13" s="27"/>
      <c r="BB13">
        <f>Summary!J13+Summary!L13+Summary!N13+Summary!P13+Summary!R13+Summary!T13+Summary!V13</f>
        <v>0</v>
      </c>
      <c r="BC13">
        <f>Summary!K13+Summary!M13+Summary!O13+Summary!Q13+Summary!S13+Summary!U13+Summary!W13</f>
        <v>0</v>
      </c>
    </row>
    <row r="14" spans="1:55" x14ac:dyDescent="0.25">
      <c r="A14" s="18" t="s">
        <v>23</v>
      </c>
      <c r="C14" s="28" t="s">
        <v>23</v>
      </c>
      <c r="D14" s="29">
        <f>COUNTIF(DATA_PRIOR!$E:$E,A14)</f>
        <v>0</v>
      </c>
      <c r="E14" s="30">
        <f>SUMIF(DATA_PRIOR!$E:$E,A14,DATA_PRIOR!$V:$V)</f>
        <v>0</v>
      </c>
      <c r="G14" s="29">
        <v>0</v>
      </c>
      <c r="H14" s="30">
        <v>0</v>
      </c>
      <c r="I14" s="31">
        <f t="shared" si="3"/>
        <v>0</v>
      </c>
      <c r="J14" s="32">
        <f t="shared" si="0"/>
        <v>0</v>
      </c>
      <c r="K14" s="31">
        <f>COUNTIFS(DATA_CURRENT!$B:$B,"Unresolved (May)",DATA_CURRENT!$E:$E,$A14)</f>
        <v>0</v>
      </c>
      <c r="L14" s="32">
        <f>SUMIFS(DATA_CURRENT!$V:$V,DATA_CURRENT!$E:$E,$A14,DATA_CURRENT!$B:$B,"Unresolved (May)")</f>
        <v>0</v>
      </c>
      <c r="M14" s="29">
        <f>COUNTIFS(DATA_CURRENT!$B:$B,"Added",DATA_CURRENT!$E:$E,$A14)</f>
        <v>0</v>
      </c>
      <c r="N14" s="30">
        <f>SUMIFS(DATA_CURRENT!$V:$V,DATA_CURRENT!$E:$E,$A14,DATA_CURRENT!$B:$B,"Added")</f>
        <v>0</v>
      </c>
      <c r="P14" s="29">
        <v>0</v>
      </c>
      <c r="Q14" s="30">
        <v>0</v>
      </c>
      <c r="S14" s="28" t="s">
        <v>23</v>
      </c>
      <c r="T14" s="77">
        <f>SUMIFS(DATA_CURRENT!$V:$V,DATA_CURRENT!$E:$E,$A14,DATA_CURRENT!$X:$X,T$5)</f>
        <v>0</v>
      </c>
      <c r="U14" s="77">
        <f>SUMIFS(DATA_CURRENT!$V:$V,DATA_CURRENT!$E:$E,$A14,DATA_CURRENT!$X:$X,U$5)</f>
        <v>0</v>
      </c>
      <c r="V14" s="77">
        <f>SUMIFS(DATA_CURRENT!$V:$V,DATA_CURRENT!$E:$E,$A14,DATA_CURRENT!$X:$X,V$5)</f>
        <v>0</v>
      </c>
      <c r="W14" s="77">
        <f>SUMIFS(DATA_CURRENT!$V:$V,DATA_CURRENT!$E:$E,$A14,DATA_CURRENT!$X:$X,W$5)</f>
        <v>0</v>
      </c>
      <c r="X14" s="77">
        <f>SUMIFS(DATA_CURRENT!$V:$V,DATA_CURRENT!$E:$E,$A14,DATA_CURRENT!$X:$X,X$5)</f>
        <v>0</v>
      </c>
      <c r="Y14" s="26">
        <f t="shared" si="1"/>
        <v>0</v>
      </c>
      <c r="Z14" s="33">
        <f>SUMIFS(DATA_CURRENT!$V:$V,DATA_CURRENT!$E:$E,$A14,DATA_CURRENT!$X:$X,Z$5)</f>
        <v>0</v>
      </c>
      <c r="AA14" s="26">
        <f>SUMIFS(DATA_CURRENT!$V:$V,DATA_CURRENT!$E:$E,$A14,DATA_CURRENT!$X:$X,AA$5)</f>
        <v>0</v>
      </c>
      <c r="AB14" s="30">
        <f t="shared" si="2"/>
        <v>0</v>
      </c>
      <c r="AC14" s="27"/>
      <c r="BB14">
        <f>Summary!J14+Summary!L14+Summary!N14+Summary!P14+Summary!R14+Summary!T14+Summary!V14</f>
        <v>0</v>
      </c>
      <c r="BC14">
        <f>Summary!K14+Summary!M14+Summary!O14+Summary!Q14+Summary!S14+Summary!U14+Summary!W14</f>
        <v>0</v>
      </c>
    </row>
    <row r="15" spans="1:55" x14ac:dyDescent="0.25">
      <c r="A15" s="18" t="s">
        <v>24</v>
      </c>
      <c r="C15" s="28" t="s">
        <v>24</v>
      </c>
      <c r="D15" s="29">
        <f>COUNTIF(DATA_PRIOR!$E:$E,A15)</f>
        <v>0</v>
      </c>
      <c r="E15" s="30">
        <f>SUMIF(DATA_PRIOR!$E:$E,A15,DATA_PRIOR!$V:$V)</f>
        <v>0</v>
      </c>
      <c r="G15" s="29">
        <v>0</v>
      </c>
      <c r="H15" s="30">
        <v>0</v>
      </c>
      <c r="I15" s="31">
        <f t="shared" si="3"/>
        <v>0</v>
      </c>
      <c r="J15" s="32">
        <f t="shared" si="0"/>
        <v>0</v>
      </c>
      <c r="K15" s="31">
        <f>COUNTIFS(DATA_CURRENT!$B:$B,"Unresolved (May)",DATA_CURRENT!$E:$E,$A15)</f>
        <v>0</v>
      </c>
      <c r="L15" s="32">
        <f>SUMIFS(DATA_CURRENT!$V:$V,DATA_CURRENT!$E:$E,$A15,DATA_CURRENT!$B:$B,"Unresolved (May)")</f>
        <v>0</v>
      </c>
      <c r="M15" s="29">
        <f>COUNTIFS(DATA_CURRENT!$B:$B,"Added",DATA_CURRENT!$E:$E,$A15)</f>
        <v>0</v>
      </c>
      <c r="N15" s="30">
        <f>SUMIFS(DATA_CURRENT!$V:$V,DATA_CURRENT!$E:$E,$A15,DATA_CURRENT!$B:$B,"Added")</f>
        <v>0</v>
      </c>
      <c r="P15" s="29">
        <v>0</v>
      </c>
      <c r="Q15" s="30">
        <v>0</v>
      </c>
      <c r="S15" s="28" t="s">
        <v>24</v>
      </c>
      <c r="T15" s="77">
        <f>SUMIFS(DATA_CURRENT!$V:$V,DATA_CURRENT!$E:$E,$A15,DATA_CURRENT!$X:$X,T$5)</f>
        <v>0</v>
      </c>
      <c r="U15" s="77">
        <f>SUMIFS(DATA_CURRENT!$V:$V,DATA_CURRENT!$E:$E,$A15,DATA_CURRENT!$X:$X,U$5)</f>
        <v>0</v>
      </c>
      <c r="V15" s="77">
        <f>SUMIFS(DATA_CURRENT!$V:$V,DATA_CURRENT!$E:$E,$A15,DATA_CURRENT!$X:$X,V$5)</f>
        <v>0</v>
      </c>
      <c r="W15" s="77">
        <f>SUMIFS(DATA_CURRENT!$V:$V,DATA_CURRENT!$E:$E,$A15,DATA_CURRENT!$X:$X,W$5)</f>
        <v>0</v>
      </c>
      <c r="X15" s="77">
        <f>SUMIFS(DATA_CURRENT!$V:$V,DATA_CURRENT!$E:$E,$A15,DATA_CURRENT!$X:$X,X$5)</f>
        <v>0</v>
      </c>
      <c r="Y15" s="26">
        <f t="shared" si="1"/>
        <v>0</v>
      </c>
      <c r="Z15" s="33">
        <f>SUMIFS(DATA_CURRENT!$V:$V,DATA_CURRENT!$E:$E,$A15,DATA_CURRENT!$X:$X,Z$5)</f>
        <v>0</v>
      </c>
      <c r="AA15" s="26">
        <f>SUMIFS(DATA_CURRENT!$V:$V,DATA_CURRENT!$E:$E,$A15,DATA_CURRENT!$X:$X,AA$5)</f>
        <v>0</v>
      </c>
      <c r="AB15" s="30">
        <f>SUM(Y15:AA15)</f>
        <v>0</v>
      </c>
      <c r="AC15" s="27"/>
      <c r="BB15">
        <f>Summary!J15+Summary!L15+Summary!N15+Summary!P15+Summary!R15+Summary!T15+Summary!V15</f>
        <v>0</v>
      </c>
      <c r="BC15">
        <f>Summary!K15+Summary!M15+Summary!O15+Summary!Q15+Summary!S15+Summary!U15+Summary!W15</f>
        <v>0</v>
      </c>
    </row>
    <row r="16" spans="1:55" x14ac:dyDescent="0.25">
      <c r="A16" s="18" t="s">
        <v>25</v>
      </c>
      <c r="C16" s="28" t="s">
        <v>26</v>
      </c>
      <c r="D16" s="29">
        <f>COUNTIF(DATA_PRIOR!$E:$E,A16)</f>
        <v>0</v>
      </c>
      <c r="E16" s="30">
        <f>SUMIF(DATA_PRIOR!$E:$E,A16,DATA_PRIOR!$V:$V)</f>
        <v>0</v>
      </c>
      <c r="G16" s="29">
        <v>0</v>
      </c>
      <c r="H16" s="30">
        <v>0</v>
      </c>
      <c r="I16" s="31">
        <f t="shared" si="3"/>
        <v>0</v>
      </c>
      <c r="J16" s="32">
        <f t="shared" si="0"/>
        <v>0</v>
      </c>
      <c r="K16" s="31">
        <f>COUNTIFS(DATA_CURRENT!$B:$B,"Unresolved (May)",DATA_CURRENT!$E:$E,$A16)</f>
        <v>0</v>
      </c>
      <c r="L16" s="32">
        <f>SUMIFS(DATA_CURRENT!$V:$V,DATA_CURRENT!$E:$E,$A16,DATA_CURRENT!$B:$B,"Unresolved (May)")</f>
        <v>0</v>
      </c>
      <c r="M16" s="29">
        <f>COUNTIFS(DATA_CURRENT!$B:$B,"Added",DATA_CURRENT!$E:$E,$A16)</f>
        <v>0</v>
      </c>
      <c r="N16" s="30">
        <f>SUMIFS(DATA_CURRENT!$V:$V,DATA_CURRENT!$E:$E,$A16,DATA_CURRENT!$B:$B,"Added")</f>
        <v>0</v>
      </c>
      <c r="P16" s="29">
        <v>0</v>
      </c>
      <c r="Q16" s="30">
        <v>0</v>
      </c>
      <c r="S16" s="28" t="s">
        <v>26</v>
      </c>
      <c r="T16" s="77">
        <f>SUMIFS(DATA_CURRENT!$V:$V,DATA_CURRENT!$E:$E,$A16,DATA_CURRENT!$X:$X,T$5)</f>
        <v>0</v>
      </c>
      <c r="U16" s="77">
        <f>SUMIFS(DATA_CURRENT!$V:$V,DATA_CURRENT!$E:$E,$A16,DATA_CURRENT!$X:$X,U$5)</f>
        <v>0</v>
      </c>
      <c r="V16" s="77">
        <f>SUMIFS(DATA_CURRENT!$V:$V,DATA_CURRENT!$E:$E,$A16,DATA_CURRENT!$X:$X,V$5)</f>
        <v>0</v>
      </c>
      <c r="W16" s="77">
        <f>SUMIFS(DATA_CURRENT!$V:$V,DATA_CURRENT!$E:$E,$A16,DATA_CURRENT!$X:$X,W$5)</f>
        <v>0</v>
      </c>
      <c r="X16" s="77">
        <f>SUMIFS(DATA_CURRENT!$V:$V,DATA_CURRENT!$E:$E,$A16,DATA_CURRENT!$X:$X,X$5)</f>
        <v>0</v>
      </c>
      <c r="Y16" s="33">
        <f t="shared" si="1"/>
        <v>0</v>
      </c>
      <c r="Z16" s="26">
        <f>SUMIFS(DATA_CURRENT!$V:$V,DATA_CURRENT!$E:$E,$A16,DATA_CURRENT!$X:$X,Z$5)</f>
        <v>0</v>
      </c>
      <c r="AA16" s="26">
        <f>SUMIFS(DATA_CURRENT!$V:$V,DATA_CURRENT!$E:$E,$A16,DATA_CURRENT!$X:$X,AA$5)</f>
        <v>0</v>
      </c>
      <c r="AB16" s="30">
        <f t="shared" si="2"/>
        <v>0</v>
      </c>
      <c r="AC16" s="27"/>
      <c r="BB16">
        <f>Summary!J16+Summary!L16+Summary!N16+Summary!P16+Summary!R16+Summary!T16+Summary!V16</f>
        <v>0</v>
      </c>
      <c r="BC16">
        <f>Summary!K16+Summary!M16+Summary!O16+Summary!Q16+Summary!S16+Summary!U16+Summary!W16</f>
        <v>0</v>
      </c>
    </row>
    <row r="17" spans="1:55" x14ac:dyDescent="0.25">
      <c r="C17" s="34" t="s">
        <v>12</v>
      </c>
      <c r="D17" s="35">
        <f>SUM(D6:D16)</f>
        <v>169</v>
      </c>
      <c r="E17" s="36">
        <f>SUM(E6:E16)</f>
        <v>1776.5800000000002</v>
      </c>
      <c r="G17" s="35">
        <v>-85</v>
      </c>
      <c r="H17" s="36">
        <v>-1146.2000000000003</v>
      </c>
      <c r="I17" s="37">
        <f t="shared" ref="I17:N17" si="4">SUM(I6:I16)</f>
        <v>15</v>
      </c>
      <c r="J17" s="38">
        <f t="shared" si="4"/>
        <v>99.499999999999957</v>
      </c>
      <c r="K17" s="37">
        <f t="shared" si="4"/>
        <v>69</v>
      </c>
      <c r="L17" s="38">
        <f t="shared" si="4"/>
        <v>530.88</v>
      </c>
      <c r="M17" s="35">
        <f t="shared" si="4"/>
        <v>35</v>
      </c>
      <c r="N17" s="36">
        <f t="shared" si="4"/>
        <v>705.77</v>
      </c>
      <c r="P17" s="35">
        <v>119</v>
      </c>
      <c r="Q17" s="36">
        <v>1336.15</v>
      </c>
      <c r="S17" s="34" t="s">
        <v>12</v>
      </c>
      <c r="T17" s="36">
        <f>SUM(T6:T16)</f>
        <v>243.29000000000002</v>
      </c>
      <c r="U17" s="36">
        <f t="shared" ref="U17:AB17" si="5">SUM(U6:U16)</f>
        <v>19.13</v>
      </c>
      <c r="V17" s="36">
        <f t="shared" si="5"/>
        <v>312.76</v>
      </c>
      <c r="W17" s="36">
        <f t="shared" si="5"/>
        <v>75.5</v>
      </c>
      <c r="X17" s="36">
        <f t="shared" si="5"/>
        <v>-0.2</v>
      </c>
      <c r="Y17" s="36">
        <f t="shared" si="5"/>
        <v>650.4799999999999</v>
      </c>
      <c r="Z17" s="36">
        <f t="shared" si="5"/>
        <v>237.55</v>
      </c>
      <c r="AA17" s="36">
        <f t="shared" si="5"/>
        <v>448.12</v>
      </c>
      <c r="AB17" s="36">
        <f t="shared" si="5"/>
        <v>1336.1499999999999</v>
      </c>
      <c r="AC17" s="27"/>
      <c r="BB17">
        <f>Summary!J17+Summary!L17+Summary!N17+Summary!P17+Summary!R17+Summary!T17+Summary!V17</f>
        <v>9</v>
      </c>
      <c r="BC17">
        <f>Summary!K17+Summary!M17+Summary!O17+Summary!Q17+Summary!S17+Summary!U17+Summary!W17</f>
        <v>91.98</v>
      </c>
    </row>
    <row r="18" spans="1:55" ht="15.75" thickBot="1" x14ac:dyDescent="0.3">
      <c r="G18" s="39"/>
      <c r="H18" s="78">
        <f>H17/E17</f>
        <v>-0.64517218475948179</v>
      </c>
      <c r="I18" s="41"/>
      <c r="J18" s="42"/>
      <c r="K18" s="1"/>
      <c r="L18" s="42"/>
      <c r="P18" s="139"/>
      <c r="Q18" s="140"/>
      <c r="AH18" s="40"/>
      <c r="BB18">
        <f>Summary!J18+Summary!L18+Summary!N18+Summary!P18+Summary!R18+Summary!T18+Summary!V18</f>
        <v>0</v>
      </c>
      <c r="BC18">
        <f>Summary!K18+Summary!M18+Summary!O18+Summary!Q18+Summary!S18+Summary!U18+Summary!W18</f>
        <v>0</v>
      </c>
    </row>
    <row r="19" spans="1:55" ht="15.75" thickTop="1" x14ac:dyDescent="0.25">
      <c r="G19" s="39"/>
      <c r="H19" s="27"/>
      <c r="I19" s="5"/>
      <c r="J19" s="5"/>
      <c r="K19" s="5"/>
      <c r="L19" s="5"/>
      <c r="P19" s="89"/>
      <c r="Q19" s="89"/>
      <c r="AH19" s="40"/>
    </row>
    <row r="20" spans="1:55" ht="15.75" thickBot="1" x14ac:dyDescent="0.3">
      <c r="E20" s="5"/>
      <c r="F20" s="5"/>
      <c r="G20" s="5"/>
      <c r="H20" s="5"/>
      <c r="I20" s="5"/>
      <c r="J20" s="5"/>
      <c r="K20" s="5"/>
      <c r="L20" s="1"/>
    </row>
    <row r="21" spans="1:55" ht="15.75" thickTop="1" x14ac:dyDescent="0.25">
      <c r="I21" s="3"/>
      <c r="J21" s="4"/>
      <c r="K21" s="3"/>
      <c r="L21" s="5"/>
      <c r="M21" s="13"/>
    </row>
    <row r="22" spans="1:55" ht="46.5" customHeight="1" thickBot="1" x14ac:dyDescent="0.3">
      <c r="D22" s="149" t="str">
        <f>+D3</f>
        <v>May'17</v>
      </c>
      <c r="E22" s="149"/>
      <c r="G22" s="149" t="s">
        <v>1</v>
      </c>
      <c r="H22" s="149"/>
      <c r="I22" s="146" t="str">
        <f>+I3</f>
        <v>unresolved (flagged before May)</v>
      </c>
      <c r="J22" s="147"/>
      <c r="K22" s="143" t="str">
        <f>+K3</f>
        <v>unresolved (from May)</v>
      </c>
      <c r="L22" s="143"/>
      <c r="M22" s="148" t="str">
        <f>+M3</f>
        <v>Added (from 150-180days)</v>
      </c>
      <c r="N22" s="148"/>
      <c r="P22" s="149" t="str">
        <f>+P3</f>
        <v>June'17</v>
      </c>
      <c r="Q22" s="149"/>
      <c r="AD22" s="43" t="s">
        <v>27</v>
      </c>
      <c r="AH22" s="43" t="s">
        <v>28</v>
      </c>
    </row>
    <row r="23" spans="1:55" ht="47.25" customHeight="1" thickTop="1" thickBot="1" x14ac:dyDescent="0.3">
      <c r="C23" s="7" t="s">
        <v>29</v>
      </c>
      <c r="D23" s="8" t="s">
        <v>7</v>
      </c>
      <c r="E23" s="9" t="s">
        <v>8</v>
      </c>
      <c r="G23" s="8" t="s">
        <v>7</v>
      </c>
      <c r="H23" s="9" t="s">
        <v>8</v>
      </c>
      <c r="I23" s="10" t="s">
        <v>7</v>
      </c>
      <c r="J23" s="11" t="s">
        <v>8</v>
      </c>
      <c r="K23" s="10" t="s">
        <v>7</v>
      </c>
      <c r="L23" s="11" t="s">
        <v>8</v>
      </c>
      <c r="M23" s="8" t="s">
        <v>7</v>
      </c>
      <c r="N23" s="9" t="s">
        <v>8</v>
      </c>
      <c r="P23" s="8" t="s">
        <v>7</v>
      </c>
      <c r="Q23" s="9" t="s">
        <v>8</v>
      </c>
      <c r="S23" s="7" t="s">
        <v>29</v>
      </c>
      <c r="T23" s="12"/>
      <c r="U23" s="12"/>
      <c r="V23" s="12"/>
      <c r="W23" s="12"/>
      <c r="X23" s="12"/>
      <c r="Y23" s="8" t="s">
        <v>9</v>
      </c>
      <c r="Z23" s="8" t="s">
        <v>10</v>
      </c>
      <c r="AA23" s="8" t="s">
        <v>11</v>
      </c>
      <c r="AB23" s="9" t="s">
        <v>12</v>
      </c>
      <c r="AD23" s="8" t="s">
        <v>30</v>
      </c>
      <c r="AE23" s="8" t="s">
        <v>31</v>
      </c>
      <c r="AF23" s="8" t="s">
        <v>32</v>
      </c>
      <c r="AH23" s="8" t="s">
        <v>31</v>
      </c>
      <c r="AI23" s="8" t="s">
        <v>32</v>
      </c>
      <c r="AJ23" s="8" t="s">
        <v>33</v>
      </c>
    </row>
    <row r="24" spans="1:55" ht="15.75" thickBot="1" x14ac:dyDescent="0.3">
      <c r="I24" s="13"/>
      <c r="J24" s="6"/>
      <c r="K24" s="5"/>
      <c r="L24" s="97"/>
      <c r="S24" s="7"/>
      <c r="T24" s="14">
        <v>1</v>
      </c>
      <c r="U24" s="14">
        <v>2</v>
      </c>
      <c r="V24" s="14">
        <v>3</v>
      </c>
      <c r="W24" s="14">
        <v>4</v>
      </c>
      <c r="X24" s="14">
        <v>5</v>
      </c>
      <c r="Y24" s="15"/>
      <c r="Z24" s="16">
        <v>8</v>
      </c>
      <c r="AA24" s="16" t="s">
        <v>13</v>
      </c>
      <c r="AB24" s="17"/>
      <c r="AG24" s="102" t="s">
        <v>34</v>
      </c>
      <c r="AH24" s="24"/>
      <c r="AK24" s="102" t="s">
        <v>35</v>
      </c>
      <c r="AM24" s="102" t="s">
        <v>36</v>
      </c>
    </row>
    <row r="25" spans="1:55" x14ac:dyDescent="0.25">
      <c r="A25" s="18" t="s">
        <v>37</v>
      </c>
      <c r="C25" s="19" t="s">
        <v>38</v>
      </c>
      <c r="D25" s="20">
        <f>COUNTIF(DATA_PRIOR!$J:$J,A25)</f>
        <v>20</v>
      </c>
      <c r="E25" s="21">
        <f>SUMIF(DATA_PRIOR!$J:$J,A25,DATA_PRIOR!$V:$V)</f>
        <v>337.22</v>
      </c>
      <c r="G25" s="20">
        <v>-16</v>
      </c>
      <c r="H25" s="21">
        <v>-276.52000000000004</v>
      </c>
      <c r="I25" s="22">
        <f t="shared" ref="I25:I38" si="6">+D25+G25-K25</f>
        <v>0</v>
      </c>
      <c r="J25" s="23">
        <f t="shared" ref="J25:J38" si="7">+E25+H25-L25</f>
        <v>0</v>
      </c>
      <c r="K25" s="22">
        <f>COUNTIFS(DATA_CURRENT!$B:$B,"Unresolved (May)",DATA_CURRENT!$J:$J,$A25)</f>
        <v>4</v>
      </c>
      <c r="L25" s="23">
        <f>SUMIFS(DATA_CURRENT!$V:$V,DATA_CURRENT!$J:$J,$A25,DATA_CURRENT!$B:$B,"Unresolved (May)")</f>
        <v>60.7</v>
      </c>
      <c r="M25" s="20">
        <f>COUNTIFS(DATA_CURRENT!$B:$B,"Added",DATA_CURRENT!$J:$J,$A25)</f>
        <v>3</v>
      </c>
      <c r="N25" s="21">
        <f>SUMIFS(DATA_CURRENT!$V:$V,DATA_CURRENT!$J:$J,$A25,DATA_CURRENT!$B:$B,"Added")</f>
        <v>71.84</v>
      </c>
      <c r="P25" s="20">
        <v>7</v>
      </c>
      <c r="Q25" s="21">
        <v>132.54000000000002</v>
      </c>
      <c r="S25" s="19" t="s">
        <v>38</v>
      </c>
      <c r="T25" s="77">
        <f>SUMIFS(DATA_CURRENT!$V:$V,DATA_CURRENT!$J:$J,$A25,DATA_CURRENT!$X:$X,T$5)</f>
        <v>0</v>
      </c>
      <c r="U25" s="77">
        <f>SUMIFS(DATA_CURRENT!$V:$V,DATA_CURRENT!$J:$J,$A25,DATA_CURRENT!$X:$X,U$5)</f>
        <v>-1.82</v>
      </c>
      <c r="V25" s="77">
        <f>SUMIFS(DATA_CURRENT!$V:$V,DATA_CURRENT!$J:$J,$A25,DATA_CURRENT!$X:$X,V$5)</f>
        <v>0</v>
      </c>
      <c r="W25" s="77">
        <f>SUMIFS(DATA_CURRENT!$V:$V,DATA_CURRENT!$J:$J,$A25,DATA_CURRENT!$X:$X,W$5)</f>
        <v>0</v>
      </c>
      <c r="X25" s="77">
        <f>SUMIFS(DATA_CURRENT!$V:$V,DATA_CURRENT!$J:$J,$A25,DATA_CURRENT!$X:$X,X$5)</f>
        <v>0</v>
      </c>
      <c r="Y25" s="33">
        <f t="shared" ref="Y25:Y38" si="8">SUM(T25:X25)</f>
        <v>-1.82</v>
      </c>
      <c r="Z25" s="24">
        <f>SUMIFS(DATA_CURRENT!$V:$V,DATA_CURRENT!$J:$J,$A25,DATA_CURRENT!$X:$X,Z$5)</f>
        <v>85.009999999999991</v>
      </c>
      <c r="AA25" s="24">
        <f>SUMIFS(DATA_CURRENT!$V:$V,DATA_CURRENT!$J:$J,$A25,DATA_CURRENT!$X:$X,AA$5)</f>
        <v>49.35</v>
      </c>
      <c r="AB25" s="21">
        <f t="shared" ref="AB25:AB34" si="9">SUM(Y25:AA25)</f>
        <v>132.54</v>
      </c>
      <c r="AD25" s="24">
        <f>SUMIFS(DATA_CURRENT!$Z:$Z,DATA_CURRENT!$J:$J,$A25,DATA_CURRENT!$Y:$Y,AD$23)</f>
        <v>0</v>
      </c>
      <c r="AE25" s="24">
        <f>SUMIFS(DATA_CURRENT!$Z:$Z,DATA_CURRENT!$J:$J,$A25,DATA_CURRENT!$Y:$Y,AE$23)</f>
        <v>23.765000000000001</v>
      </c>
      <c r="AF25" s="24">
        <f>SUMIFS(DATA_CURRENT!$Z:$Z,DATA_CURRENT!$J:$J,$A25,DATA_CURRENT!$Y:$Y,AF$23)</f>
        <v>21.252499999999998</v>
      </c>
      <c r="AG25" s="21">
        <f t="shared" ref="AG25:AG38" si="10">SUM(AD25:AF25)</f>
        <v>45.017499999999998</v>
      </c>
      <c r="AH25" s="24">
        <f>SUMIFS(DATA_CURRENT!$AA:$AA,DATA_CURRENT!$J:$J,$A25,DATA_CURRENT!$Y:$Y,AH$23)</f>
        <v>23.765000000000001</v>
      </c>
      <c r="AI25" s="24">
        <f>SUMIFS(DATA_CURRENT!$AA:$AA,DATA_CURRENT!$J:$J,$A25,DATA_CURRENT!$Y:$Y,AI$23)</f>
        <v>63.7575</v>
      </c>
      <c r="AJ25" s="24">
        <f>SUMIFS(DATA_CURRENT!$AA:$AA,DATA_CURRENT!$J:$J,$A25,DATA_CURRENT!$Y:$Y,AJ$23)</f>
        <v>0</v>
      </c>
      <c r="AK25" s="21">
        <f t="shared" ref="AK25:AK38" si="11">SUM(AH25:AJ25)</f>
        <v>87.522500000000008</v>
      </c>
      <c r="AM25" s="21">
        <f t="shared" ref="AM25:AM39" si="12">AK25+AG25</f>
        <v>132.54000000000002</v>
      </c>
      <c r="AN25" s="27">
        <f t="shared" ref="AN25:AN39" si="13">AM25-AB25</f>
        <v>0</v>
      </c>
      <c r="BB25">
        <f>Summary!J25+Summary!L25+Summary!N25+Summary!P25+Summary!R25+Summary!T25+Summary!V25</f>
        <v>0</v>
      </c>
      <c r="BC25">
        <f>Summary!K25+Summary!M25+Summary!O25+Summary!Q25+Summary!S25+Summary!U25+Summary!W25</f>
        <v>0</v>
      </c>
    </row>
    <row r="26" spans="1:55" x14ac:dyDescent="0.25">
      <c r="A26" s="18" t="s">
        <v>39</v>
      </c>
      <c r="C26" s="28" t="s">
        <v>40</v>
      </c>
      <c r="D26" s="29">
        <f>COUNTIF(DATA_PRIOR!$J:$J,A26)</f>
        <v>4</v>
      </c>
      <c r="E26" s="30">
        <f>SUMIF(DATA_PRIOR!$J:$J,A26,DATA_PRIOR!$V:$V)</f>
        <v>57.35</v>
      </c>
      <c r="G26" s="29">
        <v>0</v>
      </c>
      <c r="H26" s="30">
        <v>-28.14</v>
      </c>
      <c r="I26" s="31">
        <f t="shared" si="6"/>
        <v>0</v>
      </c>
      <c r="J26" s="32">
        <f t="shared" si="7"/>
        <v>0</v>
      </c>
      <c r="K26" s="31">
        <f>COUNTIFS(DATA_CURRENT!$B:$B,"Unresolved (May)",DATA_CURRENT!$J:$J,$A26)</f>
        <v>4</v>
      </c>
      <c r="L26" s="32">
        <f>SUMIFS(DATA_CURRENT!$V:$V,DATA_CURRENT!$J:$J,$A26,DATA_CURRENT!$B:$B,"Unresolved (May)")</f>
        <v>29.21</v>
      </c>
      <c r="M26" s="29">
        <f>COUNTIFS(DATA_CURRENT!$B:$B,"Added",DATA_CURRENT!$J:$J,$A26)</f>
        <v>1</v>
      </c>
      <c r="N26" s="30">
        <f>SUMIFS(DATA_CURRENT!$V:$V,DATA_CURRENT!$J:$J,$A26,DATA_CURRENT!$B:$B,"Added")</f>
        <v>27.97</v>
      </c>
      <c r="P26" s="29">
        <v>5</v>
      </c>
      <c r="Q26" s="30">
        <v>57.18</v>
      </c>
      <c r="S26" s="28" t="s">
        <v>40</v>
      </c>
      <c r="T26" s="77">
        <f>SUMIFS(DATA_CURRENT!$V:$V,DATA_CURRENT!$J:$J,$A26,DATA_CURRENT!$X:$X,T$5)</f>
        <v>0</v>
      </c>
      <c r="U26" s="77">
        <f>SUMIFS(DATA_CURRENT!$V:$V,DATA_CURRENT!$J:$J,$A26,DATA_CURRENT!$X:$X,U$5)</f>
        <v>0</v>
      </c>
      <c r="V26" s="77">
        <f>SUMIFS(DATA_CURRENT!$V:$V,DATA_CURRENT!$J:$J,$A26,DATA_CURRENT!$X:$X,V$5)</f>
        <v>0</v>
      </c>
      <c r="W26" s="77">
        <f>SUMIFS(DATA_CURRENT!$V:$V,DATA_CURRENT!$J:$J,$A26,DATA_CURRENT!$X:$X,W$5)</f>
        <v>0</v>
      </c>
      <c r="X26" s="77">
        <f>SUMIFS(DATA_CURRENT!$V:$V,DATA_CURRENT!$J:$J,$A26,DATA_CURRENT!$X:$X,X$5)</f>
        <v>-0.2</v>
      </c>
      <c r="Y26" s="26">
        <f t="shared" si="8"/>
        <v>-0.2</v>
      </c>
      <c r="Z26" s="33">
        <f>SUMIFS(DATA_CURRENT!$V:$V,DATA_CURRENT!$J:$J,$A26,DATA_CURRENT!$X:$X,Z$5)</f>
        <v>0</v>
      </c>
      <c r="AA26" s="26">
        <f>SUMIFS(DATA_CURRENT!$V:$V,DATA_CURRENT!$J:$J,$A26,DATA_CURRENT!$X:$X,AA$5)</f>
        <v>57.379999999999995</v>
      </c>
      <c r="AB26" s="30">
        <f t="shared" si="9"/>
        <v>57.179999999999993</v>
      </c>
      <c r="AD26" s="26">
        <f>SUMIFS(DATA_CURRENT!$Z:$Z,DATA_CURRENT!$J:$J,$A26,DATA_CURRENT!$Y:$Y,AD$23)</f>
        <v>0</v>
      </c>
      <c r="AE26" s="26">
        <f>SUMIFS(DATA_CURRENT!$Z:$Z,DATA_CURRENT!$J:$J,$A26,DATA_CURRENT!$Y:$Y,AE$23)</f>
        <v>28.689999999999998</v>
      </c>
      <c r="AF26" s="26">
        <f>SUMIFS(DATA_CURRENT!$Z:$Z,DATA_CURRENT!$J:$J,$A26,DATA_CURRENT!$Y:$Y,AF$23)</f>
        <v>0</v>
      </c>
      <c r="AG26" s="30">
        <f t="shared" si="10"/>
        <v>28.689999999999998</v>
      </c>
      <c r="AH26" s="26">
        <f>SUMIFS(DATA_CURRENT!$AA:$AA,DATA_CURRENT!$J:$J,$A26,DATA_CURRENT!$Y:$Y,AH$23)</f>
        <v>28.689999999999998</v>
      </c>
      <c r="AI26" s="26">
        <f>SUMIFS(DATA_CURRENT!$AA:$AA,DATA_CURRENT!$J:$J,$A26,DATA_CURRENT!$Y:$Y,AI$23)</f>
        <v>0</v>
      </c>
      <c r="AJ26" s="26">
        <f>SUMIFS(DATA_CURRENT!$AA:$AA,DATA_CURRENT!$J:$J,$A26,DATA_CURRENT!$Y:$Y,AJ$23)</f>
        <v>-0.2</v>
      </c>
      <c r="AK26" s="30">
        <f t="shared" si="11"/>
        <v>28.49</v>
      </c>
      <c r="AM26" s="30">
        <f t="shared" si="12"/>
        <v>57.179999999999993</v>
      </c>
      <c r="AN26" s="27">
        <f t="shared" si="13"/>
        <v>0</v>
      </c>
      <c r="BB26">
        <f>Summary!J26+Summary!L26+Summary!N26+Summary!P26+Summary!R26+Summary!T26+Summary!V26</f>
        <v>0</v>
      </c>
      <c r="BC26">
        <f>Summary!K26+Summary!M26+Summary!O26+Summary!Q26+Summary!S26+Summary!U26+Summary!W26</f>
        <v>0</v>
      </c>
    </row>
    <row r="27" spans="1:55" x14ac:dyDescent="0.25">
      <c r="A27" s="18" t="s">
        <v>41</v>
      </c>
      <c r="C27" s="28" t="s">
        <v>42</v>
      </c>
      <c r="D27" s="29">
        <f>COUNTIF(DATA_PRIOR!$J:$J,A27)</f>
        <v>61</v>
      </c>
      <c r="E27" s="30">
        <f>SUMIF(DATA_PRIOR!$J:$J,A27,DATA_PRIOR!$V:$V)</f>
        <v>260.08000000000004</v>
      </c>
      <c r="G27" s="29">
        <v>-24</v>
      </c>
      <c r="H27" s="30">
        <v>-174.46000000000004</v>
      </c>
      <c r="I27" s="31">
        <f t="shared" si="6"/>
        <v>6</v>
      </c>
      <c r="J27" s="32">
        <f t="shared" si="7"/>
        <v>7.5200000000000102</v>
      </c>
      <c r="K27" s="31">
        <f>COUNTIFS(DATA_CURRENT!$B:$B,"Unresolved (May)",DATA_CURRENT!$J:$J,$A27)</f>
        <v>31</v>
      </c>
      <c r="L27" s="32">
        <f>SUMIFS(DATA_CURRENT!$V:$V,DATA_CURRENT!$J:$J,$A27,DATA_CURRENT!$B:$B,"Unresolved (May)")</f>
        <v>78.099999999999994</v>
      </c>
      <c r="M27" s="29">
        <f>COUNTIFS(DATA_CURRENT!$B:$B,"Added",DATA_CURRENT!$J:$J,$A27)</f>
        <v>10</v>
      </c>
      <c r="N27" s="30">
        <f>SUMIFS(DATA_CURRENT!$V:$V,DATA_CURRENT!$J:$J,$A27,DATA_CURRENT!$B:$B,"Added")</f>
        <v>115.31</v>
      </c>
      <c r="P27" s="29">
        <v>47</v>
      </c>
      <c r="Q27" s="30">
        <v>200.93</v>
      </c>
      <c r="S27" s="28" t="s">
        <v>42</v>
      </c>
      <c r="T27" s="77">
        <f>SUMIFS(DATA_CURRENT!$V:$V,DATA_CURRENT!$J:$J,$A27,DATA_CURRENT!$X:$X,T$5)</f>
        <v>89.84</v>
      </c>
      <c r="U27" s="77">
        <f>SUMIFS(DATA_CURRENT!$V:$V,DATA_CURRENT!$J:$J,$A27,DATA_CURRENT!$X:$X,U$5)</f>
        <v>0</v>
      </c>
      <c r="V27" s="77">
        <f>SUMIFS(DATA_CURRENT!$V:$V,DATA_CURRENT!$J:$J,$A27,DATA_CURRENT!$X:$X,V$5)</f>
        <v>23.76</v>
      </c>
      <c r="W27" s="77">
        <f>SUMIFS(DATA_CURRENT!$V:$V,DATA_CURRENT!$J:$J,$A27,DATA_CURRENT!$X:$X,W$5)</f>
        <v>38.56</v>
      </c>
      <c r="X27" s="77">
        <f>SUMIFS(DATA_CURRENT!$V:$V,DATA_CURRENT!$J:$J,$A27,DATA_CURRENT!$X:$X,X$5)</f>
        <v>0</v>
      </c>
      <c r="Y27" s="26">
        <f t="shared" si="8"/>
        <v>152.16000000000003</v>
      </c>
      <c r="Z27" s="33">
        <f>SUMIFS(DATA_CURRENT!$V:$V,DATA_CURRENT!$J:$J,$A27,DATA_CURRENT!$X:$X,Z$5)</f>
        <v>48.77</v>
      </c>
      <c r="AA27" s="26">
        <f>SUMIFS(DATA_CURRENT!$V:$V,DATA_CURRENT!$J:$J,$A27,DATA_CURRENT!$X:$X,AA$5)</f>
        <v>0</v>
      </c>
      <c r="AB27" s="30">
        <f t="shared" si="9"/>
        <v>200.93000000000004</v>
      </c>
      <c r="AD27" s="33">
        <f>SUMIFS(DATA_CURRENT!$Z:$Z,DATA_CURRENT!$J:$J,$A27,DATA_CURRENT!$Y:$Y,AD$23)</f>
        <v>89.84</v>
      </c>
      <c r="AE27" s="33">
        <f>SUMIFS(DATA_CURRENT!$Z:$Z,DATA_CURRENT!$J:$J,$A27,DATA_CURRENT!$Y:$Y,AE$23)</f>
        <v>31.16</v>
      </c>
      <c r="AF27" s="33">
        <f>SUMIFS(DATA_CURRENT!$Z:$Z,DATA_CURRENT!$J:$J,$A27,DATA_CURRENT!$Y:$Y,AF$23)</f>
        <v>12.192500000000001</v>
      </c>
      <c r="AG27" s="30">
        <f t="shared" si="10"/>
        <v>133.1925</v>
      </c>
      <c r="AH27" s="33">
        <f>SUMIFS(DATA_CURRENT!$AA:$AA,DATA_CURRENT!$J:$J,$A27,DATA_CURRENT!$Y:$Y,AH$23)</f>
        <v>31.16</v>
      </c>
      <c r="AI27" s="33">
        <f>SUMIFS(DATA_CURRENT!$AA:$AA,DATA_CURRENT!$J:$J,$A27,DATA_CURRENT!$Y:$Y,AI$23)</f>
        <v>36.577500000000001</v>
      </c>
      <c r="AJ27" s="33">
        <f>SUMIFS(DATA_CURRENT!$AA:$AA,DATA_CURRENT!$J:$J,$A27,DATA_CURRENT!$Y:$Y,AJ$23)</f>
        <v>0</v>
      </c>
      <c r="AK27" s="30">
        <f t="shared" si="11"/>
        <v>67.737499999999997</v>
      </c>
      <c r="AM27" s="30">
        <f t="shared" si="12"/>
        <v>200.93</v>
      </c>
      <c r="AN27" s="27">
        <f t="shared" si="13"/>
        <v>0</v>
      </c>
      <c r="BB27">
        <f>Summary!J27+Summary!L27+Summary!N27+Summary!P27+Summary!R27+Summary!T27+Summary!V27</f>
        <v>0</v>
      </c>
      <c r="BC27">
        <f>Summary!K27+Summary!M27+Summary!O27+Summary!Q27+Summary!S27+Summary!U27+Summary!W27</f>
        <v>0</v>
      </c>
    </row>
    <row r="28" spans="1:55" x14ac:dyDescent="0.25">
      <c r="A28" s="18" t="s">
        <v>43</v>
      </c>
      <c r="C28" s="28" t="s">
        <v>44</v>
      </c>
      <c r="D28" s="29">
        <f>COUNTIF(DATA_PRIOR!$J:$J,A28)</f>
        <v>11</v>
      </c>
      <c r="E28" s="30">
        <f>SUMIF(DATA_PRIOR!$J:$J,A28,DATA_PRIOR!$V:$V)</f>
        <v>269.49</v>
      </c>
      <c r="G28" s="29">
        <v>-10</v>
      </c>
      <c r="H28" s="30">
        <v>-275.68</v>
      </c>
      <c r="I28" s="31">
        <f t="shared" si="6"/>
        <v>0</v>
      </c>
      <c r="J28" s="32">
        <f t="shared" si="7"/>
        <v>0</v>
      </c>
      <c r="K28" s="31">
        <f>COUNTIFS(DATA_CURRENT!$B:$B,"Unresolved (May)",DATA_CURRENT!$J:$J,$A28)</f>
        <v>1</v>
      </c>
      <c r="L28" s="32">
        <f>SUMIFS(DATA_CURRENT!$V:$V,DATA_CURRENT!$J:$J,$A28,DATA_CURRENT!$B:$B,"Unresolved (May)")</f>
        <v>-6.19</v>
      </c>
      <c r="M28" s="29">
        <f>COUNTIFS(DATA_CURRENT!$B:$B,"Added",DATA_CURRENT!$J:$J,$A28)</f>
        <v>6</v>
      </c>
      <c r="N28" s="30">
        <f>SUMIFS(DATA_CURRENT!$V:$V,DATA_CURRENT!$J:$J,$A28,DATA_CURRENT!$B:$B,"Added")</f>
        <v>242.85</v>
      </c>
      <c r="P28" s="29">
        <v>7</v>
      </c>
      <c r="Q28" s="30">
        <v>236.66</v>
      </c>
      <c r="S28" s="28" t="s">
        <v>44</v>
      </c>
      <c r="T28" s="77">
        <f>SUMIFS(DATA_CURRENT!$V:$V,DATA_CURRENT!$J:$J,$A28,DATA_CURRENT!$X:$X,T$5)</f>
        <v>0</v>
      </c>
      <c r="U28" s="77">
        <f>SUMIFS(DATA_CURRENT!$V:$V,DATA_CURRENT!$J:$J,$A28,DATA_CURRENT!$X:$X,U$5)</f>
        <v>0</v>
      </c>
      <c r="V28" s="77">
        <f>SUMIFS(DATA_CURRENT!$V:$V,DATA_CURRENT!$J:$J,$A28,DATA_CURRENT!$X:$X,V$5)</f>
        <v>0</v>
      </c>
      <c r="W28" s="77">
        <f>SUMIFS(DATA_CURRENT!$V:$V,DATA_CURRENT!$J:$J,$A28,DATA_CURRENT!$X:$X,W$5)</f>
        <v>-6.19</v>
      </c>
      <c r="X28" s="77">
        <f>SUMIFS(DATA_CURRENT!$V:$V,DATA_CURRENT!$J:$J,$A28,DATA_CURRENT!$X:$X,X$5)</f>
        <v>0</v>
      </c>
      <c r="Y28" s="26">
        <f t="shared" si="8"/>
        <v>-6.19</v>
      </c>
      <c r="Z28" s="33">
        <f>SUMIFS(DATA_CURRENT!$V:$V,DATA_CURRENT!$J:$J,$A28,DATA_CURRENT!$X:$X,Z$5)</f>
        <v>0</v>
      </c>
      <c r="AA28" s="26">
        <f>SUMIFS(DATA_CURRENT!$V:$V,DATA_CURRENT!$J:$J,$A28,DATA_CURRENT!$X:$X,AA$5)</f>
        <v>242.85</v>
      </c>
      <c r="AB28" s="30">
        <f t="shared" si="9"/>
        <v>236.66</v>
      </c>
      <c r="AD28" s="26">
        <f>SUMIFS(DATA_CURRENT!$Z:$Z,DATA_CURRENT!$J:$J,$A28,DATA_CURRENT!$Y:$Y,AD$23)</f>
        <v>0</v>
      </c>
      <c r="AE28" s="26">
        <f>SUMIFS(DATA_CURRENT!$Z:$Z,DATA_CURRENT!$J:$J,$A28,DATA_CURRENT!$Y:$Y,AE$23)</f>
        <v>118.33</v>
      </c>
      <c r="AF28" s="26">
        <f>SUMIFS(DATA_CURRENT!$Z:$Z,DATA_CURRENT!$J:$J,$A28,DATA_CURRENT!$Y:$Y,AF$23)</f>
        <v>0</v>
      </c>
      <c r="AG28" s="30">
        <f t="shared" si="10"/>
        <v>118.33</v>
      </c>
      <c r="AH28" s="26">
        <f>SUMIFS(DATA_CURRENT!$AA:$AA,DATA_CURRENT!$J:$J,$A28,DATA_CURRENT!$Y:$Y,AH$23)</f>
        <v>118.33</v>
      </c>
      <c r="AI28" s="26">
        <f>SUMIFS(DATA_CURRENT!$AA:$AA,DATA_CURRENT!$J:$J,$A28,DATA_CURRENT!$Y:$Y,AI$23)</f>
        <v>0</v>
      </c>
      <c r="AJ28" s="26">
        <f>SUMIFS(DATA_CURRENT!$AA:$AA,DATA_CURRENT!$J:$J,$A28,DATA_CURRENT!$Y:$Y,AJ$23)</f>
        <v>0</v>
      </c>
      <c r="AK28" s="30">
        <f t="shared" si="11"/>
        <v>118.33</v>
      </c>
      <c r="AM28" s="30">
        <f t="shared" si="12"/>
        <v>236.66</v>
      </c>
      <c r="AN28" s="27">
        <f t="shared" si="13"/>
        <v>0</v>
      </c>
      <c r="BB28">
        <f>Summary!J28+Summary!L28+Summary!N28+Summary!P28+Summary!R28+Summary!T28+Summary!V28</f>
        <v>0</v>
      </c>
      <c r="BC28">
        <f>Summary!K28+Summary!M28+Summary!O28+Summary!Q28+Summary!S28+Summary!U28+Summary!W28</f>
        <v>0</v>
      </c>
    </row>
    <row r="29" spans="1:55" x14ac:dyDescent="0.25">
      <c r="A29" s="18" t="s">
        <v>45</v>
      </c>
      <c r="C29" s="28" t="s">
        <v>46</v>
      </c>
      <c r="D29" s="29">
        <f>COUNTIF(DATA_PRIOR!$J:$J,A29)</f>
        <v>7</v>
      </c>
      <c r="E29" s="30">
        <f>SUMIF(DATA_PRIOR!$J:$J,A29,DATA_PRIOR!$V:$V)</f>
        <v>265.13</v>
      </c>
      <c r="G29" s="29">
        <v>-5</v>
      </c>
      <c r="H29" s="30">
        <v>-3.9099999999999682</v>
      </c>
      <c r="I29" s="31">
        <f t="shared" si="6"/>
        <v>0</v>
      </c>
      <c r="J29" s="32">
        <f t="shared" si="7"/>
        <v>0</v>
      </c>
      <c r="K29" s="31">
        <f>COUNTIFS(DATA_CURRENT!$B:$B,"Unresolved (May)",DATA_CURRENT!$J:$J,$A29)</f>
        <v>2</v>
      </c>
      <c r="L29" s="32">
        <f>SUMIFS(DATA_CURRENT!$V:$V,DATA_CURRENT!$J:$J,$A29,DATA_CURRENT!$B:$B,"Unresolved (May)")</f>
        <v>261.22000000000003</v>
      </c>
      <c r="M29" s="29">
        <f>COUNTIFS(DATA_CURRENT!$B:$B,"Added",DATA_CURRENT!$J:$J,$A29)</f>
        <v>0</v>
      </c>
      <c r="N29" s="30">
        <f>SUMIFS(DATA_CURRENT!$V:$V,DATA_CURRENT!$J:$J,$A29,DATA_CURRENT!$B:$B,"Added")</f>
        <v>0</v>
      </c>
      <c r="P29" s="29">
        <v>2</v>
      </c>
      <c r="Q29" s="30">
        <v>261.22000000000003</v>
      </c>
      <c r="S29" s="28" t="s">
        <v>46</v>
      </c>
      <c r="T29" s="77">
        <f>SUMIFS(DATA_CURRENT!$V:$V,DATA_CURRENT!$J:$J,$A29,DATA_CURRENT!$X:$X,T$5)</f>
        <v>0</v>
      </c>
      <c r="U29" s="77">
        <f>SUMIFS(DATA_CURRENT!$V:$V,DATA_CURRENT!$J:$J,$A29,DATA_CURRENT!$X:$X,U$5)</f>
        <v>0</v>
      </c>
      <c r="V29" s="77">
        <f>SUMIFS(DATA_CURRENT!$V:$V,DATA_CURRENT!$J:$J,$A29,DATA_CURRENT!$X:$X,V$5)</f>
        <v>261.22000000000003</v>
      </c>
      <c r="W29" s="77">
        <f>SUMIFS(DATA_CURRENT!$V:$V,DATA_CURRENT!$J:$J,$A29,DATA_CURRENT!$X:$X,W$5)</f>
        <v>0</v>
      </c>
      <c r="X29" s="77">
        <f>SUMIFS(DATA_CURRENT!$V:$V,DATA_CURRENT!$J:$J,$A29,DATA_CURRENT!$X:$X,X$5)</f>
        <v>0</v>
      </c>
      <c r="Y29" s="26">
        <f t="shared" si="8"/>
        <v>261.22000000000003</v>
      </c>
      <c r="Z29" s="33">
        <f>SUMIFS(DATA_CURRENT!$V:$V,DATA_CURRENT!$J:$J,$A29,DATA_CURRENT!$X:$X,Z$5)</f>
        <v>0</v>
      </c>
      <c r="AA29" s="26">
        <f>SUMIFS(DATA_CURRENT!$V:$V,DATA_CURRENT!$J:$J,$A29,DATA_CURRENT!$X:$X,AA$5)</f>
        <v>0</v>
      </c>
      <c r="AB29" s="30">
        <f t="shared" si="9"/>
        <v>261.22000000000003</v>
      </c>
      <c r="AD29" s="33">
        <f>SUMIFS(DATA_CURRENT!$Z:$Z,DATA_CURRENT!$J:$J,$A29,DATA_CURRENT!$Y:$Y,AD$23)</f>
        <v>0</v>
      </c>
      <c r="AE29" s="33">
        <f>SUMIFS(DATA_CURRENT!$Z:$Z,DATA_CURRENT!$J:$J,$A29,DATA_CURRENT!$Y:$Y,AE$23)</f>
        <v>130.61000000000001</v>
      </c>
      <c r="AF29" s="33">
        <f>SUMIFS(DATA_CURRENT!$Z:$Z,DATA_CURRENT!$J:$J,$A29,DATA_CURRENT!$Y:$Y,AF$23)</f>
        <v>0</v>
      </c>
      <c r="AG29" s="30">
        <f t="shared" si="10"/>
        <v>130.61000000000001</v>
      </c>
      <c r="AH29" s="33">
        <f>SUMIFS(DATA_CURRENT!$AA:$AA,DATA_CURRENT!$J:$J,$A29,DATA_CURRENT!$Y:$Y,AH$23)</f>
        <v>130.61000000000001</v>
      </c>
      <c r="AI29" s="33">
        <f>SUMIFS(DATA_CURRENT!$AA:$AA,DATA_CURRENT!$J:$J,$A29,DATA_CURRENT!$Y:$Y,AI$23)</f>
        <v>0</v>
      </c>
      <c r="AJ29" s="33">
        <f>SUMIFS(DATA_CURRENT!$AA:$AA,DATA_CURRENT!$J:$J,$A29,DATA_CURRENT!$Y:$Y,AJ$23)</f>
        <v>0</v>
      </c>
      <c r="AK29" s="30">
        <f t="shared" si="11"/>
        <v>130.61000000000001</v>
      </c>
      <c r="AM29" s="30">
        <f t="shared" si="12"/>
        <v>261.22000000000003</v>
      </c>
      <c r="AN29" s="27">
        <f t="shared" si="13"/>
        <v>0</v>
      </c>
      <c r="BB29">
        <f>Summary!J29+Summary!L29+Summary!N29+Summary!P29+Summary!R29+Summary!T29+Summary!V29</f>
        <v>0</v>
      </c>
      <c r="BC29">
        <f>Summary!K29+Summary!M29+Summary!O29+Summary!Q29+Summary!S29+Summary!U29+Summary!W29</f>
        <v>0</v>
      </c>
    </row>
    <row r="30" spans="1:55" x14ac:dyDescent="0.25">
      <c r="A30" s="18" t="s">
        <v>47</v>
      </c>
      <c r="C30" s="28" t="s">
        <v>48</v>
      </c>
      <c r="D30" s="29">
        <f>COUNTIF(DATA_PRIOR!$J:$J,A30)</f>
        <v>8</v>
      </c>
      <c r="E30" s="30">
        <f>SUMIF(DATA_PRIOR!$J:$J,A30,DATA_PRIOR!$V:$V)</f>
        <v>40.94</v>
      </c>
      <c r="G30" s="29">
        <v>-4</v>
      </c>
      <c r="H30" s="30">
        <v>-38.049999999999997</v>
      </c>
      <c r="I30" s="31">
        <f t="shared" si="6"/>
        <v>0</v>
      </c>
      <c r="J30" s="32">
        <f t="shared" si="7"/>
        <v>0</v>
      </c>
      <c r="K30" s="31">
        <f>COUNTIFS(DATA_CURRENT!$B:$B,"Unresolved (May)",DATA_CURRENT!$J:$J,$A30)</f>
        <v>4</v>
      </c>
      <c r="L30" s="32">
        <f>SUMIFS(DATA_CURRENT!$V:$V,DATA_CURRENT!$J:$J,$A30,DATA_CURRENT!$B:$B,"Unresolved (May)")</f>
        <v>2.8899999999999997</v>
      </c>
      <c r="M30" s="29">
        <f>COUNTIFS(DATA_CURRENT!$B:$B,"Added",DATA_CURRENT!$J:$J,$A30)</f>
        <v>2</v>
      </c>
      <c r="N30" s="30">
        <f>SUMIFS(DATA_CURRENT!$V:$V,DATA_CURRENT!$J:$J,$A30,DATA_CURRENT!$B:$B,"Added")</f>
        <v>14.26</v>
      </c>
      <c r="P30" s="29">
        <v>6</v>
      </c>
      <c r="Q30" s="30">
        <v>17.149999999999999</v>
      </c>
      <c r="S30" s="28" t="s">
        <v>48</v>
      </c>
      <c r="T30" s="77">
        <f>SUMIFS(DATA_CURRENT!$V:$V,DATA_CURRENT!$J:$J,$A30,DATA_CURRENT!$X:$X,T$5)</f>
        <v>1.04</v>
      </c>
      <c r="U30" s="77">
        <f>SUMIFS(DATA_CURRENT!$V:$V,DATA_CURRENT!$J:$J,$A30,DATA_CURRENT!$X:$X,U$5)</f>
        <v>0</v>
      </c>
      <c r="V30" s="77">
        <f>SUMIFS(DATA_CURRENT!$V:$V,DATA_CURRENT!$J:$J,$A30,DATA_CURRENT!$X:$X,V$5)</f>
        <v>0</v>
      </c>
      <c r="W30" s="77">
        <f>SUMIFS(DATA_CURRENT!$V:$V,DATA_CURRENT!$J:$J,$A30,DATA_CURRENT!$X:$X,W$5)</f>
        <v>0</v>
      </c>
      <c r="X30" s="77">
        <f>SUMIFS(DATA_CURRENT!$V:$V,DATA_CURRENT!$J:$J,$A30,DATA_CURRENT!$X:$X,X$5)</f>
        <v>0</v>
      </c>
      <c r="Y30" s="26">
        <f t="shared" si="8"/>
        <v>1.04</v>
      </c>
      <c r="Z30" s="33">
        <f>SUMIFS(DATA_CURRENT!$V:$V,DATA_CURRENT!$J:$J,$A30,DATA_CURRENT!$X:$X,Z$5)</f>
        <v>16.11</v>
      </c>
      <c r="AA30" s="26">
        <f>SUMIFS(DATA_CURRENT!$V:$V,DATA_CURRENT!$J:$J,$A30,DATA_CURRENT!$X:$X,AA$5)</f>
        <v>0</v>
      </c>
      <c r="AB30" s="30">
        <f t="shared" si="9"/>
        <v>17.149999999999999</v>
      </c>
      <c r="AD30" s="26">
        <f>SUMIFS(DATA_CURRENT!$Z:$Z,DATA_CURRENT!$J:$J,$A30,DATA_CURRENT!$Y:$Y,AD$23)</f>
        <v>1.04</v>
      </c>
      <c r="AE30" s="26">
        <f>SUMIFS(DATA_CURRENT!$Z:$Z,DATA_CURRENT!$J:$J,$A30,DATA_CURRENT!$Y:$Y,AE$23)</f>
        <v>0</v>
      </c>
      <c r="AF30" s="26">
        <f>SUMIFS(DATA_CURRENT!$Z:$Z,DATA_CURRENT!$J:$J,$A30,DATA_CURRENT!$Y:$Y,AF$23)</f>
        <v>4.0274999999999999</v>
      </c>
      <c r="AG30" s="30">
        <f t="shared" si="10"/>
        <v>5.0674999999999999</v>
      </c>
      <c r="AH30" s="26">
        <f>SUMIFS(DATA_CURRENT!$AA:$AA,DATA_CURRENT!$J:$J,$A30,DATA_CURRENT!$Y:$Y,AH$23)</f>
        <v>0</v>
      </c>
      <c r="AI30" s="26">
        <f>SUMIFS(DATA_CURRENT!$AA:$AA,DATA_CURRENT!$J:$J,$A30,DATA_CURRENT!$Y:$Y,AI$23)</f>
        <v>12.0825</v>
      </c>
      <c r="AJ30" s="26">
        <f>SUMIFS(DATA_CURRENT!$AA:$AA,DATA_CURRENT!$J:$J,$A30,DATA_CURRENT!$Y:$Y,AJ$23)</f>
        <v>0</v>
      </c>
      <c r="AK30" s="30">
        <f t="shared" si="11"/>
        <v>12.0825</v>
      </c>
      <c r="AM30" s="30">
        <f t="shared" si="12"/>
        <v>17.149999999999999</v>
      </c>
      <c r="AN30" s="27">
        <f t="shared" si="13"/>
        <v>0</v>
      </c>
      <c r="BB30">
        <f>Summary!J30+Summary!L30+Summary!N30+Summary!P30+Summary!R30+Summary!T30+Summary!V30</f>
        <v>0</v>
      </c>
      <c r="BC30">
        <f>Summary!K30+Summary!M30+Summary!O30+Summary!Q30+Summary!S30+Summary!U30+Summary!W30</f>
        <v>0</v>
      </c>
    </row>
    <row r="31" spans="1:55" x14ac:dyDescent="0.25">
      <c r="A31" s="18" t="s">
        <v>49</v>
      </c>
      <c r="C31" s="28" t="s">
        <v>50</v>
      </c>
      <c r="D31" s="29">
        <f>COUNTIF(DATA_PRIOR!$J:$J,A31)</f>
        <v>0</v>
      </c>
      <c r="E31" s="30">
        <f>SUMIF(DATA_PRIOR!$J:$J,A31,DATA_PRIOR!$V:$V)</f>
        <v>0</v>
      </c>
      <c r="G31" s="29">
        <v>0</v>
      </c>
      <c r="H31" s="30">
        <v>0</v>
      </c>
      <c r="I31" s="31">
        <f t="shared" si="6"/>
        <v>0</v>
      </c>
      <c r="J31" s="32">
        <f t="shared" si="7"/>
        <v>0</v>
      </c>
      <c r="K31" s="31">
        <f>COUNTIFS(DATA_CURRENT!$B:$B,"Unresolved (May)",DATA_CURRENT!$J:$J,$A31)</f>
        <v>0</v>
      </c>
      <c r="L31" s="32">
        <f>SUMIFS(DATA_CURRENT!$V:$V,DATA_CURRENT!$J:$J,$A31,DATA_CURRENT!$B:$B,"Unresolved (May)")</f>
        <v>0</v>
      </c>
      <c r="M31" s="29">
        <f>COUNTIFS(DATA_CURRENT!$B:$B,"Added",DATA_CURRENT!$J:$J,$A31)</f>
        <v>0</v>
      </c>
      <c r="N31" s="30">
        <f>SUMIFS(DATA_CURRENT!$V:$V,DATA_CURRENT!$J:$J,$A31,DATA_CURRENT!$B:$B,"Added")</f>
        <v>0</v>
      </c>
      <c r="P31" s="29">
        <v>0</v>
      </c>
      <c r="Q31" s="30">
        <v>0</v>
      </c>
      <c r="S31" s="28" t="s">
        <v>51</v>
      </c>
      <c r="T31" s="77">
        <f>SUMIFS(DATA_CURRENT!$V:$V,DATA_CURRENT!$J:$J,$A31,DATA_CURRENT!$X:$X,T$5)</f>
        <v>0</v>
      </c>
      <c r="U31" s="77">
        <f>SUMIFS(DATA_CURRENT!$V:$V,DATA_CURRENT!$J:$J,$A31,DATA_CURRENT!$X:$X,U$5)</f>
        <v>0</v>
      </c>
      <c r="V31" s="77">
        <f>SUMIFS(DATA_CURRENT!$V:$V,DATA_CURRENT!$J:$J,$A31,DATA_CURRENT!$X:$X,V$5)</f>
        <v>0</v>
      </c>
      <c r="W31" s="77">
        <f>SUMIFS(DATA_CURRENT!$V:$V,DATA_CURRENT!$J:$J,$A31,DATA_CURRENT!$X:$X,W$5)</f>
        <v>0</v>
      </c>
      <c r="X31" s="77">
        <f>SUMIFS(DATA_CURRENT!$V:$V,DATA_CURRENT!$J:$J,$A31,DATA_CURRENT!$X:$X,X$5)</f>
        <v>0</v>
      </c>
      <c r="Y31" s="26">
        <f t="shared" si="8"/>
        <v>0</v>
      </c>
      <c r="Z31" s="33">
        <f>SUMIFS(DATA_CURRENT!$V:$V,DATA_CURRENT!$J:$J,$A31,DATA_CURRENT!$X:$X,Z$5)</f>
        <v>0</v>
      </c>
      <c r="AA31" s="33">
        <f>SUMIFS(DATA_CURRENT!$V:$V,DATA_CURRENT!$J:$J,$A31,DATA_CURRENT!$X:$X,AA$5)</f>
        <v>0</v>
      </c>
      <c r="AB31" s="30">
        <f t="shared" si="9"/>
        <v>0</v>
      </c>
      <c r="AD31" s="33">
        <f>SUMIFS(DATA_CURRENT!$Z:$Z,DATA_CURRENT!$J:$J,$A31,DATA_CURRENT!$Y:$Y,AD$23)</f>
        <v>0</v>
      </c>
      <c r="AE31" s="33">
        <f>SUMIFS(DATA_CURRENT!$Z:$Z,DATA_CURRENT!$J:$J,$A31,DATA_CURRENT!$Y:$Y,AE$23)</f>
        <v>0</v>
      </c>
      <c r="AF31" s="33">
        <f>SUMIFS(DATA_CURRENT!$Z:$Z,DATA_CURRENT!$J:$J,$A31,DATA_CURRENT!$Y:$Y,AF$23)</f>
        <v>0</v>
      </c>
      <c r="AG31" s="30">
        <f t="shared" si="10"/>
        <v>0</v>
      </c>
      <c r="AH31" s="33">
        <f>SUMIFS(DATA_CURRENT!$AA:$AA,DATA_CURRENT!$J:$J,$A31,DATA_CURRENT!$Y:$Y,AH$23)</f>
        <v>0</v>
      </c>
      <c r="AI31" s="33">
        <f>SUMIFS(DATA_CURRENT!$AA:$AA,DATA_CURRENT!$J:$J,$A31,DATA_CURRENT!$Y:$Y,AI$23)</f>
        <v>0</v>
      </c>
      <c r="AJ31" s="33">
        <f>SUMIFS(DATA_CURRENT!$AA:$AA,DATA_CURRENT!$J:$J,$A31,DATA_CURRENT!$Y:$Y,AJ$23)</f>
        <v>0</v>
      </c>
      <c r="AK31" s="30">
        <f t="shared" si="11"/>
        <v>0</v>
      </c>
      <c r="AM31" s="30">
        <f t="shared" si="12"/>
        <v>0</v>
      </c>
      <c r="AN31" s="27">
        <f t="shared" si="13"/>
        <v>0</v>
      </c>
      <c r="BB31">
        <f>Summary!J31+Summary!L31+Summary!N31+Summary!P31+Summary!R31+Summary!T31+Summary!V31</f>
        <v>0</v>
      </c>
      <c r="BC31">
        <f>Summary!K31+Summary!M31+Summary!O31+Summary!Q31+Summary!S31+Summary!U31+Summary!W31</f>
        <v>0</v>
      </c>
    </row>
    <row r="32" spans="1:55" x14ac:dyDescent="0.25">
      <c r="A32" s="18" t="s">
        <v>52</v>
      </c>
      <c r="C32" s="28" t="s">
        <v>53</v>
      </c>
      <c r="D32" s="29">
        <f>COUNTIF(DATA_PRIOR!$J:$J,A32)</f>
        <v>17</v>
      </c>
      <c r="E32" s="30">
        <f>SUMIF(DATA_PRIOR!$J:$J,A32,DATA_PRIOR!$V:$V)</f>
        <v>199.72</v>
      </c>
      <c r="G32" s="29">
        <v>-7</v>
      </c>
      <c r="H32" s="30">
        <v>-134.98000000000002</v>
      </c>
      <c r="I32" s="31">
        <f t="shared" si="6"/>
        <v>8</v>
      </c>
      <c r="J32" s="32">
        <f t="shared" si="7"/>
        <v>50.319999999999979</v>
      </c>
      <c r="K32" s="31">
        <f>COUNTIFS(DATA_CURRENT!$B:$B,"Unresolved (May)",DATA_CURRENT!$J:$J,$A32)</f>
        <v>2</v>
      </c>
      <c r="L32" s="32">
        <f>SUMIFS(DATA_CURRENT!$V:$V,DATA_CURRENT!$J:$J,$A32,DATA_CURRENT!$B:$B,"Unresolved (May)")</f>
        <v>14.42</v>
      </c>
      <c r="M32" s="29">
        <f>COUNTIFS(DATA_CURRENT!$B:$B,"Added",DATA_CURRENT!$J:$J,$A32)</f>
        <v>6</v>
      </c>
      <c r="N32" s="30">
        <f>SUMIFS(DATA_CURRENT!$V:$V,DATA_CURRENT!$J:$J,$A32,DATA_CURRENT!$B:$B,"Added")</f>
        <v>130.21</v>
      </c>
      <c r="P32" s="29">
        <v>16</v>
      </c>
      <c r="Q32" s="30">
        <v>194.95</v>
      </c>
      <c r="S32" s="28" t="s">
        <v>53</v>
      </c>
      <c r="T32" s="77">
        <f>SUMIFS(DATA_CURRENT!$V:$V,DATA_CURRENT!$J:$J,$A32,DATA_CURRENT!$X:$X,T$5)</f>
        <v>26.01</v>
      </c>
      <c r="U32" s="77">
        <f>SUMIFS(DATA_CURRENT!$V:$V,DATA_CURRENT!$J:$J,$A32,DATA_CURRENT!$X:$X,U$5)</f>
        <v>0</v>
      </c>
      <c r="V32" s="77">
        <f>SUMIFS(DATA_CURRENT!$V:$V,DATA_CURRENT!$J:$J,$A32,DATA_CURRENT!$X:$X,V$5)</f>
        <v>15.86</v>
      </c>
      <c r="W32" s="77">
        <f>SUMIFS(DATA_CURRENT!$V:$V,DATA_CURRENT!$J:$J,$A32,DATA_CURRENT!$X:$X,W$5)</f>
        <v>16.149999999999999</v>
      </c>
      <c r="X32" s="77">
        <f>SUMIFS(DATA_CURRENT!$V:$V,DATA_CURRENT!$J:$J,$A32,DATA_CURRENT!$X:$X,X$5)</f>
        <v>0</v>
      </c>
      <c r="Y32" s="26">
        <f t="shared" si="8"/>
        <v>58.02</v>
      </c>
      <c r="Z32" s="33">
        <f>SUMIFS(DATA_CURRENT!$V:$V,DATA_CURRENT!$J:$J,$A32,DATA_CURRENT!$X:$X,Z$5)</f>
        <v>38.39</v>
      </c>
      <c r="AA32" s="33">
        <f>SUMIFS(DATA_CURRENT!$V:$V,DATA_CURRENT!$J:$J,$A32,DATA_CURRENT!$X:$X,AA$5)</f>
        <v>98.54</v>
      </c>
      <c r="AB32" s="30">
        <f t="shared" si="9"/>
        <v>194.95</v>
      </c>
      <c r="AC32" s="27"/>
      <c r="AD32" s="33">
        <f>SUMIFS(DATA_CURRENT!$Z:$Z,DATA_CURRENT!$J:$J,$A32,DATA_CURRENT!$Y:$Y,AD$23)</f>
        <v>26.01</v>
      </c>
      <c r="AE32" s="33">
        <f>SUMIFS(DATA_CURRENT!$Z:$Z,DATA_CURRENT!$J:$J,$A32,DATA_CURRENT!$Y:$Y,AE$23)</f>
        <v>65.274999999999991</v>
      </c>
      <c r="AF32" s="33">
        <f>SUMIFS(DATA_CURRENT!$Z:$Z,DATA_CURRENT!$J:$J,$A32,DATA_CURRENT!$Y:$Y,AF$23)</f>
        <v>9.5975000000000001</v>
      </c>
      <c r="AG32" s="30">
        <f t="shared" si="10"/>
        <v>100.88249999999999</v>
      </c>
      <c r="AH32" s="33">
        <f>SUMIFS(DATA_CURRENT!$AA:$AA,DATA_CURRENT!$J:$J,$A32,DATA_CURRENT!$Y:$Y,AH$23)</f>
        <v>65.274999999999991</v>
      </c>
      <c r="AI32" s="33">
        <f>SUMIFS(DATA_CURRENT!$AA:$AA,DATA_CURRENT!$J:$J,$A32,DATA_CURRENT!$Y:$Y,AI$23)</f>
        <v>28.792500000000004</v>
      </c>
      <c r="AJ32" s="33">
        <f>SUMIFS(DATA_CURRENT!$AA:$AA,DATA_CURRENT!$J:$J,$A32,DATA_CURRENT!$Y:$Y,AJ$23)</f>
        <v>0</v>
      </c>
      <c r="AK32" s="30">
        <f t="shared" si="11"/>
        <v>94.067499999999995</v>
      </c>
      <c r="AM32" s="30">
        <f t="shared" si="12"/>
        <v>194.95</v>
      </c>
      <c r="AN32" s="27">
        <f t="shared" si="13"/>
        <v>0</v>
      </c>
      <c r="BB32">
        <f>Summary!J32+Summary!L32+Summary!N32+Summary!P32+Summary!R32+Summary!T32+Summary!V32</f>
        <v>8</v>
      </c>
      <c r="BC32">
        <f>Summary!K32+Summary!M32+Summary!O32+Summary!Q32+Summary!S32+Summary!U32+Summary!W32</f>
        <v>50.320000000000007</v>
      </c>
    </row>
    <row r="33" spans="1:55" x14ac:dyDescent="0.25">
      <c r="A33" s="18" t="s">
        <v>54</v>
      </c>
      <c r="C33" s="28" t="s">
        <v>55</v>
      </c>
      <c r="D33" s="29">
        <f>COUNTIF(DATA_PRIOR!$J:$J,A33)</f>
        <v>20</v>
      </c>
      <c r="E33" s="30">
        <f>SUMIF(DATA_PRIOR!$J:$J,A33,DATA_PRIOR!$V:$V)</f>
        <v>74.89</v>
      </c>
      <c r="G33" s="29">
        <v>-10</v>
      </c>
      <c r="H33" s="30">
        <v>-44.11</v>
      </c>
      <c r="I33" s="31">
        <f t="shared" si="6"/>
        <v>0</v>
      </c>
      <c r="J33" s="32">
        <f t="shared" si="7"/>
        <v>0</v>
      </c>
      <c r="K33" s="31">
        <f>COUNTIFS(DATA_CURRENT!$B:$B,"Unresolved (May)",DATA_CURRENT!$J:$J,$A33)</f>
        <v>10</v>
      </c>
      <c r="L33" s="32">
        <f>SUMIFS(DATA_CURRENT!$V:$V,DATA_CURRENT!$J:$J,$A33,DATA_CURRENT!$B:$B,"Unresolved (May)")</f>
        <v>30.78</v>
      </c>
      <c r="M33" s="29">
        <f>COUNTIFS(DATA_CURRENT!$B:$B,"Added",DATA_CURRENT!$J:$J,$A33)</f>
        <v>0</v>
      </c>
      <c r="N33" s="30">
        <f>SUMIFS(DATA_CURRENT!$V:$V,DATA_CURRENT!$J:$J,$A33,DATA_CURRENT!$B:$B,"Added")</f>
        <v>0</v>
      </c>
      <c r="P33" s="29">
        <v>10</v>
      </c>
      <c r="Q33" s="30">
        <v>30.78</v>
      </c>
      <c r="S33" s="28" t="s">
        <v>55</v>
      </c>
      <c r="T33" s="77">
        <f>SUMIFS(DATA_CURRENT!$V:$V,DATA_CURRENT!$J:$J,$A33,DATA_CURRENT!$X:$X,T$5)</f>
        <v>0</v>
      </c>
      <c r="U33" s="77">
        <f>SUMIFS(DATA_CURRENT!$V:$V,DATA_CURRENT!$J:$J,$A33,DATA_CURRENT!$X:$X,U$5)</f>
        <v>8.25</v>
      </c>
      <c r="V33" s="77">
        <f>SUMIFS(DATA_CURRENT!$V:$V,DATA_CURRENT!$J:$J,$A33,DATA_CURRENT!$X:$X,V$5)</f>
        <v>11.92</v>
      </c>
      <c r="W33" s="77">
        <f>SUMIFS(DATA_CURRENT!$V:$V,DATA_CURRENT!$J:$J,$A33,DATA_CURRENT!$X:$X,W$5)</f>
        <v>4.6900000000000004</v>
      </c>
      <c r="X33" s="77">
        <f>SUMIFS(DATA_CURRENT!$V:$V,DATA_CURRENT!$J:$J,$A33,DATA_CURRENT!$X:$X,X$5)</f>
        <v>0</v>
      </c>
      <c r="Y33" s="33">
        <f t="shared" si="8"/>
        <v>24.860000000000003</v>
      </c>
      <c r="Z33" s="26">
        <f>SUMIFS(DATA_CURRENT!$V:$V,DATA_CURRENT!$J:$J,$A33,DATA_CURRENT!$X:$X,Z$5)</f>
        <v>5.92</v>
      </c>
      <c r="AA33" s="26">
        <f>SUMIFS(DATA_CURRENT!$V:$V,DATA_CURRENT!$J:$J,$A33,DATA_CURRENT!$X:$X,AA$5)</f>
        <v>0</v>
      </c>
      <c r="AB33" s="30">
        <f t="shared" si="9"/>
        <v>30.78</v>
      </c>
      <c r="AD33" s="26">
        <f>SUMIFS(DATA_CURRENT!$Z:$Z,DATA_CURRENT!$J:$J,$A33,DATA_CURRENT!$Y:$Y,AD$23)</f>
        <v>0</v>
      </c>
      <c r="AE33" s="26">
        <f>SUMIFS(DATA_CURRENT!$Z:$Z,DATA_CURRENT!$J:$J,$A33,DATA_CURRENT!$Y:$Y,AE$23)</f>
        <v>12.43</v>
      </c>
      <c r="AF33" s="26">
        <f>SUMIFS(DATA_CURRENT!$Z:$Z,DATA_CURRENT!$J:$J,$A33,DATA_CURRENT!$Y:$Y,AF$23)</f>
        <v>1.48</v>
      </c>
      <c r="AG33" s="30">
        <f t="shared" si="10"/>
        <v>13.91</v>
      </c>
      <c r="AH33" s="26">
        <f>SUMIFS(DATA_CURRENT!$AA:$AA,DATA_CURRENT!$J:$J,$A33,DATA_CURRENT!$Y:$Y,AH$23)</f>
        <v>12.43</v>
      </c>
      <c r="AI33" s="26">
        <f>SUMIFS(DATA_CURRENT!$AA:$AA,DATA_CURRENT!$J:$J,$A33,DATA_CURRENT!$Y:$Y,AI$23)</f>
        <v>4.4399999999999995</v>
      </c>
      <c r="AJ33" s="26">
        <f>SUMIFS(DATA_CURRENT!$AA:$AA,DATA_CURRENT!$J:$J,$A33,DATA_CURRENT!$Y:$Y,AJ$23)</f>
        <v>0</v>
      </c>
      <c r="AK33" s="30">
        <f t="shared" si="11"/>
        <v>16.869999999999997</v>
      </c>
      <c r="AM33" s="30">
        <f t="shared" si="12"/>
        <v>30.779999999999998</v>
      </c>
      <c r="AN33" s="27">
        <f t="shared" si="13"/>
        <v>0</v>
      </c>
      <c r="BB33">
        <f>Summary!J33+Summary!L33+Summary!N33+Summary!P33+Summary!R33+Summary!T33+Summary!V33</f>
        <v>0</v>
      </c>
      <c r="BC33">
        <f>Summary!K33+Summary!M33+Summary!O33+Summary!Q33+Summary!S33+Summary!U33+Summary!W33</f>
        <v>0</v>
      </c>
    </row>
    <row r="34" spans="1:55" x14ac:dyDescent="0.25">
      <c r="A34" s="18" t="s">
        <v>56</v>
      </c>
      <c r="C34" s="28" t="s">
        <v>57</v>
      </c>
      <c r="D34" s="29">
        <f>COUNTIF(DATA_PRIOR!$J:$J,A34)</f>
        <v>14</v>
      </c>
      <c r="E34" s="30">
        <f>SUMIF(DATA_PRIOR!$J:$J,A34,DATA_PRIOR!$V:$V)</f>
        <v>147.01</v>
      </c>
      <c r="G34" s="29">
        <v>-6</v>
      </c>
      <c r="H34" s="30">
        <v>-98.759999999999991</v>
      </c>
      <c r="I34" s="31">
        <f t="shared" si="6"/>
        <v>1</v>
      </c>
      <c r="J34" s="32">
        <f t="shared" si="7"/>
        <v>41.66</v>
      </c>
      <c r="K34" s="31">
        <f>COUNTIFS(DATA_CURRENT!$B:$B,"Unresolved (May)",DATA_CURRENT!$J:$J,$A34)</f>
        <v>7</v>
      </c>
      <c r="L34" s="32">
        <f>SUMIFS(DATA_CURRENT!$V:$V,DATA_CURRENT!$J:$J,$A34,DATA_CURRENT!$B:$B,"Unresolved (May)")</f>
        <v>6.5900000000000016</v>
      </c>
      <c r="M34" s="29">
        <f>COUNTIFS(DATA_CURRENT!$B:$B,"Added",DATA_CURRENT!$J:$J,$A34)</f>
        <v>7</v>
      </c>
      <c r="N34" s="30">
        <f>SUMIFS(DATA_CURRENT!$V:$V,DATA_CURRENT!$J:$J,$A34,DATA_CURRENT!$B:$B,"Added")</f>
        <v>103.32999999999998</v>
      </c>
      <c r="P34" s="29">
        <v>15</v>
      </c>
      <c r="Q34" s="30">
        <v>151.57999999999998</v>
      </c>
      <c r="S34" s="28" t="s">
        <v>57</v>
      </c>
      <c r="T34" s="77">
        <f>SUMIFS(DATA_CURRENT!$V:$V,DATA_CURRENT!$J:$J,$A34,DATA_CURRENT!$X:$X,T$5)</f>
        <v>73.239999999999995</v>
      </c>
      <c r="U34" s="77">
        <f>SUMIFS(DATA_CURRENT!$V:$V,DATA_CURRENT!$J:$J,$A34,DATA_CURRENT!$X:$X,U$5)</f>
        <v>12.7</v>
      </c>
      <c r="V34" s="77">
        <f>SUMIFS(DATA_CURRENT!$V:$V,DATA_CURRENT!$J:$J,$A34,DATA_CURRENT!$X:$X,V$5)</f>
        <v>0</v>
      </c>
      <c r="W34" s="77">
        <f>SUMIFS(DATA_CURRENT!$V:$V,DATA_CURRENT!$J:$J,$A34,DATA_CURRENT!$X:$X,W$5)</f>
        <v>22.290000000000003</v>
      </c>
      <c r="X34" s="77">
        <f>SUMIFS(DATA_CURRENT!$V:$V,DATA_CURRENT!$J:$J,$A34,DATA_CURRENT!$X:$X,X$5)</f>
        <v>0</v>
      </c>
      <c r="Y34" s="33">
        <f t="shared" si="8"/>
        <v>108.23</v>
      </c>
      <c r="Z34" s="33">
        <f>SUMIFS(DATA_CURRENT!$V:$V,DATA_CURRENT!$J:$J,$A34,DATA_CURRENT!$X:$X,Z$5)</f>
        <v>43.35</v>
      </c>
      <c r="AA34" s="26">
        <f>SUMIFS(DATA_CURRENT!$V:$V,DATA_CURRENT!$J:$J,$A34,DATA_CURRENT!$X:$X,AA$5)</f>
        <v>0</v>
      </c>
      <c r="AB34" s="30">
        <f t="shared" si="9"/>
        <v>151.58000000000001</v>
      </c>
      <c r="AD34" s="26">
        <f>SUMIFS(DATA_CURRENT!$Z:$Z,DATA_CURRENT!$J:$J,$A34,DATA_CURRENT!$Y:$Y,AD$23)</f>
        <v>73.239999999999995</v>
      </c>
      <c r="AE34" s="26">
        <f>SUMIFS(DATA_CURRENT!$Z:$Z,DATA_CURRENT!$J:$J,$A34,DATA_CURRENT!$Y:$Y,AE$23)</f>
        <v>17.495000000000001</v>
      </c>
      <c r="AF34" s="26">
        <f>SUMIFS(DATA_CURRENT!$Z:$Z,DATA_CURRENT!$J:$J,$A34,DATA_CURRENT!$Y:$Y,AF$23)</f>
        <v>10.8375</v>
      </c>
      <c r="AG34" s="30">
        <f t="shared" si="10"/>
        <v>101.57250000000001</v>
      </c>
      <c r="AH34" s="26">
        <f>SUMIFS(DATA_CURRENT!$AA:$AA,DATA_CURRENT!$J:$J,$A34,DATA_CURRENT!$Y:$Y,AH$23)</f>
        <v>17.495000000000001</v>
      </c>
      <c r="AI34" s="26">
        <f>SUMIFS(DATA_CURRENT!$AA:$AA,DATA_CURRENT!$J:$J,$A34,DATA_CURRENT!$Y:$Y,AI$23)</f>
        <v>32.512500000000003</v>
      </c>
      <c r="AJ34" s="26">
        <f>SUMIFS(DATA_CURRENT!$AA:$AA,DATA_CURRENT!$J:$J,$A34,DATA_CURRENT!$Y:$Y,AJ$23)</f>
        <v>0</v>
      </c>
      <c r="AK34" s="30">
        <f t="shared" si="11"/>
        <v>50.007500000000007</v>
      </c>
      <c r="AM34" s="30">
        <f t="shared" si="12"/>
        <v>151.58000000000001</v>
      </c>
      <c r="AN34" s="27">
        <f t="shared" si="13"/>
        <v>0</v>
      </c>
      <c r="BB34">
        <f>Summary!J34+Summary!L34+Summary!N34+Summary!P34+Summary!R34+Summary!T34+Summary!V34</f>
        <v>1</v>
      </c>
      <c r="BC34">
        <f>Summary!K34+Summary!M34+Summary!O34+Summary!Q34+Summary!S34+Summary!U34+Summary!W34</f>
        <v>41.66</v>
      </c>
    </row>
    <row r="35" spans="1:55" x14ac:dyDescent="0.25">
      <c r="A35" s="18" t="s">
        <v>58</v>
      </c>
      <c r="C35" s="28" t="s">
        <v>51</v>
      </c>
      <c r="D35" s="29">
        <f>COUNTIF(DATA_PRIOR!$J:$J,A35)</f>
        <v>7</v>
      </c>
      <c r="E35" s="30">
        <f>SUMIF(DATA_PRIOR!$J:$J,A35,DATA_PRIOR!$V:$V)</f>
        <v>124.74999999999999</v>
      </c>
      <c r="G35" s="29">
        <v>-3</v>
      </c>
      <c r="H35" s="30">
        <v>-71.589999999999989</v>
      </c>
      <c r="I35" s="31">
        <f t="shared" si="6"/>
        <v>0</v>
      </c>
      <c r="J35" s="32">
        <f t="shared" si="7"/>
        <v>0</v>
      </c>
      <c r="K35" s="31">
        <f>COUNTIFS(DATA_CURRENT!$B:$B,"Unresolved (May)",DATA_CURRENT!$J:$J,$A35)</f>
        <v>4</v>
      </c>
      <c r="L35" s="32">
        <f>SUMIFS(DATA_CURRENT!$V:$V,DATA_CURRENT!$J:$J,$A35,DATA_CURRENT!$B:$B,"Unresolved (May)")</f>
        <v>53.16</v>
      </c>
      <c r="M35" s="29">
        <f>COUNTIFS(DATA_CURRENT!$B:$B,"Added",DATA_CURRENT!$J:$J,$A35)</f>
        <v>0</v>
      </c>
      <c r="N35" s="30">
        <f>SUMIFS(DATA_CURRENT!$V:$V,DATA_CURRENT!$J:$J,$A35,DATA_CURRENT!$B:$B,"Added")</f>
        <v>0</v>
      </c>
      <c r="P35" s="29">
        <v>4</v>
      </c>
      <c r="Q35" s="30">
        <v>53.16</v>
      </c>
      <c r="S35" s="28" t="s">
        <v>51</v>
      </c>
      <c r="T35" s="77">
        <f>SUMIFS(DATA_CURRENT!$V:$V,DATA_CURRENT!$J:$J,$A35,DATA_CURRENT!$X:$X,T$5)</f>
        <v>53.16</v>
      </c>
      <c r="U35" s="77">
        <f>SUMIFS(DATA_CURRENT!$V:$V,DATA_CURRENT!$J:$J,$A35,DATA_CURRENT!$X:$X,U$5)</f>
        <v>0</v>
      </c>
      <c r="V35" s="77">
        <f>SUMIFS(DATA_CURRENT!$V:$V,DATA_CURRENT!$J:$J,$A35,DATA_CURRENT!$X:$X,V$5)</f>
        <v>0</v>
      </c>
      <c r="W35" s="77">
        <f>SUMIFS(DATA_CURRENT!$V:$V,DATA_CURRENT!$J:$J,$A35,DATA_CURRENT!$X:$X,W$5)</f>
        <v>0</v>
      </c>
      <c r="X35" s="77">
        <f>SUMIFS(DATA_CURRENT!$V:$V,DATA_CURRENT!$J:$J,$A35,DATA_CURRENT!$X:$X,X$5)</f>
        <v>0</v>
      </c>
      <c r="Y35" s="26">
        <f t="shared" si="8"/>
        <v>53.16</v>
      </c>
      <c r="Z35" s="33">
        <f>SUMIFS(DATA_CURRENT!$V:$V,DATA_CURRENT!$J:$J,$A35,DATA_CURRENT!$X:$X,Z$5)</f>
        <v>0</v>
      </c>
      <c r="AA35" s="33">
        <f>SUMIFS(DATA_CURRENT!$V:$V,DATA_CURRENT!$J:$J,$A35,DATA_CURRENT!$X:$X,AA$5)</f>
        <v>0</v>
      </c>
      <c r="AB35" s="30">
        <f>SUM(Y35:AA35)</f>
        <v>53.16</v>
      </c>
      <c r="AD35" s="33">
        <f>SUMIFS(DATA_CURRENT!$Z:$Z,DATA_CURRENT!$J:$J,$A35,DATA_CURRENT!$Y:$Y,AD$23)</f>
        <v>53.16</v>
      </c>
      <c r="AE35" s="33">
        <f>SUMIFS(DATA_CURRENT!$Z:$Z,DATA_CURRENT!$J:$J,$A35,DATA_CURRENT!$Y:$Y,AE$23)</f>
        <v>0</v>
      </c>
      <c r="AF35" s="33">
        <f>SUMIFS(DATA_CURRENT!$Z:$Z,DATA_CURRENT!$J:$J,$A35,DATA_CURRENT!$Y:$Y,AF$23)</f>
        <v>0</v>
      </c>
      <c r="AG35" s="30">
        <f t="shared" si="10"/>
        <v>53.16</v>
      </c>
      <c r="AH35" s="33">
        <f>SUMIFS(DATA_CURRENT!$AA:$AA,DATA_CURRENT!$J:$J,$A35,DATA_CURRENT!$Y:$Y,AH$23)</f>
        <v>0</v>
      </c>
      <c r="AI35" s="33">
        <f>SUMIFS(DATA_CURRENT!$AA:$AA,DATA_CURRENT!$J:$J,$A35,DATA_CURRENT!$Y:$Y,AI$23)</f>
        <v>0</v>
      </c>
      <c r="AJ35" s="33">
        <f>SUMIFS(DATA_CURRENT!$AA:$AA,DATA_CURRENT!$J:$J,$A35,DATA_CURRENT!$Y:$Y,AJ$23)</f>
        <v>0</v>
      </c>
      <c r="AK35" s="30">
        <f t="shared" si="11"/>
        <v>0</v>
      </c>
      <c r="AM35" s="30">
        <f t="shared" si="12"/>
        <v>53.16</v>
      </c>
      <c r="AN35" s="27">
        <f t="shared" si="13"/>
        <v>0</v>
      </c>
      <c r="BB35">
        <f>Summary!J35+Summary!L35+Summary!N35+Summary!P35+Summary!R35+Summary!T35+Summary!V35</f>
        <v>0</v>
      </c>
      <c r="BC35">
        <f>Summary!K35+Summary!M35+Summary!O35+Summary!Q35+Summary!S35+Summary!U35+Summary!W35</f>
        <v>0</v>
      </c>
    </row>
    <row r="36" spans="1:55" x14ac:dyDescent="0.25">
      <c r="A36" s="18" t="s">
        <v>59</v>
      </c>
      <c r="C36" s="28" t="s">
        <v>60</v>
      </c>
      <c r="D36" s="29">
        <f>COUNTIF(DATA_PRIOR!$J:$J,A36)</f>
        <v>0</v>
      </c>
      <c r="E36" s="30">
        <f>SUMIF(DATA_PRIOR!$J:$J,A36,DATA_PRIOR!$V:$V)</f>
        <v>0</v>
      </c>
      <c r="G36" s="29">
        <v>0</v>
      </c>
      <c r="H36" s="30">
        <v>0</v>
      </c>
      <c r="I36" s="31">
        <f t="shared" si="6"/>
        <v>0</v>
      </c>
      <c r="J36" s="32">
        <f t="shared" si="7"/>
        <v>0</v>
      </c>
      <c r="K36" s="31">
        <f>COUNTIFS(DATA_CURRENT!$B:$B,"Unresolved (May)",DATA_CURRENT!$J:$J,$A36)</f>
        <v>0</v>
      </c>
      <c r="L36" s="32">
        <f>SUMIFS(DATA_CURRENT!$V:$V,DATA_CURRENT!$J:$J,$A36,DATA_CURRENT!$B:$B,"Unresolved (May)")</f>
        <v>0</v>
      </c>
      <c r="M36" s="29">
        <f>COUNTIFS(DATA_CURRENT!$B:$B,"Added",DATA_CURRENT!$J:$J,$A36)</f>
        <v>0</v>
      </c>
      <c r="N36" s="30">
        <f>SUMIFS(DATA_CURRENT!$V:$V,DATA_CURRENT!$J:$J,$A36,DATA_CURRENT!$B:$B,"Added")</f>
        <v>0</v>
      </c>
      <c r="P36" s="29">
        <v>0</v>
      </c>
      <c r="Q36" s="30">
        <v>0</v>
      </c>
      <c r="S36" s="28" t="s">
        <v>60</v>
      </c>
      <c r="T36" s="77">
        <f>SUMIFS(DATA_CURRENT!$V:$V,DATA_CURRENT!$J:$J,$A36,DATA_CURRENT!$X:$X,T$5)</f>
        <v>0</v>
      </c>
      <c r="U36" s="77">
        <f>SUMIFS(DATA_CURRENT!$V:$V,DATA_CURRENT!$J:$J,$A36,DATA_CURRENT!$X:$X,U$5)</f>
        <v>0</v>
      </c>
      <c r="V36" s="77">
        <f>SUMIFS(DATA_CURRENT!$V:$V,DATA_CURRENT!$J:$J,$A36,DATA_CURRENT!$X:$X,V$5)</f>
        <v>0</v>
      </c>
      <c r="W36" s="77">
        <f>SUMIFS(DATA_CURRENT!$V:$V,DATA_CURRENT!$J:$J,$A36,DATA_CURRENT!$X:$X,W$5)</f>
        <v>0</v>
      </c>
      <c r="X36" s="77">
        <f>SUMIFS(DATA_CURRENT!$V:$V,DATA_CURRENT!$J:$J,$A36,DATA_CURRENT!$X:$X,X$5)</f>
        <v>0</v>
      </c>
      <c r="Y36" s="26">
        <f t="shared" si="8"/>
        <v>0</v>
      </c>
      <c r="Z36" s="33">
        <f>SUMIFS(DATA_CURRENT!$V:$V,DATA_CURRENT!$J:$J,$A36,DATA_CURRENT!$X:$X,Z$5)</f>
        <v>0</v>
      </c>
      <c r="AA36" s="33">
        <f>SUMIFS(DATA_CURRENT!$V:$V,DATA_CURRENT!$J:$J,$A36,DATA_CURRENT!$X:$X,AA$5)</f>
        <v>0</v>
      </c>
      <c r="AB36" s="30">
        <f>SUM(Y36:AA36)</f>
        <v>0</v>
      </c>
      <c r="AD36" s="33">
        <f>SUMIFS(DATA_CURRENT!$Z:$Z,DATA_CURRENT!$J:$J,$A36,DATA_CURRENT!$Y:$Y,AD$23)</f>
        <v>0</v>
      </c>
      <c r="AE36" s="33">
        <f>SUMIFS(DATA_CURRENT!$Z:$Z,DATA_CURRENT!$J:$J,$A36,DATA_CURRENT!$Y:$Y,AE$23)</f>
        <v>0</v>
      </c>
      <c r="AF36" s="33">
        <f>SUMIFS(DATA_CURRENT!$Z:$Z,DATA_CURRENT!$J:$J,$A36,DATA_CURRENT!$Y:$Y,AF$23)</f>
        <v>0</v>
      </c>
      <c r="AG36" s="30">
        <f t="shared" si="10"/>
        <v>0</v>
      </c>
      <c r="AH36" s="33">
        <f>SUMIFS(DATA_CURRENT!$AA:$AA,DATA_CURRENT!$J:$J,$A36,DATA_CURRENT!$Y:$Y,AH$23)</f>
        <v>0</v>
      </c>
      <c r="AI36" s="33">
        <f>SUMIFS(DATA_CURRENT!$AA:$AA,DATA_CURRENT!$J:$J,$A36,DATA_CURRENT!$Y:$Y,AI$23)</f>
        <v>0</v>
      </c>
      <c r="AJ36" s="33">
        <f>SUMIFS(DATA_CURRENT!$AA:$AA,DATA_CURRENT!$J:$J,$A36,DATA_CURRENT!$Y:$Y,AJ$23)</f>
        <v>0</v>
      </c>
      <c r="AK36" s="30">
        <f t="shared" si="11"/>
        <v>0</v>
      </c>
      <c r="AM36" s="30">
        <f t="shared" si="12"/>
        <v>0</v>
      </c>
      <c r="AN36" s="27"/>
      <c r="BB36">
        <f>Summary!J36+Summary!L36+Summary!N36+Summary!P36+Summary!R36+Summary!T36+Summary!V36</f>
        <v>0</v>
      </c>
      <c r="BC36">
        <f>Summary!K36+Summary!M36+Summary!O36+Summary!Q36+Summary!S36+Summary!U36+Summary!W36</f>
        <v>0</v>
      </c>
    </row>
    <row r="37" spans="1:55" x14ac:dyDescent="0.25">
      <c r="A37" s="18" t="s">
        <v>61</v>
      </c>
      <c r="C37" s="28" t="s">
        <v>62</v>
      </c>
      <c r="D37" s="29">
        <f>COUNTIF(DATA_PRIOR!$J:$J,A37)</f>
        <v>0</v>
      </c>
      <c r="E37" s="30">
        <f>SUMIF(DATA_PRIOR!$J:$J,A37,DATA_PRIOR!$V:$V)</f>
        <v>0</v>
      </c>
      <c r="G37" s="29">
        <v>0</v>
      </c>
      <c r="H37" s="30">
        <v>0</v>
      </c>
      <c r="I37" s="31">
        <f t="shared" si="6"/>
        <v>0</v>
      </c>
      <c r="J37" s="32">
        <f t="shared" si="7"/>
        <v>0</v>
      </c>
      <c r="K37" s="31">
        <f>COUNTIFS(DATA_CURRENT!$B:$B,"Unresolved (May)",DATA_CURRENT!$J:$J,$A37)</f>
        <v>0</v>
      </c>
      <c r="L37" s="32">
        <f>SUMIFS(DATA_CURRENT!$V:$V,DATA_CURRENT!$J:$J,$A37,DATA_CURRENT!$B:$B,"Unresolved (May)")</f>
        <v>0</v>
      </c>
      <c r="M37" s="29">
        <f>COUNTIFS(DATA_CURRENT!$B:$B,"Added",DATA_CURRENT!$J:$J,$A37)</f>
        <v>0</v>
      </c>
      <c r="N37" s="30">
        <f>SUMIFS(DATA_CURRENT!$V:$V,DATA_CURRENT!$J:$J,$A37,DATA_CURRENT!$B:$B,"Added")</f>
        <v>0</v>
      </c>
      <c r="P37" s="29">
        <v>0</v>
      </c>
      <c r="Q37" s="30">
        <v>0</v>
      </c>
      <c r="S37" s="28" t="s">
        <v>62</v>
      </c>
      <c r="T37" s="77">
        <f>SUMIFS(DATA_CURRENT!$V:$V,DATA_CURRENT!$J:$J,$A37,DATA_CURRENT!$X:$X,T$5)</f>
        <v>0</v>
      </c>
      <c r="U37" s="77">
        <f>SUMIFS(DATA_CURRENT!$V:$V,DATA_CURRENT!$J:$J,$A37,DATA_CURRENT!$X:$X,U$5)</f>
        <v>0</v>
      </c>
      <c r="V37" s="77">
        <f>SUMIFS(DATA_CURRENT!$V:$V,DATA_CURRENT!$J:$J,$A37,DATA_CURRENT!$X:$X,V$5)</f>
        <v>0</v>
      </c>
      <c r="W37" s="77">
        <f>SUMIFS(DATA_CURRENT!$V:$V,DATA_CURRENT!$J:$J,$A37,DATA_CURRENT!$X:$X,W$5)</f>
        <v>0</v>
      </c>
      <c r="X37" s="77">
        <f>SUMIFS(DATA_CURRENT!$V:$V,DATA_CURRENT!$J:$J,$A37,DATA_CURRENT!$X:$X,X$5)</f>
        <v>0</v>
      </c>
      <c r="Y37" s="26">
        <f t="shared" si="8"/>
        <v>0</v>
      </c>
      <c r="Z37" s="33">
        <f>SUMIFS(DATA_CURRENT!$V:$V,DATA_CURRENT!$J:$J,$A37,DATA_CURRENT!$X:$X,Z$5)</f>
        <v>0</v>
      </c>
      <c r="AA37" s="33">
        <f>SUMIFS(DATA_CURRENT!$V:$V,DATA_CURRENT!$J:$J,$A37,DATA_CURRENT!$X:$X,AA$5)</f>
        <v>0</v>
      </c>
      <c r="AB37" s="30">
        <f>SUM(Y37:AA37)</f>
        <v>0</v>
      </c>
      <c r="AD37" s="33">
        <f>SUMIFS(DATA_CURRENT!$Z:$Z,DATA_CURRENT!$J:$J,$A37,DATA_CURRENT!$Y:$Y,AD$23)</f>
        <v>0</v>
      </c>
      <c r="AE37" s="33">
        <f>SUMIFS(DATA_CURRENT!$Z:$Z,DATA_CURRENT!$J:$J,$A37,DATA_CURRENT!$Y:$Y,AE$23)</f>
        <v>0</v>
      </c>
      <c r="AF37" s="33">
        <f>SUMIFS(DATA_CURRENT!$Z:$Z,DATA_CURRENT!$J:$J,$A37,DATA_CURRENT!$Y:$Y,AF$23)</f>
        <v>0</v>
      </c>
      <c r="AG37" s="30">
        <f t="shared" si="10"/>
        <v>0</v>
      </c>
      <c r="AH37" s="33">
        <f>SUMIFS(DATA_CURRENT!$AA:$AA,DATA_CURRENT!$J:$J,$A37,DATA_CURRENT!$Y:$Y,AH$23)</f>
        <v>0</v>
      </c>
      <c r="AI37" s="33">
        <f>SUMIFS(DATA_CURRENT!$AA:$AA,DATA_CURRENT!$J:$J,$A37,DATA_CURRENT!$Y:$Y,AI$23)</f>
        <v>0</v>
      </c>
      <c r="AJ37" s="33">
        <f>SUMIFS(DATA_CURRENT!$AA:$AA,DATA_CURRENT!$J:$J,$A37,DATA_CURRENT!$Y:$Y,AJ$23)</f>
        <v>0</v>
      </c>
      <c r="AK37" s="30">
        <f t="shared" si="11"/>
        <v>0</v>
      </c>
      <c r="AM37" s="30">
        <f t="shared" si="12"/>
        <v>0</v>
      </c>
      <c r="AN37" s="27"/>
      <c r="BB37">
        <f>Summary!J37+Summary!L37+Summary!N37+Summary!P37+Summary!R37+Summary!T37+Summary!V37</f>
        <v>0</v>
      </c>
      <c r="BC37">
        <f>Summary!K37+Summary!M37+Summary!O37+Summary!Q37+Summary!S37+Summary!U37+Summary!W37</f>
        <v>0</v>
      </c>
    </row>
    <row r="38" spans="1:55" x14ac:dyDescent="0.25">
      <c r="A38" s="18" t="s">
        <v>63</v>
      </c>
      <c r="C38" s="28" t="s">
        <v>64</v>
      </c>
      <c r="D38" s="29">
        <f>COUNTIF(DATA_PRIOR!$J:$J,A38)</f>
        <v>0</v>
      </c>
      <c r="E38" s="30">
        <f>SUMIF(DATA_PRIOR!$J:$J,A38,DATA_PRIOR!$V:$V)</f>
        <v>0</v>
      </c>
      <c r="G38" s="29">
        <v>0</v>
      </c>
      <c r="H38" s="30">
        <v>0</v>
      </c>
      <c r="I38" s="31">
        <f t="shared" si="6"/>
        <v>0</v>
      </c>
      <c r="J38" s="32">
        <f t="shared" si="7"/>
        <v>0</v>
      </c>
      <c r="K38" s="31">
        <f>COUNTIFS(DATA_CURRENT!$B:$B,"Unresolved (May)",DATA_CURRENT!$J:$J,$A38)</f>
        <v>0</v>
      </c>
      <c r="L38" s="32">
        <f>SUMIFS(DATA_CURRENT!$V:$V,DATA_CURRENT!$J:$J,$A38,DATA_CURRENT!$B:$B,"Unresolved (May)")</f>
        <v>0</v>
      </c>
      <c r="M38" s="29">
        <f>COUNTIFS(DATA_CURRENT!$B:$B,"Added",DATA_CURRENT!$J:$J,$A38)</f>
        <v>0</v>
      </c>
      <c r="N38" s="30">
        <f>SUMIFS(DATA_CURRENT!$V:$V,DATA_CURRENT!$J:$J,$A38,DATA_CURRENT!$B:$B,"Added")</f>
        <v>0</v>
      </c>
      <c r="P38" s="29">
        <v>0</v>
      </c>
      <c r="Q38" s="30">
        <v>0</v>
      </c>
      <c r="S38" s="28" t="s">
        <v>64</v>
      </c>
      <c r="T38" s="77">
        <f>SUMIFS(DATA_CURRENT!$V:$V,DATA_CURRENT!$J:$J,$A38,DATA_CURRENT!$X:$X,T$5)</f>
        <v>0</v>
      </c>
      <c r="U38" s="77">
        <f>SUMIFS(DATA_CURRENT!$V:$V,DATA_CURRENT!$J:$J,$A38,DATA_CURRENT!$X:$X,U$5)</f>
        <v>0</v>
      </c>
      <c r="V38" s="77">
        <f>SUMIFS(DATA_CURRENT!$V:$V,DATA_CURRENT!$J:$J,$A38,DATA_CURRENT!$X:$X,V$5)</f>
        <v>0</v>
      </c>
      <c r="W38" s="77">
        <f>SUMIFS(DATA_CURRENT!$V:$V,DATA_CURRENT!$J:$J,$A38,DATA_CURRENT!$X:$X,W$5)</f>
        <v>0</v>
      </c>
      <c r="X38" s="77">
        <f>SUMIFS(DATA_CURRENT!$V:$V,DATA_CURRENT!$J:$J,$A38,DATA_CURRENT!$X:$X,X$5)</f>
        <v>0</v>
      </c>
      <c r="Y38" s="26">
        <f t="shared" si="8"/>
        <v>0</v>
      </c>
      <c r="Z38" s="33">
        <f>SUMIFS(DATA_CURRENT!$V:$V,DATA_CURRENT!$J:$J,$A38,DATA_CURRENT!$X:$X,Z$5)</f>
        <v>0</v>
      </c>
      <c r="AA38" s="26">
        <f>SUMIFS(DATA_CURRENT!$V:$V,DATA_CURRENT!$J:$J,$A38,DATA_CURRENT!$X:$X,AA$5)</f>
        <v>0</v>
      </c>
      <c r="AB38" s="30">
        <f>SUM(Y38:AA38)</f>
        <v>0</v>
      </c>
      <c r="AD38" s="26">
        <f>SUMIFS(DATA_CURRENT!$Z:$Z,DATA_CURRENT!$J:$J,$A38,DATA_CURRENT!$Y:$Y,AD$23)</f>
        <v>0</v>
      </c>
      <c r="AE38" s="26">
        <f>SUMIFS(DATA_CURRENT!$Z:$Z,DATA_CURRENT!$J:$J,$A38,DATA_CURRENT!$Y:$Y,AE$23)</f>
        <v>0</v>
      </c>
      <c r="AF38" s="26">
        <f>SUMIFS(DATA_CURRENT!$Z:$Z,DATA_CURRENT!$J:$J,$A38,DATA_CURRENT!$Y:$Y,AF$23)</f>
        <v>0</v>
      </c>
      <c r="AG38" s="30">
        <f t="shared" si="10"/>
        <v>0</v>
      </c>
      <c r="AH38" s="26">
        <f>SUMIFS(DATA_CURRENT!$AA:$AA,DATA_CURRENT!$J:$J,$A38,DATA_CURRENT!$Y:$Y,AH$23)</f>
        <v>0</v>
      </c>
      <c r="AI38" s="26">
        <f>SUMIFS(DATA_CURRENT!$AA:$AA,DATA_CURRENT!$J:$J,$A38,DATA_CURRENT!$Y:$Y,AI$23)</f>
        <v>0</v>
      </c>
      <c r="AJ38" s="26">
        <f>SUMIFS(DATA_CURRENT!$AA:$AA,DATA_CURRENT!$J:$J,$A38,DATA_CURRENT!$Y:$Y,AJ$23)</f>
        <v>0</v>
      </c>
      <c r="AK38" s="30">
        <f t="shared" si="11"/>
        <v>0</v>
      </c>
      <c r="AM38" s="30">
        <f t="shared" si="12"/>
        <v>0</v>
      </c>
      <c r="AN38" s="27">
        <f t="shared" si="13"/>
        <v>0</v>
      </c>
      <c r="BB38">
        <f>Summary!J38+Summary!L38+Summary!N38+Summary!P38+Summary!R38+Summary!T38+Summary!V38</f>
        <v>0</v>
      </c>
      <c r="BC38">
        <f>Summary!K38+Summary!M38+Summary!O38+Summary!Q38+Summary!S38+Summary!U38+Summary!W38</f>
        <v>0</v>
      </c>
    </row>
    <row r="39" spans="1:55" x14ac:dyDescent="0.25">
      <c r="C39" s="34" t="s">
        <v>12</v>
      </c>
      <c r="D39" s="35">
        <f>SUM(D25:D38)</f>
        <v>169</v>
      </c>
      <c r="E39" s="36">
        <f>SUM(E25:E38)</f>
        <v>1776.5800000000002</v>
      </c>
      <c r="G39" s="35">
        <v>-85</v>
      </c>
      <c r="H39" s="36">
        <v>-1146.2000000000003</v>
      </c>
      <c r="I39" s="37">
        <f t="shared" ref="I39:N39" si="14">SUM(I25:I38)</f>
        <v>15</v>
      </c>
      <c r="J39" s="38">
        <f t="shared" si="14"/>
        <v>99.499999999999986</v>
      </c>
      <c r="K39" s="36">
        <f t="shared" si="14"/>
        <v>69</v>
      </c>
      <c r="L39" s="38">
        <f t="shared" si="14"/>
        <v>530.88</v>
      </c>
      <c r="M39" s="35">
        <f t="shared" si="14"/>
        <v>35</v>
      </c>
      <c r="N39" s="36">
        <f t="shared" si="14"/>
        <v>705.77</v>
      </c>
      <c r="P39" s="35">
        <v>119</v>
      </c>
      <c r="Q39" s="36">
        <v>1336.15</v>
      </c>
      <c r="S39" s="34" t="s">
        <v>12</v>
      </c>
      <c r="T39" s="36">
        <f t="shared" ref="T39:AB39" si="15">SUM(T25:T38)</f>
        <v>243.29</v>
      </c>
      <c r="U39" s="36">
        <f t="shared" si="15"/>
        <v>19.13</v>
      </c>
      <c r="V39" s="36">
        <f t="shared" si="15"/>
        <v>312.76000000000005</v>
      </c>
      <c r="W39" s="36">
        <f t="shared" si="15"/>
        <v>75.5</v>
      </c>
      <c r="X39" s="36">
        <f t="shared" si="15"/>
        <v>-0.2</v>
      </c>
      <c r="Y39" s="36">
        <f t="shared" si="15"/>
        <v>650.48</v>
      </c>
      <c r="Z39" s="36">
        <f t="shared" si="15"/>
        <v>237.54999999999995</v>
      </c>
      <c r="AA39" s="36">
        <f t="shared" si="15"/>
        <v>448.12</v>
      </c>
      <c r="AB39" s="36">
        <f t="shared" si="15"/>
        <v>1336.1499999999999</v>
      </c>
      <c r="AD39" s="36">
        <f t="shared" ref="AD39:AK39" si="16">SUM(AD25:AD38)</f>
        <v>243.29</v>
      </c>
      <c r="AE39" s="36">
        <f t="shared" si="16"/>
        <v>427.755</v>
      </c>
      <c r="AF39" s="36">
        <f t="shared" si="16"/>
        <v>59.387499999999989</v>
      </c>
      <c r="AG39" s="36">
        <f t="shared" si="16"/>
        <v>730.43249999999989</v>
      </c>
      <c r="AH39" s="36">
        <f t="shared" si="16"/>
        <v>427.755</v>
      </c>
      <c r="AI39" s="36">
        <f t="shared" si="16"/>
        <v>178.16250000000002</v>
      </c>
      <c r="AJ39" s="36">
        <f t="shared" si="16"/>
        <v>-0.2</v>
      </c>
      <c r="AK39" s="36">
        <f t="shared" si="16"/>
        <v>605.71749999999997</v>
      </c>
      <c r="AM39" s="36">
        <f t="shared" si="12"/>
        <v>1336.1499999999999</v>
      </c>
      <c r="AN39" s="27">
        <f t="shared" si="13"/>
        <v>0</v>
      </c>
      <c r="BB39">
        <f>Summary!J39+Summary!L39+Summary!N39+Summary!P39+Summary!R39+Summary!T39+Summary!V39</f>
        <v>9</v>
      </c>
      <c r="BC39">
        <f>Summary!K39+Summary!M39+Summary!O39+Summary!Q39+Summary!S39+Summary!U39+Summary!W39</f>
        <v>91.98</v>
      </c>
    </row>
    <row r="40" spans="1:55" ht="15.75" thickBot="1" x14ac:dyDescent="0.3">
      <c r="I40" s="41"/>
      <c r="J40" s="42"/>
      <c r="K40" s="41"/>
      <c r="L40" s="42"/>
    </row>
    <row r="41" spans="1:55" ht="15.75" hidden="1" outlineLevel="1" thickTop="1" x14ac:dyDescent="0.25">
      <c r="S41" s="43" t="s">
        <v>65</v>
      </c>
      <c r="AG41" s="27">
        <f>AG39-AB44</f>
        <v>0</v>
      </c>
      <c r="AK41" s="27">
        <f>AK39-AB45</f>
        <v>0</v>
      </c>
    </row>
    <row r="42" spans="1:55" hidden="1" outlineLevel="1" x14ac:dyDescent="0.25">
      <c r="S42" s="43" t="s">
        <v>184</v>
      </c>
      <c r="T42" s="46">
        <v>0</v>
      </c>
      <c r="U42" s="46">
        <v>0.5</v>
      </c>
      <c r="V42" s="46">
        <v>0.5</v>
      </c>
      <c r="W42" s="46">
        <v>0.5</v>
      </c>
      <c r="X42" s="46">
        <v>1</v>
      </c>
      <c r="Z42" s="46">
        <v>0.75</v>
      </c>
      <c r="AA42" s="46">
        <v>0.5</v>
      </c>
      <c r="AG42" s="27"/>
      <c r="AK42" s="27"/>
    </row>
    <row r="43" spans="1:55" hidden="1" outlineLevel="1" x14ac:dyDescent="0.25">
      <c r="D43" s="135">
        <f>D39-D17</f>
        <v>0</v>
      </c>
      <c r="E43" s="135">
        <f>E39-E17</f>
        <v>0</v>
      </c>
      <c r="G43" s="135">
        <f>G39-G17</f>
        <v>0</v>
      </c>
      <c r="H43" s="87">
        <f>H39-H17</f>
        <v>0</v>
      </c>
      <c r="M43" s="135">
        <f>M39-M17</f>
        <v>0</v>
      </c>
      <c r="N43" s="135">
        <f>N39-N17</f>
        <v>0</v>
      </c>
      <c r="P43" s="135">
        <f>P39-P17</f>
        <v>0</v>
      </c>
      <c r="Q43" s="135">
        <f>Q39-Q17</f>
        <v>0</v>
      </c>
      <c r="S43" s="45" t="s">
        <v>66</v>
      </c>
      <c r="T43" s="46">
        <v>1</v>
      </c>
      <c r="U43" s="46">
        <v>0.5</v>
      </c>
      <c r="V43" s="46">
        <v>0.5</v>
      </c>
      <c r="W43" s="46">
        <v>0.5</v>
      </c>
      <c r="X43" s="46">
        <v>0</v>
      </c>
      <c r="Z43" s="46">
        <v>0.25</v>
      </c>
      <c r="AA43" s="46">
        <v>0.5</v>
      </c>
    </row>
    <row r="44" spans="1:55" ht="16.5" collapsed="1" thickTop="1" thickBot="1" x14ac:dyDescent="0.3">
      <c r="K44" s="1"/>
      <c r="L44" s="1"/>
      <c r="S44" s="135" t="s">
        <v>256</v>
      </c>
      <c r="T44" s="72">
        <f>T39*T43</f>
        <v>243.29</v>
      </c>
      <c r="U44" s="72">
        <f>U39*U43</f>
        <v>9.5649999999999995</v>
      </c>
      <c r="V44" s="72">
        <f>V39*V43</f>
        <v>156.38000000000002</v>
      </c>
      <c r="W44" s="72">
        <f>W39*W43</f>
        <v>37.75</v>
      </c>
      <c r="X44" s="72">
        <f>X39*X43</f>
        <v>0</v>
      </c>
      <c r="Y44" s="72">
        <f>SUM(T44:X44)</f>
        <v>446.98500000000001</v>
      </c>
      <c r="Z44" s="72">
        <f>Z39*Z43</f>
        <v>59.387499999999989</v>
      </c>
      <c r="AA44" s="72">
        <f>AA39*AA43</f>
        <v>224.06</v>
      </c>
      <c r="AB44" s="72">
        <f>SUM(Y44:AA44)</f>
        <v>730.4325</v>
      </c>
    </row>
    <row r="45" spans="1:55" ht="15.75" thickTop="1" x14ac:dyDescent="0.25">
      <c r="I45" s="3"/>
      <c r="J45" s="4"/>
      <c r="K45" s="5"/>
      <c r="L45" s="5"/>
      <c r="M45" s="13"/>
      <c r="S45" s="135" t="s">
        <v>257</v>
      </c>
      <c r="T45" s="72">
        <f>T39*T42</f>
        <v>0</v>
      </c>
      <c r="U45" s="72">
        <f t="shared" ref="U45:AA45" si="17">U39*U42</f>
        <v>9.5649999999999995</v>
      </c>
      <c r="V45" s="72">
        <f t="shared" si="17"/>
        <v>156.38000000000002</v>
      </c>
      <c r="W45" s="72">
        <f t="shared" si="17"/>
        <v>37.75</v>
      </c>
      <c r="X45" s="72">
        <f>X39*X42</f>
        <v>-0.2</v>
      </c>
      <c r="Y45" s="72">
        <f>SUM(T45:X45)</f>
        <v>203.49500000000003</v>
      </c>
      <c r="Z45" s="72">
        <f t="shared" si="17"/>
        <v>178.16249999999997</v>
      </c>
      <c r="AA45" s="72">
        <f t="shared" si="17"/>
        <v>224.06</v>
      </c>
      <c r="AB45" s="72">
        <f>SUM(Y45:AA45)</f>
        <v>605.71749999999997</v>
      </c>
    </row>
    <row r="46" spans="1:55" ht="51.75" customHeight="1" thickBot="1" x14ac:dyDescent="0.3">
      <c r="D46" s="149" t="str">
        <f>+D3</f>
        <v>May'17</v>
      </c>
      <c r="E46" s="149"/>
      <c r="G46" s="149" t="s">
        <v>1</v>
      </c>
      <c r="H46" s="149"/>
      <c r="I46" s="146" t="str">
        <f>+I3</f>
        <v>unresolved (flagged before May)</v>
      </c>
      <c r="J46" s="147"/>
      <c r="K46" s="143" t="str">
        <f>+K3</f>
        <v>unresolved (from May)</v>
      </c>
      <c r="L46" s="143"/>
      <c r="M46" s="148" t="str">
        <f>+M3</f>
        <v>Added (from 150-180days)</v>
      </c>
      <c r="N46" s="148"/>
      <c r="P46" s="149" t="str">
        <f>+P3</f>
        <v>June'17</v>
      </c>
      <c r="Q46" s="149"/>
    </row>
    <row r="47" spans="1:55" ht="30" customHeight="1" thickTop="1" thickBot="1" x14ac:dyDescent="0.3">
      <c r="C47" s="7" t="s">
        <v>67</v>
      </c>
      <c r="D47" s="8" t="s">
        <v>7</v>
      </c>
      <c r="E47" s="9" t="s">
        <v>8</v>
      </c>
      <c r="G47" s="8" t="s">
        <v>7</v>
      </c>
      <c r="H47" s="9" t="s">
        <v>8</v>
      </c>
      <c r="I47" s="10" t="s">
        <v>7</v>
      </c>
      <c r="J47" s="11" t="s">
        <v>8</v>
      </c>
      <c r="K47" s="10" t="s">
        <v>7</v>
      </c>
      <c r="L47" s="11" t="s">
        <v>8</v>
      </c>
      <c r="M47" s="8" t="s">
        <v>7</v>
      </c>
      <c r="N47" s="9" t="s">
        <v>8</v>
      </c>
      <c r="P47" s="8" t="s">
        <v>7</v>
      </c>
      <c r="Q47" s="9" t="s">
        <v>8</v>
      </c>
      <c r="S47" s="7" t="s">
        <v>67</v>
      </c>
      <c r="T47" s="12"/>
      <c r="U47" s="12"/>
      <c r="V47" s="12"/>
      <c r="W47" s="12"/>
      <c r="X47" s="12"/>
      <c r="Y47" s="8" t="s">
        <v>9</v>
      </c>
      <c r="Z47" s="8" t="s">
        <v>10</v>
      </c>
      <c r="AA47" s="8" t="s">
        <v>11</v>
      </c>
      <c r="AB47" s="9" t="s">
        <v>12</v>
      </c>
    </row>
    <row r="48" spans="1:55" ht="15.75" thickBot="1" x14ac:dyDescent="0.3">
      <c r="I48" s="13"/>
      <c r="J48" s="6"/>
      <c r="K48" s="5"/>
      <c r="L48" s="5"/>
      <c r="M48" s="141"/>
      <c r="S48" s="7"/>
      <c r="T48" s="14">
        <v>1</v>
      </c>
      <c r="U48" s="14">
        <v>2</v>
      </c>
      <c r="V48" s="14">
        <v>3</v>
      </c>
      <c r="W48" s="14">
        <v>4</v>
      </c>
      <c r="X48" s="14">
        <v>5</v>
      </c>
      <c r="Y48" s="15"/>
      <c r="Z48" s="16">
        <v>8</v>
      </c>
      <c r="AA48" s="16" t="s">
        <v>13</v>
      </c>
      <c r="AB48" s="17"/>
    </row>
    <row r="49" spans="1:55" x14ac:dyDescent="0.25">
      <c r="A49" s="18" t="s">
        <v>14</v>
      </c>
      <c r="C49" s="19" t="s">
        <v>14</v>
      </c>
      <c r="D49" s="20">
        <f>COUNTIF(DATA_PRIOR!$H:$H,A49)</f>
        <v>13</v>
      </c>
      <c r="E49" s="21">
        <f>SUMIF(DATA_PRIOR!$H:$H,A49,DATA_PRIOR!$V:$V)</f>
        <v>374.33</v>
      </c>
      <c r="G49" s="20">
        <v>-12</v>
      </c>
      <c r="H49" s="21">
        <v>-373.24</v>
      </c>
      <c r="I49" s="22">
        <f t="shared" ref="I49:I59" si="18">+D49+G49-K49</f>
        <v>0</v>
      </c>
      <c r="J49" s="23">
        <f t="shared" ref="J49:J59" si="19">+E49+H49-L49</f>
        <v>-2.5091040356528538E-14</v>
      </c>
      <c r="K49" s="22">
        <f>COUNTIFS(DATA_CURRENT!$B:$B,"Unresolved (May)",DATA_CURRENT!$H:$H,$A49)</f>
        <v>1</v>
      </c>
      <c r="L49" s="23">
        <f>SUMIFS(DATA_CURRENT!$V:$V,DATA_CURRENT!$H:$H,$A49,DATA_CURRENT!$B:$B,"Unresolved (May)")</f>
        <v>1.0900000000000001</v>
      </c>
      <c r="M49" s="20">
        <f>COUNTIFS(DATA_CURRENT!$B:$B,"Added",DATA_CURRENT!$H:$H,$A49)</f>
        <v>10</v>
      </c>
      <c r="N49" s="21">
        <f>SUMIFS(DATA_CURRENT!$V:$V,DATA_CURRENT!$H:$H,$A49,DATA_CURRENT!$B:$B,"Added")</f>
        <v>358.71</v>
      </c>
      <c r="P49" s="20">
        <v>11</v>
      </c>
      <c r="Q49" s="21">
        <v>359.79999999999995</v>
      </c>
      <c r="S49" s="19" t="s">
        <v>20</v>
      </c>
      <c r="T49" s="77">
        <f>SUMIFS(DATA_CURRENT!$V:$V,DATA_CURRENT!$H:$H,$A49,DATA_CURRENT!$X:$X,T$5)</f>
        <v>26.01</v>
      </c>
      <c r="U49" s="77">
        <f>SUMIFS(DATA_CURRENT!$V:$V,DATA_CURRENT!$H:$H,$A49,DATA_CURRENT!$X:$X,U$5)</f>
        <v>-1.82</v>
      </c>
      <c r="V49" s="77">
        <f>SUMIFS(DATA_CURRENT!$V:$V,DATA_CURRENT!$H:$H,$A49,DATA_CURRENT!$X:$X,V$5)</f>
        <v>0</v>
      </c>
      <c r="W49" s="77">
        <f>SUMIFS(DATA_CURRENT!$V:$V,DATA_CURRENT!$H:$H,$A49,DATA_CURRENT!$X:$X,W$5)</f>
        <v>0</v>
      </c>
      <c r="X49" s="77">
        <f>SUMIFS(DATA_CURRENT!$V:$V,DATA_CURRENT!$H:$H,$A49,DATA_CURRENT!$X:$X,X$5)</f>
        <v>0</v>
      </c>
      <c r="Y49" s="24">
        <f t="shared" ref="Y49:Y59" si="20">SUM(T49:X49)</f>
        <v>24.19</v>
      </c>
      <c r="Z49" s="24">
        <f>SUMIFS(DATA_CURRENT!$V:$V,DATA_CURRENT!$H:$H,$A49,DATA_CURRENT!$X:$X,Z$5)</f>
        <v>0</v>
      </c>
      <c r="AA49" s="24">
        <f>SUMIFS(DATA_CURRENT!$V:$V,DATA_CURRENT!$H:$H,$A49,DATA_CURRENT!$X:$X,AA$5)</f>
        <v>335.60999999999996</v>
      </c>
      <c r="AB49" s="21">
        <f t="shared" ref="AB49:AB59" si="21">SUM(Y49:AA49)</f>
        <v>359.79999999999995</v>
      </c>
      <c r="BB49">
        <f>Summary!J49+Summary!L49+Summary!N49+Summary!P49+Summary!R49+Summary!T49+Summary!V49</f>
        <v>0</v>
      </c>
      <c r="BC49">
        <f>Summary!K49+Summary!M49+Summary!O49+Summary!Q49+Summary!S49+Summary!U49+Summary!W49</f>
        <v>0</v>
      </c>
    </row>
    <row r="50" spans="1:55" x14ac:dyDescent="0.25">
      <c r="A50" s="18" t="s">
        <v>20</v>
      </c>
      <c r="C50" s="28" t="s">
        <v>20</v>
      </c>
      <c r="D50" s="29">
        <f>COUNTIF(DATA_PRIOR!$H:$H,A50)</f>
        <v>89</v>
      </c>
      <c r="E50" s="30">
        <f>SUMIF(DATA_PRIOR!$H:$H,A50,DATA_PRIOR!$V:$V)</f>
        <v>374.34</v>
      </c>
      <c r="G50" s="29">
        <v>-32</v>
      </c>
      <c r="H50" s="30">
        <v>-194.20999999999998</v>
      </c>
      <c r="I50" s="31">
        <f t="shared" si="18"/>
        <v>13</v>
      </c>
      <c r="J50" s="32">
        <f t="shared" si="19"/>
        <v>64.02</v>
      </c>
      <c r="K50" s="31">
        <f>COUNTIFS(DATA_CURRENT!$B:$B,"Unresolved (May)",DATA_CURRENT!$H:$H,$A50)</f>
        <v>44</v>
      </c>
      <c r="L50" s="32">
        <f>SUMIFS(DATA_CURRENT!$V:$V,DATA_CURRENT!$H:$H,$A50,DATA_CURRENT!$B:$B,"Unresolved (May)")</f>
        <v>116.11</v>
      </c>
      <c r="M50" s="29">
        <f>COUNTIFS(DATA_CURRENT!$B:$B,"Added",DATA_CURRENT!$H:$H,$A50)</f>
        <v>15</v>
      </c>
      <c r="N50" s="30">
        <f>SUMIFS(DATA_CURRENT!$V:$V,DATA_CURRENT!$H:$H,$A50,DATA_CURRENT!$B:$B,"Added")</f>
        <v>145.71</v>
      </c>
      <c r="P50" s="29">
        <v>72</v>
      </c>
      <c r="Q50" s="30">
        <v>325.84000000000003</v>
      </c>
      <c r="S50" s="28" t="s">
        <v>16</v>
      </c>
      <c r="T50" s="77">
        <f>SUMIFS(DATA_CURRENT!$V:$V,DATA_CURRENT!$H:$H,$A50,DATA_CURRENT!$X:$X,T$5)</f>
        <v>125.01</v>
      </c>
      <c r="U50" s="77">
        <f>SUMIFS(DATA_CURRENT!$V:$V,DATA_CURRENT!$H:$H,$A50,DATA_CURRENT!$X:$X,U$5)</f>
        <v>0</v>
      </c>
      <c r="V50" s="77">
        <f>SUMIFS(DATA_CURRENT!$V:$V,DATA_CURRENT!$H:$H,$A50,DATA_CURRENT!$X:$X,V$5)</f>
        <v>17.02</v>
      </c>
      <c r="W50" s="77">
        <f>SUMIFS(DATA_CURRENT!$V:$V,DATA_CURRENT!$H:$H,$A50,DATA_CURRENT!$X:$X,W$5)</f>
        <v>59.4</v>
      </c>
      <c r="X50" s="77">
        <f>SUMIFS(DATA_CURRENT!$V:$V,DATA_CURRENT!$H:$H,$A50,DATA_CURRENT!$X:$X,X$5)</f>
        <v>0</v>
      </c>
      <c r="Y50" s="33">
        <f t="shared" si="20"/>
        <v>201.43</v>
      </c>
      <c r="Z50" s="26">
        <f>SUMIFS(DATA_CURRENT!$V:$V,DATA_CURRENT!$H:$H,$A50,DATA_CURRENT!$X:$X,Z$5)</f>
        <v>121.08000000000001</v>
      </c>
      <c r="AA50" s="26">
        <f>SUMIFS(DATA_CURRENT!$V:$V,DATA_CURRENT!$H:$H,$A50,DATA_CURRENT!$X:$X,AA$5)</f>
        <v>3.33</v>
      </c>
      <c r="AB50" s="30">
        <f t="shared" si="21"/>
        <v>325.83999999999997</v>
      </c>
      <c r="BB50">
        <f>Summary!J50+Summary!L50+Summary!N50+Summary!P50+Summary!R50+Summary!T50+Summary!V50</f>
        <v>7</v>
      </c>
      <c r="BC50">
        <f>Summary!K50+Summary!M50+Summary!O50+Summary!Q50+Summary!S50+Summary!U50+Summary!W50</f>
        <v>56.5</v>
      </c>
    </row>
    <row r="51" spans="1:55" x14ac:dyDescent="0.25">
      <c r="A51" s="18" t="s">
        <v>21</v>
      </c>
      <c r="C51" s="28" t="s">
        <v>21</v>
      </c>
      <c r="D51" s="29">
        <f>COUNTIF(DATA_PRIOR!$H:$H,A51)</f>
        <v>10</v>
      </c>
      <c r="E51" s="30">
        <f>SUMIF(DATA_PRIOR!$H:$H,A51,DATA_PRIOR!$V:$V)</f>
        <v>165.4</v>
      </c>
      <c r="G51" s="29">
        <v>-8</v>
      </c>
      <c r="H51" s="30">
        <v>-172.85</v>
      </c>
      <c r="I51" s="31">
        <f t="shared" si="18"/>
        <v>0</v>
      </c>
      <c r="J51" s="32">
        <f t="shared" si="19"/>
        <v>1.0658141036401503E-14</v>
      </c>
      <c r="K51" s="31">
        <f>COUNTIFS(DATA_CURRENT!$B:$B,"Unresolved (May)",DATA_CURRENT!$H:$H,$A51)</f>
        <v>2</v>
      </c>
      <c r="L51" s="32">
        <f>SUMIFS(DATA_CURRENT!$V:$V,DATA_CURRENT!$H:$H,$A51,DATA_CURRENT!$B:$B,"Unresolved (May)")</f>
        <v>-7.4499999999999993</v>
      </c>
      <c r="M51" s="29">
        <f>COUNTIFS(DATA_CURRENT!$B:$B,"Added",DATA_CURRENT!$H:$H,$A51)</f>
        <v>0</v>
      </c>
      <c r="N51" s="30">
        <f>SUMIFS(DATA_CURRENT!$V:$V,DATA_CURRENT!$H:$H,$A51,DATA_CURRENT!$B:$B,"Added")</f>
        <v>0</v>
      </c>
      <c r="P51" s="29">
        <v>2</v>
      </c>
      <c r="Q51" s="30">
        <v>-7.4499999999999993</v>
      </c>
      <c r="S51" s="28" t="s">
        <v>14</v>
      </c>
      <c r="T51" s="77">
        <f>SUMIFS(DATA_CURRENT!$V:$V,DATA_CURRENT!$H:$H,$A51,DATA_CURRENT!$X:$X,T$5)</f>
        <v>0</v>
      </c>
      <c r="U51" s="77">
        <f>SUMIFS(DATA_CURRENT!$V:$V,DATA_CURRENT!$H:$H,$A51,DATA_CURRENT!$X:$X,U$5)</f>
        <v>0</v>
      </c>
      <c r="V51" s="77">
        <f>SUMIFS(DATA_CURRENT!$V:$V,DATA_CURRENT!$H:$H,$A51,DATA_CURRENT!$X:$X,V$5)</f>
        <v>0</v>
      </c>
      <c r="W51" s="77">
        <f>SUMIFS(DATA_CURRENT!$V:$V,DATA_CURRENT!$H:$H,$A51,DATA_CURRENT!$X:$X,W$5)</f>
        <v>0</v>
      </c>
      <c r="X51" s="77">
        <f>SUMIFS(DATA_CURRENT!$V:$V,DATA_CURRENT!$H:$H,$A51,DATA_CURRENT!$X:$X,X$5)</f>
        <v>0</v>
      </c>
      <c r="Y51" s="26">
        <f t="shared" si="20"/>
        <v>0</v>
      </c>
      <c r="Z51" s="26">
        <f>SUMIFS(DATA_CURRENT!$V:$V,DATA_CURRENT!$H:$H,$A51,DATA_CURRENT!$X:$X,Z$5)</f>
        <v>-13.29</v>
      </c>
      <c r="AA51" s="26">
        <f>SUMIFS(DATA_CURRENT!$V:$V,DATA_CURRENT!$H:$H,$A51,DATA_CURRENT!$X:$X,AA$5)</f>
        <v>5.84</v>
      </c>
      <c r="AB51" s="30">
        <f t="shared" si="21"/>
        <v>-7.4499999999999993</v>
      </c>
      <c r="BB51">
        <f>Summary!J51+Summary!L51+Summary!N51+Summary!P51+Summary!R51+Summary!T51+Summary!V51</f>
        <v>0</v>
      </c>
      <c r="BC51">
        <f>Summary!K51+Summary!M51+Summary!O51+Summary!Q51+Summary!S51+Summary!U51+Summary!W51</f>
        <v>0</v>
      </c>
    </row>
    <row r="52" spans="1:55" x14ac:dyDescent="0.25">
      <c r="A52" s="18" t="s">
        <v>19</v>
      </c>
      <c r="C52" s="28" t="s">
        <v>19</v>
      </c>
      <c r="D52" s="29">
        <f>COUNTIF(DATA_PRIOR!$H:$H,A52)</f>
        <v>8</v>
      </c>
      <c r="E52" s="30">
        <f>SUMIF(DATA_PRIOR!$H:$H,A52,DATA_PRIOR!$V:$V)</f>
        <v>151.91000000000003</v>
      </c>
      <c r="G52" s="29">
        <v>-2</v>
      </c>
      <c r="H52" s="30">
        <v>-30.190000000000026</v>
      </c>
      <c r="I52" s="31">
        <f t="shared" si="18"/>
        <v>0</v>
      </c>
      <c r="J52" s="32">
        <f t="shared" si="19"/>
        <v>0</v>
      </c>
      <c r="K52" s="31">
        <f>COUNTIFS(DATA_CURRENT!$B:$B,"Unresolved (May)",DATA_CURRENT!$H:$H,$A52)</f>
        <v>6</v>
      </c>
      <c r="L52" s="32">
        <f>SUMIFS(DATA_CURRENT!$V:$V,DATA_CURRENT!$H:$H,$A52,DATA_CURRENT!$B:$B,"Unresolved (May)")</f>
        <v>121.72</v>
      </c>
      <c r="M52" s="29">
        <f>COUNTIFS(DATA_CURRENT!$B:$B,"Added",DATA_CURRENT!$H:$H,$A52)</f>
        <v>1</v>
      </c>
      <c r="N52" s="30">
        <f>SUMIFS(DATA_CURRENT!$V:$V,DATA_CURRENT!$H:$H,$A52,DATA_CURRENT!$B:$B,"Added")</f>
        <v>27.97</v>
      </c>
      <c r="P52" s="29">
        <v>7</v>
      </c>
      <c r="Q52" s="30">
        <v>149.69</v>
      </c>
      <c r="S52" s="28" t="s">
        <v>17</v>
      </c>
      <c r="T52" s="77">
        <f>SUMIFS(DATA_CURRENT!$V:$V,DATA_CURRENT!$H:$H,$A52,DATA_CURRENT!$X:$X,T$5)</f>
        <v>48.8</v>
      </c>
      <c r="U52" s="77">
        <f>SUMIFS(DATA_CURRENT!$V:$V,DATA_CURRENT!$H:$H,$A52,DATA_CURRENT!$X:$X,U$5)</f>
        <v>0</v>
      </c>
      <c r="V52" s="77">
        <f>SUMIFS(DATA_CURRENT!$V:$V,DATA_CURRENT!$H:$H,$A52,DATA_CURRENT!$X:$X,V$5)</f>
        <v>0</v>
      </c>
      <c r="W52" s="77">
        <f>SUMIFS(DATA_CURRENT!$V:$V,DATA_CURRENT!$H:$H,$A52,DATA_CURRENT!$X:$X,W$5)</f>
        <v>0</v>
      </c>
      <c r="X52" s="77">
        <f>SUMIFS(DATA_CURRENT!$V:$V,DATA_CURRENT!$H:$H,$A52,DATA_CURRENT!$X:$X,X$5)</f>
        <v>0</v>
      </c>
      <c r="Y52" s="26">
        <f t="shared" si="20"/>
        <v>48.8</v>
      </c>
      <c r="Z52" s="33">
        <f>SUMIFS(DATA_CURRENT!$V:$V,DATA_CURRENT!$H:$H,$A52,DATA_CURRENT!$X:$X,Z$5)</f>
        <v>0</v>
      </c>
      <c r="AA52" s="33">
        <f>SUMIFS(DATA_CURRENT!$V:$V,DATA_CURRENT!$H:$H,$A52,DATA_CURRENT!$X:$X,AA$5)</f>
        <v>100.89</v>
      </c>
      <c r="AB52" s="30">
        <f t="shared" si="21"/>
        <v>149.69</v>
      </c>
      <c r="BB52">
        <f>Summary!J52+Summary!L52+Summary!N52+Summary!P52+Summary!R52+Summary!T52+Summary!V52</f>
        <v>0</v>
      </c>
      <c r="BC52">
        <f>Summary!K52+Summary!M52+Summary!O52+Summary!Q52+Summary!S52+Summary!U52+Summary!W52</f>
        <v>0</v>
      </c>
    </row>
    <row r="53" spans="1:55" x14ac:dyDescent="0.25">
      <c r="A53" s="18" t="s">
        <v>17</v>
      </c>
      <c r="C53" s="28" t="s">
        <v>17</v>
      </c>
      <c r="D53" s="29">
        <f>COUNTIF(DATA_PRIOR!$H:$H,A53)</f>
        <v>9</v>
      </c>
      <c r="E53" s="30">
        <f>SUMIF(DATA_PRIOR!$H:$H,A53,DATA_PRIOR!$V:$V)</f>
        <v>114.28</v>
      </c>
      <c r="G53" s="29">
        <v>-9</v>
      </c>
      <c r="H53" s="30">
        <v>-114.28</v>
      </c>
      <c r="I53" s="31">
        <f t="shared" si="18"/>
        <v>0</v>
      </c>
      <c r="J53" s="32">
        <f t="shared" si="19"/>
        <v>0</v>
      </c>
      <c r="K53" s="31">
        <f>COUNTIFS(DATA_CURRENT!$B:$B,"Unresolved (May)",DATA_CURRENT!$H:$H,$A53)</f>
        <v>0</v>
      </c>
      <c r="L53" s="32">
        <f>SUMIFS(DATA_CURRENT!$V:$V,DATA_CURRENT!$H:$H,$A53,DATA_CURRENT!$B:$B,"Unresolved (May)")</f>
        <v>0</v>
      </c>
      <c r="M53" s="29">
        <f>COUNTIFS(DATA_CURRENT!$B:$B,"Added",DATA_CURRENT!$H:$H,$A53)</f>
        <v>1</v>
      </c>
      <c r="N53" s="30">
        <f>SUMIFS(DATA_CURRENT!$V:$V,DATA_CURRENT!$H:$H,$A53,DATA_CURRENT!$B:$B,"Added")</f>
        <v>2.4500000000000002</v>
      </c>
      <c r="P53" s="29">
        <v>1</v>
      </c>
      <c r="Q53" s="30">
        <v>2.4500000000000002</v>
      </c>
      <c r="S53" s="28" t="s">
        <v>21</v>
      </c>
      <c r="T53" s="77">
        <f>SUMIFS(DATA_CURRENT!$V:$V,DATA_CURRENT!$H:$H,$A53,DATA_CURRENT!$X:$X,T$5)</f>
        <v>0</v>
      </c>
      <c r="U53" s="77">
        <f>SUMIFS(DATA_CURRENT!$V:$V,DATA_CURRENT!$H:$H,$A53,DATA_CURRENT!$X:$X,U$5)</f>
        <v>0</v>
      </c>
      <c r="V53" s="77">
        <f>SUMIFS(DATA_CURRENT!$V:$V,DATA_CURRENT!$H:$H,$A53,DATA_CURRENT!$X:$X,V$5)</f>
        <v>0</v>
      </c>
      <c r="W53" s="77">
        <f>SUMIFS(DATA_CURRENT!$V:$V,DATA_CURRENT!$H:$H,$A53,DATA_CURRENT!$X:$X,W$5)</f>
        <v>0</v>
      </c>
      <c r="X53" s="77">
        <f>SUMIFS(DATA_CURRENT!$V:$V,DATA_CURRENT!$H:$H,$A53,DATA_CURRENT!$X:$X,X$5)</f>
        <v>0</v>
      </c>
      <c r="Y53" s="33">
        <f t="shared" si="20"/>
        <v>0</v>
      </c>
      <c r="Z53" s="33">
        <f>SUMIFS(DATA_CURRENT!$V:$V,DATA_CURRENT!$H:$H,$A53,DATA_CURRENT!$X:$X,Z$5)</f>
        <v>0</v>
      </c>
      <c r="AA53" s="33">
        <f>SUMIFS(DATA_CURRENT!$V:$V,DATA_CURRENT!$H:$H,$A53,DATA_CURRENT!$X:$X,AA$5)</f>
        <v>2.4500000000000002</v>
      </c>
      <c r="AB53" s="30">
        <f t="shared" si="21"/>
        <v>2.4500000000000002</v>
      </c>
      <c r="BB53">
        <f>Summary!J53+Summary!L53+Summary!N53+Summary!P53+Summary!R53+Summary!T53+Summary!V53</f>
        <v>0</v>
      </c>
      <c r="BC53">
        <f>Summary!K53+Summary!M53+Summary!O53+Summary!Q53+Summary!S53+Summary!U53+Summary!W53</f>
        <v>0</v>
      </c>
    </row>
    <row r="54" spans="1:55" x14ac:dyDescent="0.25">
      <c r="A54" s="18" t="s">
        <v>25</v>
      </c>
      <c r="C54" s="28" t="s">
        <v>26</v>
      </c>
      <c r="D54" s="29">
        <f>COUNTIF(DATA_PRIOR!$H:$H,A54)</f>
        <v>7</v>
      </c>
      <c r="E54" s="30">
        <f>SUMIF(DATA_PRIOR!$H:$H,A54,DATA_PRIOR!$V:$V)</f>
        <v>79</v>
      </c>
      <c r="G54" s="29">
        <v>-2</v>
      </c>
      <c r="H54" s="30">
        <v>-35.730000000000004</v>
      </c>
      <c r="I54" s="31">
        <f t="shared" si="18"/>
        <v>1</v>
      </c>
      <c r="J54" s="32">
        <f t="shared" si="19"/>
        <v>41.66</v>
      </c>
      <c r="K54" s="31">
        <f>COUNTIFS(DATA_CURRENT!$B:$B,"Unresolved (May)",DATA_CURRENT!$H:$H,$A54)</f>
        <v>4</v>
      </c>
      <c r="L54" s="32">
        <f>SUMIFS(DATA_CURRENT!$V:$V,DATA_CURRENT!$H:$H,$A54,DATA_CURRENT!$B:$B,"Unresolved (May)")</f>
        <v>1.61</v>
      </c>
      <c r="M54" s="29">
        <f>COUNTIFS(DATA_CURRENT!$B:$B,"Added",DATA_CURRENT!$H:$H,$A54)</f>
        <v>2</v>
      </c>
      <c r="N54" s="30">
        <f>SUMIFS(DATA_CURRENT!$V:$V,DATA_CURRENT!$H:$H,$A54,DATA_CURRENT!$B:$B,"Added")</f>
        <v>3.45</v>
      </c>
      <c r="P54" s="29">
        <v>7</v>
      </c>
      <c r="Q54" s="30">
        <v>46.72</v>
      </c>
      <c r="S54" s="28" t="s">
        <v>23</v>
      </c>
      <c r="T54" s="77">
        <f>SUMIFS(DATA_CURRENT!$V:$V,DATA_CURRENT!$H:$H,$A54,DATA_CURRENT!$X:$X,T$5)</f>
        <v>43.47</v>
      </c>
      <c r="U54" s="77">
        <f>SUMIFS(DATA_CURRENT!$V:$V,DATA_CURRENT!$H:$H,$A54,DATA_CURRENT!$X:$X,U$5)</f>
        <v>0</v>
      </c>
      <c r="V54" s="77">
        <f>SUMIFS(DATA_CURRENT!$V:$V,DATA_CURRENT!$H:$H,$A54,DATA_CURRENT!$X:$X,V$5)</f>
        <v>0</v>
      </c>
      <c r="W54" s="77">
        <f>SUMIFS(DATA_CURRENT!$V:$V,DATA_CURRENT!$H:$H,$A54,DATA_CURRENT!$X:$X,W$5)</f>
        <v>3.45</v>
      </c>
      <c r="X54" s="77">
        <f>SUMIFS(DATA_CURRENT!$V:$V,DATA_CURRENT!$H:$H,$A54,DATA_CURRENT!$X:$X,X$5)</f>
        <v>-0.2</v>
      </c>
      <c r="Y54" s="26">
        <f t="shared" si="20"/>
        <v>46.72</v>
      </c>
      <c r="Z54" s="26">
        <f>SUMIFS(DATA_CURRENT!$V:$V,DATA_CURRENT!$H:$H,$A54,DATA_CURRENT!$X:$X,Z$5)</f>
        <v>0</v>
      </c>
      <c r="AA54" s="26">
        <f>SUMIFS(DATA_CURRENT!$V:$V,DATA_CURRENT!$H:$H,$A54,DATA_CURRENT!$X:$X,AA$5)</f>
        <v>0</v>
      </c>
      <c r="AB54" s="30">
        <f t="shared" si="21"/>
        <v>46.72</v>
      </c>
      <c r="BB54">
        <f>Summary!J54+Summary!L54+Summary!N54+Summary!P54+Summary!R54+Summary!T54+Summary!V54</f>
        <v>1</v>
      </c>
      <c r="BC54">
        <f>Summary!K54+Summary!M54+Summary!O54+Summary!Q54+Summary!S54+Summary!U54+Summary!W54</f>
        <v>41.66</v>
      </c>
    </row>
    <row r="55" spans="1:55" x14ac:dyDescent="0.25">
      <c r="A55" s="18" t="s">
        <v>15</v>
      </c>
      <c r="C55" s="28" t="s">
        <v>16</v>
      </c>
      <c r="D55" s="29">
        <f>COUNTIF(DATA_PRIOR!$H:$H,A55)</f>
        <v>24</v>
      </c>
      <c r="E55" s="30">
        <f>SUMIF(DATA_PRIOR!$H:$H,A55,DATA_PRIOR!$V:$V)</f>
        <v>361.87000000000012</v>
      </c>
      <c r="G55" s="29">
        <v>-13</v>
      </c>
      <c r="H55" s="30">
        <v>-57.880000000000052</v>
      </c>
      <c r="I55" s="31">
        <f t="shared" si="18"/>
        <v>0</v>
      </c>
      <c r="J55" s="32">
        <f t="shared" si="19"/>
        <v>0</v>
      </c>
      <c r="K55" s="31">
        <f>COUNTIFS(DATA_CURRENT!$B:$B,"Unresolved (May)",DATA_CURRENT!$H:$H,$A55)</f>
        <v>11</v>
      </c>
      <c r="L55" s="32">
        <f>SUMIFS(DATA_CURRENT!$V:$V,DATA_CURRENT!$H:$H,$A55,DATA_CURRENT!$B:$B,"Unresolved (May)")</f>
        <v>303.99000000000007</v>
      </c>
      <c r="M55" s="29">
        <f>COUNTIFS(DATA_CURRENT!$B:$B,"Added",DATA_CURRENT!$H:$H,$A55)</f>
        <v>0</v>
      </c>
      <c r="N55" s="30">
        <f>SUMIFS(DATA_CURRENT!$V:$V,DATA_CURRENT!$H:$H,$A55,DATA_CURRENT!$B:$B,"Added")</f>
        <v>0</v>
      </c>
      <c r="P55" s="29">
        <v>11</v>
      </c>
      <c r="Q55" s="30">
        <v>303.99000000000007</v>
      </c>
      <c r="S55" s="28" t="s">
        <v>18</v>
      </c>
      <c r="T55" s="77">
        <f>SUMIFS(DATA_CURRENT!$V:$V,DATA_CURRENT!$H:$H,$A55,DATA_CURRENT!$X:$X,T$5)</f>
        <v>0</v>
      </c>
      <c r="U55" s="77">
        <f>SUMIFS(DATA_CURRENT!$V:$V,DATA_CURRENT!$H:$H,$A55,DATA_CURRENT!$X:$X,U$5)</f>
        <v>8.25</v>
      </c>
      <c r="V55" s="77">
        <f>SUMIFS(DATA_CURRENT!$V:$V,DATA_CURRENT!$H:$H,$A55,DATA_CURRENT!$X:$X,V$5)</f>
        <v>295.74000000000007</v>
      </c>
      <c r="W55" s="77">
        <f>SUMIFS(DATA_CURRENT!$V:$V,DATA_CURRENT!$H:$H,$A55,DATA_CURRENT!$X:$X,W$5)</f>
        <v>0</v>
      </c>
      <c r="X55" s="77">
        <f>SUMIFS(DATA_CURRENT!$V:$V,DATA_CURRENT!$H:$H,$A55,DATA_CURRENT!$X:$X,X$5)</f>
        <v>0</v>
      </c>
      <c r="Y55" s="26">
        <f t="shared" si="20"/>
        <v>303.99000000000007</v>
      </c>
      <c r="Z55" s="33">
        <f>SUMIFS(DATA_CURRENT!$V:$V,DATA_CURRENT!$H:$H,$A55,DATA_CURRENT!$X:$X,Z$5)</f>
        <v>0</v>
      </c>
      <c r="AA55" s="33">
        <f>SUMIFS(DATA_CURRENT!$V:$V,DATA_CURRENT!$H:$H,$A55,DATA_CURRENT!$X:$X,AA$5)</f>
        <v>0</v>
      </c>
      <c r="AB55" s="30">
        <f t="shared" si="21"/>
        <v>303.99000000000007</v>
      </c>
      <c r="BB55">
        <f>Summary!J55+Summary!L55+Summary!N55+Summary!P55+Summary!R55+Summary!T55+Summary!V55</f>
        <v>0</v>
      </c>
      <c r="BC55">
        <f>Summary!K55+Summary!M55+Summary!O55+Summary!Q55+Summary!S55+Summary!U55+Summary!W55</f>
        <v>0</v>
      </c>
    </row>
    <row r="56" spans="1:55" x14ac:dyDescent="0.25">
      <c r="A56" s="18" t="s">
        <v>22</v>
      </c>
      <c r="C56" s="28" t="s">
        <v>22</v>
      </c>
      <c r="D56" s="29">
        <f>COUNTIF(DATA_PRIOR!$H:$H,A56)</f>
        <v>0</v>
      </c>
      <c r="E56" s="30">
        <f>SUMIF(DATA_PRIOR!$H:$H,A56,DATA_PRIOR!$V:$V)</f>
        <v>0</v>
      </c>
      <c r="G56" s="29">
        <v>0</v>
      </c>
      <c r="H56" s="30">
        <v>0</v>
      </c>
      <c r="I56" s="31">
        <f t="shared" si="18"/>
        <v>0</v>
      </c>
      <c r="J56" s="32">
        <f t="shared" si="19"/>
        <v>0</v>
      </c>
      <c r="K56" s="31">
        <f>COUNTIFS(DATA_CURRENT!$B:$B,"Unresolved (May)",DATA_CURRENT!$H:$H,$A56)</f>
        <v>0</v>
      </c>
      <c r="L56" s="32">
        <f>SUMIFS(DATA_CURRENT!$V:$V,DATA_CURRENT!$H:$H,$A56,DATA_CURRENT!$B:$B,"Unresolved (May)")</f>
        <v>0</v>
      </c>
      <c r="M56" s="29">
        <f>COUNTIFS(DATA_CURRENT!$B:$B,"Added",DATA_CURRENT!$H:$H,$A56)</f>
        <v>0</v>
      </c>
      <c r="N56" s="30">
        <f>SUMIFS(DATA_CURRENT!$V:$V,DATA_CURRENT!$H:$H,$A56,DATA_CURRENT!$B:$B,"Added")</f>
        <v>0</v>
      </c>
      <c r="P56" s="29">
        <v>0</v>
      </c>
      <c r="Q56" s="30">
        <v>0</v>
      </c>
      <c r="S56" s="28" t="s">
        <v>22</v>
      </c>
      <c r="T56" s="77">
        <f>SUMIFS(DATA_CURRENT!$V:$V,DATA_CURRENT!$H:$H,$A56,DATA_CURRENT!$X:$X,T$5)</f>
        <v>0</v>
      </c>
      <c r="U56" s="77">
        <f>SUMIFS(DATA_CURRENT!$V:$V,DATA_CURRENT!$H:$H,$A56,DATA_CURRENT!$X:$X,U$5)</f>
        <v>0</v>
      </c>
      <c r="V56" s="77">
        <f>SUMIFS(DATA_CURRENT!$V:$V,DATA_CURRENT!$H:$H,$A56,DATA_CURRENT!$X:$X,V$5)</f>
        <v>0</v>
      </c>
      <c r="W56" s="77">
        <f>SUMIFS(DATA_CURRENT!$V:$V,DATA_CURRENT!$H:$H,$A56,DATA_CURRENT!$X:$X,W$5)</f>
        <v>0</v>
      </c>
      <c r="X56" s="77">
        <f>SUMIFS(DATA_CURRENT!$V:$V,DATA_CURRENT!$H:$H,$A56,DATA_CURRENT!$X:$X,X$5)</f>
        <v>0</v>
      </c>
      <c r="Y56" s="33">
        <f t="shared" si="20"/>
        <v>0</v>
      </c>
      <c r="Z56" s="33">
        <f>SUMIFS(DATA_CURRENT!$V:$V,DATA_CURRENT!$H:$H,$A56,DATA_CURRENT!$X:$X,Z$5)</f>
        <v>0</v>
      </c>
      <c r="AA56" s="26">
        <f>SUMIFS(DATA_CURRENT!$V:$V,DATA_CURRENT!$H:$H,$A56,DATA_CURRENT!$X:$X,AA$5)</f>
        <v>0</v>
      </c>
      <c r="AB56" s="30">
        <f t="shared" si="21"/>
        <v>0</v>
      </c>
      <c r="BB56">
        <f>Summary!J56+Summary!L56+Summary!N56+Summary!P56+Summary!R56+Summary!T56+Summary!V56</f>
        <v>0</v>
      </c>
      <c r="BC56">
        <f>Summary!K56+Summary!M56+Summary!O56+Summary!Q56+Summary!S56+Summary!U56+Summary!W56</f>
        <v>0</v>
      </c>
    </row>
    <row r="57" spans="1:55" x14ac:dyDescent="0.25">
      <c r="A57" s="18" t="s">
        <v>23</v>
      </c>
      <c r="C57" s="28" t="s">
        <v>23</v>
      </c>
      <c r="D57" s="29">
        <f>COUNTIF(DATA_PRIOR!$H:$H,A57)</f>
        <v>0</v>
      </c>
      <c r="E57" s="30">
        <f>SUMIF(DATA_PRIOR!$H:$H,A57,DATA_PRIOR!$V:$V)</f>
        <v>0</v>
      </c>
      <c r="G57" s="29">
        <v>0</v>
      </c>
      <c r="H57" s="30">
        <v>0</v>
      </c>
      <c r="I57" s="31">
        <f t="shared" si="18"/>
        <v>0</v>
      </c>
      <c r="J57" s="32">
        <f t="shared" si="19"/>
        <v>0</v>
      </c>
      <c r="K57" s="31">
        <f>COUNTIFS(DATA_CURRENT!$B:$B,"Unresolved (May)",DATA_CURRENT!$H:$H,$A57)</f>
        <v>0</v>
      </c>
      <c r="L57" s="32">
        <f>SUMIFS(DATA_CURRENT!$V:$V,DATA_CURRENT!$H:$H,$A57,DATA_CURRENT!$B:$B,"Unresolved (May)")</f>
        <v>0</v>
      </c>
      <c r="M57" s="29">
        <f>COUNTIFS(DATA_CURRENT!$B:$B,"Added",DATA_CURRENT!$H:$H,$A57)</f>
        <v>0</v>
      </c>
      <c r="N57" s="30">
        <f>SUMIFS(DATA_CURRENT!$V:$V,DATA_CURRENT!$H:$H,$A57,DATA_CURRENT!$B:$B,"Added")</f>
        <v>0</v>
      </c>
      <c r="P57" s="29">
        <v>0</v>
      </c>
      <c r="Q57" s="30">
        <v>0</v>
      </c>
      <c r="S57" s="28" t="s">
        <v>19</v>
      </c>
      <c r="T57" s="77">
        <f>SUMIFS(DATA_CURRENT!$V:$V,DATA_CURRENT!$H:$H,$A57,DATA_CURRENT!$X:$X,T$5)</f>
        <v>0</v>
      </c>
      <c r="U57" s="77">
        <f>SUMIFS(DATA_CURRENT!$V:$V,DATA_CURRENT!$H:$H,$A57,DATA_CURRENT!$X:$X,U$5)</f>
        <v>0</v>
      </c>
      <c r="V57" s="77">
        <f>SUMIFS(DATA_CURRENT!$V:$V,DATA_CURRENT!$H:$H,$A57,DATA_CURRENT!$X:$X,V$5)</f>
        <v>0</v>
      </c>
      <c r="W57" s="77">
        <f>SUMIFS(DATA_CURRENT!$V:$V,DATA_CURRENT!$H:$H,$A57,DATA_CURRENT!$X:$X,W$5)</f>
        <v>0</v>
      </c>
      <c r="X57" s="77">
        <f>SUMIFS(DATA_CURRENT!$V:$V,DATA_CURRENT!$H:$H,$A57,DATA_CURRENT!$X:$X,X$5)</f>
        <v>0</v>
      </c>
      <c r="Y57" s="26">
        <f t="shared" si="20"/>
        <v>0</v>
      </c>
      <c r="Z57" s="33">
        <f>SUMIFS(DATA_CURRENT!$V:$V,DATA_CURRENT!$H:$H,$A57,DATA_CURRENT!$X:$X,Z$5)</f>
        <v>0</v>
      </c>
      <c r="AA57" s="33">
        <f>SUMIFS(DATA_CURRENT!$V:$V,DATA_CURRENT!$H:$H,$A57,DATA_CURRENT!$X:$X,AA$5)</f>
        <v>0</v>
      </c>
      <c r="AB57" s="30">
        <f t="shared" si="21"/>
        <v>0</v>
      </c>
      <c r="BB57">
        <f>Summary!J57+Summary!L57+Summary!N57+Summary!P57+Summary!R57+Summary!T57+Summary!V57</f>
        <v>0</v>
      </c>
      <c r="BC57">
        <f>Summary!K57+Summary!M57+Summary!O57+Summary!Q57+Summary!S57+Summary!U57+Summary!W57</f>
        <v>0</v>
      </c>
    </row>
    <row r="58" spans="1:55" x14ac:dyDescent="0.25">
      <c r="A58" s="18" t="s">
        <v>24</v>
      </c>
      <c r="C58" s="28" t="s">
        <v>24</v>
      </c>
      <c r="D58" s="29">
        <f>COUNTIF(DATA_PRIOR!$H:$H,A58)</f>
        <v>0</v>
      </c>
      <c r="E58" s="30">
        <f>SUMIF(DATA_PRIOR!$H:$H,A58,DATA_PRIOR!$V:$V)</f>
        <v>0</v>
      </c>
      <c r="G58" s="29">
        <v>0</v>
      </c>
      <c r="H58" s="30">
        <v>0</v>
      </c>
      <c r="I58" s="31">
        <f t="shared" si="18"/>
        <v>0</v>
      </c>
      <c r="J58" s="32">
        <f t="shared" si="19"/>
        <v>0</v>
      </c>
      <c r="K58" s="31">
        <f>COUNTIFS(DATA_CURRENT!$B:$B,"Unresolved (May)",DATA_CURRENT!$H:$H,$A58)</f>
        <v>0</v>
      </c>
      <c r="L58" s="32">
        <f>SUMIFS(DATA_CURRENT!$V:$V,DATA_CURRENT!$H:$H,$A58,DATA_CURRENT!$B:$B,"Unresolved (May)")</f>
        <v>0</v>
      </c>
      <c r="M58" s="29">
        <f>COUNTIFS(DATA_CURRENT!$B:$B,"Added",DATA_CURRENT!$H:$H,$A58)</f>
        <v>0</v>
      </c>
      <c r="N58" s="30">
        <f>SUMIFS(DATA_CURRENT!$V:$V,DATA_CURRENT!$H:$H,$A58,DATA_CURRENT!$B:$B,"Added")</f>
        <v>0</v>
      </c>
      <c r="P58" s="29">
        <v>0</v>
      </c>
      <c r="Q58" s="30">
        <v>0</v>
      </c>
      <c r="S58" s="28" t="s">
        <v>24</v>
      </c>
      <c r="T58" s="77">
        <f>SUMIFS(DATA_CURRENT!$V:$V,DATA_CURRENT!$H:$H,$A58,DATA_CURRENT!$X:$X,T$5)</f>
        <v>0</v>
      </c>
      <c r="U58" s="77">
        <f>SUMIFS(DATA_CURRENT!$V:$V,DATA_CURRENT!$H:$H,$A58,DATA_CURRENT!$X:$X,U$5)</f>
        <v>0</v>
      </c>
      <c r="V58" s="77">
        <f>SUMIFS(DATA_CURRENT!$V:$V,DATA_CURRENT!$H:$H,$A58,DATA_CURRENT!$X:$X,V$5)</f>
        <v>0</v>
      </c>
      <c r="W58" s="77">
        <f>SUMIFS(DATA_CURRENT!$V:$V,DATA_CURRENT!$H:$H,$A58,DATA_CURRENT!$X:$X,W$5)</f>
        <v>0</v>
      </c>
      <c r="X58" s="77">
        <f>SUMIFS(DATA_CURRENT!$V:$V,DATA_CURRENT!$H:$H,$A58,DATA_CURRENT!$X:$X,X$5)</f>
        <v>0</v>
      </c>
      <c r="Y58" s="26">
        <f>SUM(T58:X58)</f>
        <v>0</v>
      </c>
      <c r="Z58" s="33">
        <f>SUMIFS(DATA_CURRENT!$V:$V,DATA_CURRENT!$H:$H,$A58,DATA_CURRENT!$X:$X,Z$5)</f>
        <v>0</v>
      </c>
      <c r="AA58" s="33">
        <f>SUMIFS(DATA_CURRENT!$V:$V,DATA_CURRENT!$H:$H,$A58,DATA_CURRENT!$X:$X,AA$5)</f>
        <v>0</v>
      </c>
      <c r="AB58" s="30">
        <f>SUM(Y58:AA58)</f>
        <v>0</v>
      </c>
      <c r="BB58">
        <f>Summary!J58+Summary!L58+Summary!N58+Summary!P58+Summary!R58+Summary!T58+Summary!V58</f>
        <v>0</v>
      </c>
      <c r="BC58">
        <f>Summary!K58+Summary!M58+Summary!O58+Summary!Q58+Summary!S58+Summary!U58+Summary!W58</f>
        <v>0</v>
      </c>
    </row>
    <row r="59" spans="1:55" x14ac:dyDescent="0.25">
      <c r="A59" s="18" t="s">
        <v>18</v>
      </c>
      <c r="C59" s="28" t="s">
        <v>18</v>
      </c>
      <c r="D59" s="29">
        <f>COUNTIF(DATA_PRIOR!$H:$H,A59)</f>
        <v>9</v>
      </c>
      <c r="E59" s="30">
        <f>SUMIF(DATA_PRIOR!$H:$H,A59,DATA_PRIOR!$V:$V)</f>
        <v>155.44999999999999</v>
      </c>
      <c r="G59" s="29">
        <v>-7</v>
      </c>
      <c r="H59" s="30">
        <v>-167.82</v>
      </c>
      <c r="I59" s="31">
        <f t="shared" si="18"/>
        <v>1</v>
      </c>
      <c r="J59" s="32">
        <f t="shared" si="19"/>
        <v>-6.1800000000000042</v>
      </c>
      <c r="K59" s="31">
        <f>COUNTIFS(DATA_CURRENT!$B:$B,"Unresolved (May)",DATA_CURRENT!$H:$H,$A59)</f>
        <v>1</v>
      </c>
      <c r="L59" s="32">
        <f>SUMIFS(DATA_CURRENT!$V:$V,DATA_CURRENT!$H:$H,$A59,DATA_CURRENT!$B:$B,"Unresolved (May)")</f>
        <v>-6.19</v>
      </c>
      <c r="M59" s="29">
        <f>COUNTIFS(DATA_CURRENT!$B:$B,"Added",DATA_CURRENT!$H:$H,$A59)</f>
        <v>6</v>
      </c>
      <c r="N59" s="30">
        <f>SUMIFS(DATA_CURRENT!$V:$V,DATA_CURRENT!$H:$H,$A59,DATA_CURRENT!$B:$B,"Added")</f>
        <v>167.48</v>
      </c>
      <c r="P59" s="29">
        <v>8</v>
      </c>
      <c r="Q59" s="30">
        <v>155.10999999999999</v>
      </c>
      <c r="S59" s="28" t="s">
        <v>26</v>
      </c>
      <c r="T59" s="77">
        <f>SUMIFS(DATA_CURRENT!$V:$V,DATA_CURRENT!$H:$H,$A59,DATA_CURRENT!$X:$X,T$5)</f>
        <v>0</v>
      </c>
      <c r="U59" s="77">
        <f>SUMIFS(DATA_CURRENT!$V:$V,DATA_CURRENT!$H:$H,$A59,DATA_CURRENT!$X:$X,U$5)</f>
        <v>12.7</v>
      </c>
      <c r="V59" s="77">
        <f>SUMIFS(DATA_CURRENT!$V:$V,DATA_CURRENT!$H:$H,$A59,DATA_CURRENT!$X:$X,V$5)</f>
        <v>0</v>
      </c>
      <c r="W59" s="77">
        <f>SUMIFS(DATA_CURRENT!$V:$V,DATA_CURRENT!$H:$H,$A59,DATA_CURRENT!$X:$X,W$5)</f>
        <v>12.649999999999999</v>
      </c>
      <c r="X59" s="77">
        <f>SUMIFS(DATA_CURRENT!$V:$V,DATA_CURRENT!$H:$H,$A59,DATA_CURRENT!$X:$X,X$5)</f>
        <v>0</v>
      </c>
      <c r="Y59" s="33">
        <f t="shared" si="20"/>
        <v>25.349999999999998</v>
      </c>
      <c r="Z59" s="26">
        <f>SUMIFS(DATA_CURRENT!$V:$V,DATA_CURRENT!$H:$H,$A59,DATA_CURRENT!$X:$X,Z$5)</f>
        <v>129.76</v>
      </c>
      <c r="AA59" s="26">
        <f>SUMIFS(DATA_CURRENT!$V:$V,DATA_CURRENT!$H:$H,$A59,DATA_CURRENT!$X:$X,AA$5)</f>
        <v>0</v>
      </c>
      <c r="AB59" s="30">
        <f t="shared" si="21"/>
        <v>155.10999999999999</v>
      </c>
      <c r="BB59">
        <f>Summary!J59+Summary!L59+Summary!N59+Summary!P59+Summary!R59+Summary!T59+Summary!V59</f>
        <v>1</v>
      </c>
      <c r="BC59">
        <f>Summary!K59+Summary!M59+Summary!O59+Summary!Q59+Summary!S59+Summary!U59+Summary!W59</f>
        <v>-6.18</v>
      </c>
    </row>
    <row r="60" spans="1:55" x14ac:dyDescent="0.25">
      <c r="C60" s="34" t="s">
        <v>12</v>
      </c>
      <c r="D60" s="35">
        <f>SUM(D49:D59)</f>
        <v>169</v>
      </c>
      <c r="E60" s="36">
        <f>SUM(E49:E59)</f>
        <v>1776.5800000000002</v>
      </c>
      <c r="G60" s="35">
        <v>-85</v>
      </c>
      <c r="H60" s="36">
        <v>-1146.2000000000003</v>
      </c>
      <c r="I60" s="37">
        <f t="shared" ref="I60:L60" si="22">SUM(I49:I59)</f>
        <v>15</v>
      </c>
      <c r="J60" s="38">
        <f t="shared" si="22"/>
        <v>99.499999999999972</v>
      </c>
      <c r="K60" s="36">
        <f t="shared" si="22"/>
        <v>69</v>
      </c>
      <c r="L60" s="38">
        <f t="shared" si="22"/>
        <v>530.88</v>
      </c>
      <c r="M60" s="35">
        <f>SUM(M49:M59)</f>
        <v>35</v>
      </c>
      <c r="N60" s="36">
        <f>SUM(N49:N59)</f>
        <v>705.7700000000001</v>
      </c>
      <c r="P60" s="35">
        <v>119</v>
      </c>
      <c r="Q60" s="36">
        <v>1336.15</v>
      </c>
      <c r="S60" s="34" t="s">
        <v>12</v>
      </c>
      <c r="T60" s="36">
        <f>SUM(T49:T59)</f>
        <v>243.29</v>
      </c>
      <c r="U60" s="36">
        <f t="shared" ref="U60:AB60" si="23">SUM(U49:U59)</f>
        <v>19.13</v>
      </c>
      <c r="V60" s="36">
        <f t="shared" si="23"/>
        <v>312.76000000000005</v>
      </c>
      <c r="W60" s="36">
        <f t="shared" si="23"/>
        <v>75.5</v>
      </c>
      <c r="X60" s="36">
        <f t="shared" si="23"/>
        <v>-0.2</v>
      </c>
      <c r="Y60" s="36">
        <f t="shared" si="23"/>
        <v>650.48000000000013</v>
      </c>
      <c r="Z60" s="36">
        <f t="shared" si="23"/>
        <v>237.55</v>
      </c>
      <c r="AA60" s="36">
        <f t="shared" si="23"/>
        <v>448.11999999999989</v>
      </c>
      <c r="AB60" s="36">
        <f t="shared" si="23"/>
        <v>1336.1499999999999</v>
      </c>
      <c r="BB60">
        <f>Summary!J60+Summary!L60+Summary!N60+Summary!P60+Summary!R60+Summary!T60+Summary!V60</f>
        <v>9</v>
      </c>
      <c r="BC60">
        <f>Summary!K60+Summary!M60+Summary!O60+Summary!Q60+Summary!S60+Summary!U60+Summary!W60</f>
        <v>91.98</v>
      </c>
    </row>
    <row r="61" spans="1:55" ht="15.75" thickBot="1" x14ac:dyDescent="0.3">
      <c r="I61" s="41"/>
      <c r="J61" s="42"/>
      <c r="K61" s="41"/>
      <c r="L61" s="6"/>
    </row>
    <row r="62" spans="1:55" ht="15.75" thickTop="1" x14ac:dyDescent="0.25">
      <c r="L62" s="96"/>
    </row>
    <row r="63" spans="1:55" hidden="1" outlineLevel="1" x14ac:dyDescent="0.25">
      <c r="D63" s="135">
        <f>D39-D60</f>
        <v>0</v>
      </c>
      <c r="E63" s="135">
        <f>E39-E60</f>
        <v>0</v>
      </c>
      <c r="G63" s="135">
        <f>G39-G60</f>
        <v>0</v>
      </c>
      <c r="H63" s="87">
        <f>H39-H60</f>
        <v>0</v>
      </c>
      <c r="M63" s="135">
        <f>M39-M60</f>
        <v>0</v>
      </c>
      <c r="N63" s="135">
        <f>N39-N60</f>
        <v>0</v>
      </c>
      <c r="P63" s="135">
        <f>P39-P60</f>
        <v>0</v>
      </c>
      <c r="Q63" s="135">
        <f>Q39-Q60</f>
        <v>0</v>
      </c>
      <c r="T63" s="135">
        <f t="shared" ref="T63:AB63" si="24">T39-T60</f>
        <v>0</v>
      </c>
      <c r="U63" s="135">
        <f t="shared" si="24"/>
        <v>0</v>
      </c>
      <c r="V63" s="135">
        <f t="shared" si="24"/>
        <v>0</v>
      </c>
      <c r="W63" s="135">
        <f t="shared" si="24"/>
        <v>0</v>
      </c>
      <c r="X63" s="135">
        <f t="shared" si="24"/>
        <v>0</v>
      </c>
      <c r="Y63" s="135">
        <f t="shared" si="24"/>
        <v>0</v>
      </c>
      <c r="Z63" s="135">
        <f t="shared" si="24"/>
        <v>0</v>
      </c>
      <c r="AA63" s="135">
        <f t="shared" si="24"/>
        <v>0</v>
      </c>
      <c r="AB63" s="135">
        <f t="shared" si="24"/>
        <v>0</v>
      </c>
    </row>
    <row r="64" spans="1:55" hidden="1" outlineLevel="1" x14ac:dyDescent="0.25"/>
    <row r="65" collapsed="1" x14ac:dyDescent="0.25"/>
  </sheetData>
  <sortState ref="AF6:AI16">
    <sortCondition descending="1" ref="AI6:AI16"/>
  </sortState>
  <mergeCells count="19">
    <mergeCell ref="D3:E3"/>
    <mergeCell ref="G3:H3"/>
    <mergeCell ref="D46:E46"/>
    <mergeCell ref="G46:H46"/>
    <mergeCell ref="D22:E22"/>
    <mergeCell ref="G22:H22"/>
    <mergeCell ref="K22:L22"/>
    <mergeCell ref="I46:J46"/>
    <mergeCell ref="BB3:BC3"/>
    <mergeCell ref="I3:J3"/>
    <mergeCell ref="K46:L46"/>
    <mergeCell ref="M46:N46"/>
    <mergeCell ref="P46:Q46"/>
    <mergeCell ref="K3:L3"/>
    <mergeCell ref="M3:N3"/>
    <mergeCell ref="P3:Q3"/>
    <mergeCell ref="M22:N22"/>
    <mergeCell ref="P22:Q22"/>
    <mergeCell ref="I22:J22"/>
  </mergeCells>
  <conditionalFormatting sqref="H18 D25:H39 D6:H17 D49:H60">
    <cfRule type="cellIs" dxfId="56" priority="10" operator="equal">
      <formula>0</formula>
    </cfRule>
  </conditionalFormatting>
  <conditionalFormatting sqref="I49:L60">
    <cfRule type="cellIs" dxfId="55" priority="7" operator="equal">
      <formula>0</formula>
    </cfRule>
  </conditionalFormatting>
  <conditionalFormatting sqref="I6:J17 I25:L39 I49:L60">
    <cfRule type="cellIs" dxfId="54" priority="8" operator="equal">
      <formula>0</formula>
    </cfRule>
  </conditionalFormatting>
  <conditionalFormatting sqref="I17:J17">
    <cfRule type="cellIs" dxfId="53" priority="6" operator="equal">
      <formula>0</formula>
    </cfRule>
  </conditionalFormatting>
  <conditionalFormatting sqref="M6:Q17 M49:Q60 M25:Q39 P19:Q19 I39:L39 P18">
    <cfRule type="cellIs" dxfId="52" priority="9" operator="equal">
      <formula>0</formula>
    </cfRule>
  </conditionalFormatting>
  <conditionalFormatting sqref="T49:X59">
    <cfRule type="cellIs" dxfId="51" priority="1" operator="equal">
      <formula>0</formula>
    </cfRule>
  </conditionalFormatting>
  <conditionalFormatting sqref="K6:L17">
    <cfRule type="cellIs" dxfId="50" priority="5" operator="equal">
      <formula>0</formula>
    </cfRule>
  </conditionalFormatting>
  <conditionalFormatting sqref="K17:L17">
    <cfRule type="cellIs" dxfId="49" priority="4" operator="equal">
      <formula>0</formula>
    </cfRule>
  </conditionalFormatting>
  <conditionalFormatting sqref="AH26:AI33 AI25 AJ25:AK33 AH24:AH25 AD34:AK39 AM25:AM39 T6:AB17 T25:AB39 AD25:AG33">
    <cfRule type="cellIs" dxfId="48" priority="3" operator="equal">
      <formula>0</formula>
    </cfRule>
  </conditionalFormatting>
  <conditionalFormatting sqref="T60:AB60 Y49:AB59">
    <cfRule type="cellIs" dxfId="47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A78"/>
  <sheetViews>
    <sheetView showGridLines="0" workbookViewId="0">
      <pane xSplit="2" ySplit="1" topLeftCell="D68" activePane="bottomRight" state="frozen"/>
      <selection activeCell="D2" sqref="D2"/>
      <selection pane="topRight" activeCell="D2" sqref="D2"/>
      <selection pane="bottomLeft" activeCell="D2" sqref="D2"/>
      <selection pane="bottomRight"/>
    </sheetView>
  </sheetViews>
  <sheetFormatPr defaultRowHeight="15" outlineLevelCol="2" x14ac:dyDescent="0.25"/>
  <cols>
    <col min="1" max="1" width="11.140625" style="135" bestFit="1" customWidth="1"/>
    <col min="2" max="2" width="16.85546875" style="135" bestFit="1" customWidth="1"/>
    <col min="3" max="3" width="13.5703125" style="135" hidden="1" customWidth="1" outlineLevel="1"/>
    <col min="4" max="4" width="57.42578125" style="135" bestFit="1" customWidth="1" collapsed="1"/>
    <col min="5" max="5" width="21" style="135" bestFit="1" customWidth="1"/>
    <col min="6" max="6" width="11.28515625" style="135" hidden="1" customWidth="1" outlineLevel="1"/>
    <col min="7" max="7" width="57.42578125" style="135" bestFit="1" customWidth="1" collapsed="1"/>
    <col min="8" max="8" width="18.85546875" style="135" bestFit="1" customWidth="1"/>
    <col min="9" max="9" width="20.85546875" style="133" bestFit="1" customWidth="1"/>
    <col min="10" max="10" width="21.5703125" style="135" bestFit="1" customWidth="1"/>
    <col min="11" max="11" width="45.7109375" style="135" bestFit="1" customWidth="1"/>
    <col min="12" max="12" width="19.42578125" style="118" bestFit="1" customWidth="1"/>
    <col min="13" max="13" width="39.140625" style="135" bestFit="1" customWidth="1"/>
    <col min="14" max="14" width="32.5703125" style="135" bestFit="1" customWidth="1"/>
    <col min="15" max="15" width="15.85546875" style="135" hidden="1" customWidth="1" outlineLevel="1"/>
    <col min="16" max="16" width="16.5703125" style="135" hidden="1" customWidth="1" outlineLevel="1"/>
    <col min="17" max="17" width="9.140625" style="82" hidden="1" customWidth="1" outlineLevel="1"/>
    <col min="18" max="18" width="14.85546875" style="135" hidden="1" customWidth="1" outlineLevel="1"/>
    <col min="19" max="19" width="7.140625" style="135" hidden="1" customWidth="1" outlineLevel="1"/>
    <col min="20" max="20" width="10.28515625" style="135" hidden="1" customWidth="1" outlineLevel="1"/>
    <col min="21" max="21" width="8.7109375" style="135" hidden="1" customWidth="1" outlineLevel="1"/>
    <col min="22" max="22" width="8.28515625" style="126" customWidth="1" collapsed="1"/>
    <col min="23" max="23" width="11.5703125" style="135" hidden="1" customWidth="1" outlineLevel="1"/>
    <col min="24" max="24" width="11.85546875" style="135" hidden="1" customWidth="1" outlineLevel="2"/>
    <col min="25" max="25" width="23.85546875" style="135" bestFit="1" customWidth="1" collapsed="1"/>
    <col min="26" max="26" width="8.42578125" style="126" bestFit="1" customWidth="1"/>
    <col min="27" max="27" width="14.85546875" style="126" bestFit="1" customWidth="1"/>
    <col min="28" max="16384" width="9.140625" style="135"/>
  </cols>
  <sheetData>
    <row r="1" spans="1:27" ht="36" x14ac:dyDescent="0.25">
      <c r="A1" s="47" t="s">
        <v>96</v>
      </c>
      <c r="B1" s="47" t="s">
        <v>69</v>
      </c>
      <c r="C1" s="48" t="s">
        <v>70</v>
      </c>
      <c r="D1" s="48" t="s">
        <v>71</v>
      </c>
      <c r="E1" s="48" t="s">
        <v>73</v>
      </c>
      <c r="F1" s="48" t="s">
        <v>74</v>
      </c>
      <c r="G1" s="48" t="s">
        <v>75</v>
      </c>
      <c r="H1" s="48" t="s">
        <v>77</v>
      </c>
      <c r="I1" s="131" t="s">
        <v>78</v>
      </c>
      <c r="J1" s="47" t="s">
        <v>29</v>
      </c>
      <c r="K1" s="47" t="s">
        <v>79</v>
      </c>
      <c r="L1" s="116" t="s">
        <v>81</v>
      </c>
      <c r="M1" s="48" t="s">
        <v>82</v>
      </c>
      <c r="N1" s="48" t="s">
        <v>83</v>
      </c>
      <c r="O1" s="48" t="s">
        <v>84</v>
      </c>
      <c r="P1" s="48" t="s">
        <v>85</v>
      </c>
      <c r="Q1" s="50" t="s">
        <v>86</v>
      </c>
      <c r="R1" s="48" t="s">
        <v>87</v>
      </c>
      <c r="S1" s="48" t="s">
        <v>88</v>
      </c>
      <c r="T1" s="48" t="s">
        <v>89</v>
      </c>
      <c r="U1" s="48" t="s">
        <v>90</v>
      </c>
      <c r="V1" s="124" t="s">
        <v>91</v>
      </c>
      <c r="W1" s="48" t="s">
        <v>92</v>
      </c>
      <c r="X1" s="47" t="s">
        <v>93</v>
      </c>
      <c r="Y1" s="47" t="s">
        <v>65</v>
      </c>
      <c r="Z1" s="130" t="s">
        <v>94</v>
      </c>
      <c r="AA1" s="130" t="s">
        <v>95</v>
      </c>
    </row>
    <row r="2" spans="1:27" ht="15" customHeight="1" x14ac:dyDescent="0.25">
      <c r="A2" s="51" t="s">
        <v>102</v>
      </c>
      <c r="B2" s="51" t="s">
        <v>131</v>
      </c>
      <c r="C2" s="91">
        <v>8520</v>
      </c>
      <c r="D2" s="91" t="s">
        <v>186</v>
      </c>
      <c r="E2" s="91" t="s">
        <v>15</v>
      </c>
      <c r="F2" s="91">
        <v>95</v>
      </c>
      <c r="G2" s="91" t="s">
        <v>110</v>
      </c>
      <c r="H2" s="91" t="s">
        <v>18</v>
      </c>
      <c r="I2" s="134" t="s">
        <v>111</v>
      </c>
      <c r="J2" s="92" t="s">
        <v>52</v>
      </c>
      <c r="K2" s="92" t="s">
        <v>132</v>
      </c>
      <c r="L2" s="117">
        <v>41452</v>
      </c>
      <c r="M2" s="91" t="s">
        <v>109</v>
      </c>
      <c r="N2" s="91" t="s">
        <v>10</v>
      </c>
      <c r="O2" s="93">
        <v>42433</v>
      </c>
      <c r="P2" s="93" t="s">
        <v>205</v>
      </c>
      <c r="Q2" s="94">
        <v>480</v>
      </c>
      <c r="R2" s="93" t="s">
        <v>252</v>
      </c>
      <c r="S2" s="91">
        <v>-6183.5</v>
      </c>
      <c r="T2" s="91" t="s">
        <v>100</v>
      </c>
      <c r="U2" s="91" t="s">
        <v>101</v>
      </c>
      <c r="V2" s="125">
        <v>-6.18</v>
      </c>
      <c r="W2" s="51">
        <v>1</v>
      </c>
      <c r="X2" s="51" t="s">
        <v>133</v>
      </c>
      <c r="Y2" s="51" t="s">
        <v>32</v>
      </c>
      <c r="Z2" s="129">
        <v>-1.5449999999999999</v>
      </c>
      <c r="AA2" s="129">
        <v>-4.6349999999999998</v>
      </c>
    </row>
    <row r="3" spans="1:27" ht="15" customHeight="1" x14ac:dyDescent="0.25">
      <c r="A3" s="51" t="s">
        <v>96</v>
      </c>
      <c r="B3" s="51" t="s">
        <v>96</v>
      </c>
      <c r="C3" s="91">
        <v>8520</v>
      </c>
      <c r="D3" s="91" t="s">
        <v>186</v>
      </c>
      <c r="E3" s="91" t="s">
        <v>15</v>
      </c>
      <c r="F3" s="91">
        <v>199</v>
      </c>
      <c r="G3" s="91" t="s">
        <v>124</v>
      </c>
      <c r="H3" s="91" t="s">
        <v>20</v>
      </c>
      <c r="I3" s="134">
        <v>85200330013495</v>
      </c>
      <c r="J3" s="92" t="s">
        <v>56</v>
      </c>
      <c r="K3" s="92" t="s">
        <v>200</v>
      </c>
      <c r="L3" s="117">
        <v>42584</v>
      </c>
      <c r="M3" s="91" t="s">
        <v>109</v>
      </c>
      <c r="N3" s="91" t="s">
        <v>10</v>
      </c>
      <c r="O3" s="93">
        <v>42618</v>
      </c>
      <c r="P3" s="93" t="s">
        <v>206</v>
      </c>
      <c r="Q3" s="94">
        <v>295</v>
      </c>
      <c r="R3" s="93" t="s">
        <v>99</v>
      </c>
      <c r="S3" s="91">
        <v>386956.25</v>
      </c>
      <c r="T3" s="91" t="s">
        <v>119</v>
      </c>
      <c r="U3" s="91" t="s">
        <v>101</v>
      </c>
      <c r="V3" s="125">
        <v>5.38</v>
      </c>
      <c r="W3" s="51">
        <v>1</v>
      </c>
      <c r="X3" s="51" t="s">
        <v>133</v>
      </c>
      <c r="Y3" s="51" t="s">
        <v>32</v>
      </c>
      <c r="Z3" s="129">
        <v>1.345</v>
      </c>
      <c r="AA3" s="129">
        <v>4.0350000000000001</v>
      </c>
    </row>
    <row r="4" spans="1:27" ht="15" customHeight="1" x14ac:dyDescent="0.25">
      <c r="A4" s="51" t="s">
        <v>96</v>
      </c>
      <c r="B4" s="51" t="s">
        <v>96</v>
      </c>
      <c r="C4" s="91">
        <v>8520</v>
      </c>
      <c r="D4" s="91" t="s">
        <v>186</v>
      </c>
      <c r="E4" s="91" t="s">
        <v>15</v>
      </c>
      <c r="F4" s="91">
        <v>199</v>
      </c>
      <c r="G4" s="91" t="s">
        <v>124</v>
      </c>
      <c r="H4" s="91" t="s">
        <v>20</v>
      </c>
      <c r="I4" s="134">
        <v>85200710012386</v>
      </c>
      <c r="J4" s="92" t="s">
        <v>47</v>
      </c>
      <c r="K4" s="92" t="s">
        <v>142</v>
      </c>
      <c r="L4" s="117">
        <v>42584</v>
      </c>
      <c r="M4" s="91" t="s">
        <v>109</v>
      </c>
      <c r="N4" s="91" t="s">
        <v>10</v>
      </c>
      <c r="O4" s="93">
        <v>42618</v>
      </c>
      <c r="P4" s="93" t="s">
        <v>206</v>
      </c>
      <c r="Q4" s="94">
        <v>295</v>
      </c>
      <c r="R4" s="93" t="s">
        <v>99</v>
      </c>
      <c r="S4" s="91">
        <v>311508.09000000003</v>
      </c>
      <c r="T4" s="91" t="s">
        <v>119</v>
      </c>
      <c r="U4" s="91" t="s">
        <v>101</v>
      </c>
      <c r="V4" s="125">
        <v>4.33</v>
      </c>
      <c r="W4" s="51">
        <v>1</v>
      </c>
      <c r="X4" s="51" t="s">
        <v>133</v>
      </c>
      <c r="Y4" s="51" t="s">
        <v>32</v>
      </c>
      <c r="Z4" s="129">
        <v>1.0825</v>
      </c>
      <c r="AA4" s="129">
        <v>3.2475000000000001</v>
      </c>
    </row>
    <row r="5" spans="1:27" ht="15" customHeight="1" x14ac:dyDescent="0.25">
      <c r="A5" s="51" t="s">
        <v>96</v>
      </c>
      <c r="B5" s="51" t="s">
        <v>96</v>
      </c>
      <c r="C5" s="91">
        <v>8520</v>
      </c>
      <c r="D5" s="91" t="s">
        <v>186</v>
      </c>
      <c r="E5" s="91" t="s">
        <v>15</v>
      </c>
      <c r="F5" s="91">
        <v>95</v>
      </c>
      <c r="G5" s="91" t="s">
        <v>110</v>
      </c>
      <c r="H5" s="91" t="s">
        <v>18</v>
      </c>
      <c r="I5" s="134">
        <v>85203830000027</v>
      </c>
      <c r="J5" s="92" t="s">
        <v>47</v>
      </c>
      <c r="K5" s="92" t="s">
        <v>462</v>
      </c>
      <c r="L5" s="117">
        <v>42677</v>
      </c>
      <c r="M5" s="91" t="s">
        <v>109</v>
      </c>
      <c r="N5" s="91" t="s">
        <v>10</v>
      </c>
      <c r="O5" s="93">
        <v>42732</v>
      </c>
      <c r="P5" s="93" t="s">
        <v>261</v>
      </c>
      <c r="Q5" s="94">
        <v>181</v>
      </c>
      <c r="R5" s="93" t="s">
        <v>99</v>
      </c>
      <c r="S5" s="91">
        <v>713907</v>
      </c>
      <c r="T5" s="91" t="s">
        <v>119</v>
      </c>
      <c r="U5" s="91" t="s">
        <v>101</v>
      </c>
      <c r="V5" s="125">
        <v>9.93</v>
      </c>
      <c r="W5" s="51">
        <v>1</v>
      </c>
      <c r="X5" s="51" t="s">
        <v>133</v>
      </c>
      <c r="Y5" s="51" t="s">
        <v>32</v>
      </c>
      <c r="Z5" s="129">
        <v>2.4824999999999999</v>
      </c>
      <c r="AA5" s="129">
        <v>7.4474999999999998</v>
      </c>
    </row>
    <row r="6" spans="1:27" ht="15" customHeight="1" x14ac:dyDescent="0.25">
      <c r="A6" s="51" t="s">
        <v>96</v>
      </c>
      <c r="B6" s="51" t="s">
        <v>96</v>
      </c>
      <c r="C6" s="91">
        <v>8520</v>
      </c>
      <c r="D6" s="91" t="s">
        <v>186</v>
      </c>
      <c r="E6" s="91" t="s">
        <v>15</v>
      </c>
      <c r="F6" s="91">
        <v>199</v>
      </c>
      <c r="G6" s="91" t="s">
        <v>124</v>
      </c>
      <c r="H6" s="91" t="s">
        <v>20</v>
      </c>
      <c r="I6" s="134">
        <v>85200410038967</v>
      </c>
      <c r="J6" s="92" t="s">
        <v>41</v>
      </c>
      <c r="K6" s="92" t="s">
        <v>249</v>
      </c>
      <c r="L6" s="117">
        <v>42614</v>
      </c>
      <c r="M6" s="91" t="s">
        <v>109</v>
      </c>
      <c r="N6" s="91" t="s">
        <v>10</v>
      </c>
      <c r="O6" s="93">
        <v>42681</v>
      </c>
      <c r="P6" s="93" t="s">
        <v>261</v>
      </c>
      <c r="Q6" s="94">
        <v>232</v>
      </c>
      <c r="R6" s="93" t="s">
        <v>99</v>
      </c>
      <c r="S6" s="91">
        <v>81738</v>
      </c>
      <c r="T6" s="91" t="s">
        <v>119</v>
      </c>
      <c r="U6" s="91" t="s">
        <v>101</v>
      </c>
      <c r="V6" s="125">
        <v>1.1399999999999999</v>
      </c>
      <c r="W6" s="51">
        <v>1</v>
      </c>
      <c r="X6" s="51" t="s">
        <v>133</v>
      </c>
      <c r="Y6" s="51" t="s">
        <v>32</v>
      </c>
      <c r="Z6" s="129">
        <v>0.28499999999999998</v>
      </c>
      <c r="AA6" s="129">
        <v>0.85499999999999998</v>
      </c>
    </row>
    <row r="7" spans="1:27" x14ac:dyDescent="0.25">
      <c r="A7" s="51" t="s">
        <v>102</v>
      </c>
      <c r="B7" s="51" t="s">
        <v>466</v>
      </c>
      <c r="C7" s="91">
        <v>8520</v>
      </c>
      <c r="D7" s="91" t="s">
        <v>186</v>
      </c>
      <c r="E7" s="91" t="s">
        <v>15</v>
      </c>
      <c r="F7" s="91">
        <v>199</v>
      </c>
      <c r="G7" s="91" t="s">
        <v>124</v>
      </c>
      <c r="H7" s="91" t="s">
        <v>20</v>
      </c>
      <c r="I7" s="134">
        <v>85200410038968</v>
      </c>
      <c r="J7" s="92" t="s">
        <v>41</v>
      </c>
      <c r="K7" s="92" t="s">
        <v>249</v>
      </c>
      <c r="L7" s="117">
        <v>42614</v>
      </c>
      <c r="M7" s="91" t="s">
        <v>109</v>
      </c>
      <c r="N7" s="91" t="s">
        <v>10</v>
      </c>
      <c r="O7" s="93">
        <v>42681</v>
      </c>
      <c r="P7" s="93" t="s">
        <v>261</v>
      </c>
      <c r="Q7" s="94">
        <v>232</v>
      </c>
      <c r="R7" s="93" t="s">
        <v>99</v>
      </c>
      <c r="S7" s="91">
        <v>90342</v>
      </c>
      <c r="T7" s="91" t="s">
        <v>119</v>
      </c>
      <c r="U7" s="91" t="s">
        <v>101</v>
      </c>
      <c r="V7" s="125">
        <v>1.26</v>
      </c>
      <c r="W7" s="51">
        <v>1</v>
      </c>
      <c r="X7" s="51" t="s">
        <v>133</v>
      </c>
      <c r="Y7" s="51" t="s">
        <v>32</v>
      </c>
      <c r="Z7" s="129">
        <v>0.315</v>
      </c>
      <c r="AA7" s="129">
        <v>0.94500000000000006</v>
      </c>
    </row>
    <row r="8" spans="1:27" ht="15" customHeight="1" x14ac:dyDescent="0.25">
      <c r="A8" s="51" t="s">
        <v>102</v>
      </c>
      <c r="B8" s="51" t="s">
        <v>466</v>
      </c>
      <c r="C8" s="91">
        <v>8520</v>
      </c>
      <c r="D8" s="91" t="s">
        <v>186</v>
      </c>
      <c r="E8" s="91" t="s">
        <v>15</v>
      </c>
      <c r="F8" s="91">
        <v>199</v>
      </c>
      <c r="G8" s="91" t="s">
        <v>124</v>
      </c>
      <c r="H8" s="91" t="s">
        <v>20</v>
      </c>
      <c r="I8" s="134">
        <v>85200410038969</v>
      </c>
      <c r="J8" s="92" t="s">
        <v>41</v>
      </c>
      <c r="K8" s="92" t="s">
        <v>249</v>
      </c>
      <c r="L8" s="117">
        <v>42614</v>
      </c>
      <c r="M8" s="91" t="s">
        <v>109</v>
      </c>
      <c r="N8" s="91" t="s">
        <v>10</v>
      </c>
      <c r="O8" s="93">
        <v>42681</v>
      </c>
      <c r="P8" s="93" t="s">
        <v>261</v>
      </c>
      <c r="Q8" s="94">
        <v>232</v>
      </c>
      <c r="R8" s="93" t="s">
        <v>99</v>
      </c>
      <c r="S8" s="91">
        <v>94644</v>
      </c>
      <c r="T8" s="91" t="s">
        <v>119</v>
      </c>
      <c r="U8" s="91" t="s">
        <v>101</v>
      </c>
      <c r="V8" s="125">
        <v>1.32</v>
      </c>
      <c r="W8" s="51">
        <v>1</v>
      </c>
      <c r="X8" s="51" t="s">
        <v>133</v>
      </c>
      <c r="Y8" s="51" t="s">
        <v>32</v>
      </c>
      <c r="Z8" s="129">
        <v>0.33</v>
      </c>
      <c r="AA8" s="129">
        <v>0.99</v>
      </c>
    </row>
    <row r="9" spans="1:27" ht="15" customHeight="1" x14ac:dyDescent="0.25">
      <c r="A9" s="51" t="s">
        <v>96</v>
      </c>
      <c r="B9" s="51" t="s">
        <v>96</v>
      </c>
      <c r="C9" s="91">
        <v>8520</v>
      </c>
      <c r="D9" s="91" t="s">
        <v>186</v>
      </c>
      <c r="E9" s="91" t="s">
        <v>15</v>
      </c>
      <c r="F9" s="91">
        <v>199</v>
      </c>
      <c r="G9" s="91" t="s">
        <v>124</v>
      </c>
      <c r="H9" s="91" t="s">
        <v>20</v>
      </c>
      <c r="I9" s="134">
        <v>85200410038970</v>
      </c>
      <c r="J9" s="92" t="s">
        <v>41</v>
      </c>
      <c r="K9" s="92" t="s">
        <v>249</v>
      </c>
      <c r="L9" s="117">
        <v>42614</v>
      </c>
      <c r="M9" s="91" t="s">
        <v>109</v>
      </c>
      <c r="N9" s="91" t="s">
        <v>10</v>
      </c>
      <c r="O9" s="93">
        <v>42681</v>
      </c>
      <c r="P9" s="93" t="s">
        <v>261</v>
      </c>
      <c r="Q9" s="94">
        <v>232</v>
      </c>
      <c r="R9" s="93" t="s">
        <v>99</v>
      </c>
      <c r="S9" s="91">
        <v>81738</v>
      </c>
      <c r="T9" s="91" t="s">
        <v>119</v>
      </c>
      <c r="U9" s="91" t="s">
        <v>101</v>
      </c>
      <c r="V9" s="125">
        <v>1.1399999999999999</v>
      </c>
      <c r="W9" s="51">
        <v>1</v>
      </c>
      <c r="X9" s="51" t="s">
        <v>133</v>
      </c>
      <c r="Y9" s="51" t="s">
        <v>32</v>
      </c>
      <c r="Z9" s="129">
        <v>0.28499999999999998</v>
      </c>
      <c r="AA9" s="129">
        <v>0.85499999999999998</v>
      </c>
    </row>
    <row r="10" spans="1:27" ht="15" customHeight="1" x14ac:dyDescent="0.25">
      <c r="A10" s="51" t="s">
        <v>96</v>
      </c>
      <c r="B10" s="51" t="s">
        <v>96</v>
      </c>
      <c r="C10" s="91">
        <v>8520</v>
      </c>
      <c r="D10" s="91" t="s">
        <v>186</v>
      </c>
      <c r="E10" s="91" t="s">
        <v>15</v>
      </c>
      <c r="F10" s="91">
        <v>199</v>
      </c>
      <c r="G10" s="91" t="s">
        <v>124</v>
      </c>
      <c r="H10" s="91" t="s">
        <v>20</v>
      </c>
      <c r="I10" s="134">
        <v>85200410038971</v>
      </c>
      <c r="J10" s="92" t="s">
        <v>41</v>
      </c>
      <c r="K10" s="92" t="s">
        <v>249</v>
      </c>
      <c r="L10" s="117">
        <v>42614</v>
      </c>
      <c r="M10" s="91" t="s">
        <v>109</v>
      </c>
      <c r="N10" s="91" t="s">
        <v>10</v>
      </c>
      <c r="O10" s="93">
        <v>42681</v>
      </c>
      <c r="P10" s="93" t="s">
        <v>261</v>
      </c>
      <c r="Q10" s="94">
        <v>232</v>
      </c>
      <c r="R10" s="93" t="s">
        <v>99</v>
      </c>
      <c r="S10" s="91">
        <v>94644</v>
      </c>
      <c r="T10" s="91" t="s">
        <v>119</v>
      </c>
      <c r="U10" s="91" t="s">
        <v>101</v>
      </c>
      <c r="V10" s="125">
        <v>1.32</v>
      </c>
      <c r="W10" s="51">
        <v>1</v>
      </c>
      <c r="X10" s="51" t="s">
        <v>133</v>
      </c>
      <c r="Y10" s="51" t="s">
        <v>32</v>
      </c>
      <c r="Z10" s="129">
        <v>0.33</v>
      </c>
      <c r="AA10" s="129">
        <v>0.99</v>
      </c>
    </row>
    <row r="11" spans="1:27" ht="15" customHeight="1" x14ac:dyDescent="0.25">
      <c r="A11" s="51" t="s">
        <v>96</v>
      </c>
      <c r="B11" s="51" t="s">
        <v>96</v>
      </c>
      <c r="C11" s="91">
        <v>8520</v>
      </c>
      <c r="D11" s="91" t="s">
        <v>186</v>
      </c>
      <c r="E11" s="91" t="s">
        <v>15</v>
      </c>
      <c r="F11" s="91">
        <v>199</v>
      </c>
      <c r="G11" s="91" t="s">
        <v>124</v>
      </c>
      <c r="H11" s="91" t="s">
        <v>20</v>
      </c>
      <c r="I11" s="134">
        <v>85200410038972</v>
      </c>
      <c r="J11" s="92" t="s">
        <v>41</v>
      </c>
      <c r="K11" s="92" t="s">
        <v>249</v>
      </c>
      <c r="L11" s="117">
        <v>42614</v>
      </c>
      <c r="M11" s="91" t="s">
        <v>109</v>
      </c>
      <c r="N11" s="91" t="s">
        <v>10</v>
      </c>
      <c r="O11" s="93">
        <v>42681</v>
      </c>
      <c r="P11" s="93" t="s">
        <v>261</v>
      </c>
      <c r="Q11" s="94">
        <v>232</v>
      </c>
      <c r="R11" s="93" t="s">
        <v>99</v>
      </c>
      <c r="S11" s="91">
        <v>90342</v>
      </c>
      <c r="T11" s="91" t="s">
        <v>119</v>
      </c>
      <c r="U11" s="91" t="s">
        <v>101</v>
      </c>
      <c r="V11" s="125">
        <v>1.26</v>
      </c>
      <c r="W11" s="51">
        <v>1</v>
      </c>
      <c r="X11" s="51" t="s">
        <v>133</v>
      </c>
      <c r="Y11" s="51" t="s">
        <v>32</v>
      </c>
      <c r="Z11" s="129">
        <v>0.315</v>
      </c>
      <c r="AA11" s="129">
        <v>0.94500000000000006</v>
      </c>
    </row>
    <row r="12" spans="1:27" ht="15" customHeight="1" x14ac:dyDescent="0.25">
      <c r="A12" s="51" t="s">
        <v>102</v>
      </c>
      <c r="B12" s="51" t="s">
        <v>466</v>
      </c>
      <c r="C12" s="91">
        <v>8520</v>
      </c>
      <c r="D12" s="91" t="s">
        <v>186</v>
      </c>
      <c r="E12" s="91" t="s">
        <v>15</v>
      </c>
      <c r="F12" s="91">
        <v>199</v>
      </c>
      <c r="G12" s="91" t="s">
        <v>124</v>
      </c>
      <c r="H12" s="91" t="s">
        <v>20</v>
      </c>
      <c r="I12" s="134">
        <v>85200410038973</v>
      </c>
      <c r="J12" s="92" t="s">
        <v>41</v>
      </c>
      <c r="K12" s="92" t="s">
        <v>249</v>
      </c>
      <c r="L12" s="117">
        <v>42614</v>
      </c>
      <c r="M12" s="91" t="s">
        <v>109</v>
      </c>
      <c r="N12" s="91" t="s">
        <v>10</v>
      </c>
      <c r="O12" s="93">
        <v>42681</v>
      </c>
      <c r="P12" s="93" t="s">
        <v>261</v>
      </c>
      <c r="Q12" s="94">
        <v>232</v>
      </c>
      <c r="R12" s="93" t="s">
        <v>99</v>
      </c>
      <c r="S12" s="91">
        <v>97990</v>
      </c>
      <c r="T12" s="91" t="s">
        <v>119</v>
      </c>
      <c r="U12" s="91" t="s">
        <v>101</v>
      </c>
      <c r="V12" s="125">
        <v>1.36</v>
      </c>
      <c r="W12" s="51">
        <v>1</v>
      </c>
      <c r="X12" s="51" t="s">
        <v>133</v>
      </c>
      <c r="Y12" s="51" t="s">
        <v>32</v>
      </c>
      <c r="Z12" s="129">
        <v>0.34</v>
      </c>
      <c r="AA12" s="129">
        <v>1.02</v>
      </c>
    </row>
    <row r="13" spans="1:27" ht="15" customHeight="1" x14ac:dyDescent="0.25">
      <c r="A13" s="51" t="s">
        <v>102</v>
      </c>
      <c r="B13" s="51" t="s">
        <v>466</v>
      </c>
      <c r="C13" s="91">
        <v>8520</v>
      </c>
      <c r="D13" s="91" t="s">
        <v>186</v>
      </c>
      <c r="E13" s="91" t="s">
        <v>15</v>
      </c>
      <c r="F13" s="91">
        <v>199</v>
      </c>
      <c r="G13" s="91" t="s">
        <v>124</v>
      </c>
      <c r="H13" s="91" t="s">
        <v>20</v>
      </c>
      <c r="I13" s="134">
        <v>85200410038974</v>
      </c>
      <c r="J13" s="92" t="s">
        <v>41</v>
      </c>
      <c r="K13" s="92" t="s">
        <v>249</v>
      </c>
      <c r="L13" s="117">
        <v>42614</v>
      </c>
      <c r="M13" s="91" t="s">
        <v>109</v>
      </c>
      <c r="N13" s="91" t="s">
        <v>10</v>
      </c>
      <c r="O13" s="93">
        <v>42681</v>
      </c>
      <c r="P13" s="93" t="s">
        <v>261</v>
      </c>
      <c r="Q13" s="94">
        <v>232</v>
      </c>
      <c r="R13" s="93" t="s">
        <v>99</v>
      </c>
      <c r="S13" s="91">
        <v>70389</v>
      </c>
      <c r="T13" s="91" t="s">
        <v>119</v>
      </c>
      <c r="U13" s="91" t="s">
        <v>101</v>
      </c>
      <c r="V13" s="125">
        <v>0.98</v>
      </c>
      <c r="W13" s="51">
        <v>1</v>
      </c>
      <c r="X13" s="51" t="s">
        <v>133</v>
      </c>
      <c r="Y13" s="51" t="s">
        <v>32</v>
      </c>
      <c r="Z13" s="129">
        <v>0.245</v>
      </c>
      <c r="AA13" s="129">
        <v>0.73499999999999999</v>
      </c>
    </row>
    <row r="14" spans="1:27" ht="15" customHeight="1" x14ac:dyDescent="0.25">
      <c r="A14" s="51" t="s">
        <v>102</v>
      </c>
      <c r="B14" s="51" t="s">
        <v>466</v>
      </c>
      <c r="C14" s="91">
        <v>8520</v>
      </c>
      <c r="D14" s="91" t="s">
        <v>186</v>
      </c>
      <c r="E14" s="91" t="s">
        <v>15</v>
      </c>
      <c r="F14" s="91">
        <v>199</v>
      </c>
      <c r="G14" s="91" t="s">
        <v>124</v>
      </c>
      <c r="H14" s="91" t="s">
        <v>20</v>
      </c>
      <c r="I14" s="134">
        <v>85200410038975</v>
      </c>
      <c r="J14" s="92" t="s">
        <v>41</v>
      </c>
      <c r="K14" s="92" t="s">
        <v>249</v>
      </c>
      <c r="L14" s="117">
        <v>42614</v>
      </c>
      <c r="M14" s="91" t="s">
        <v>109</v>
      </c>
      <c r="N14" s="91" t="s">
        <v>10</v>
      </c>
      <c r="O14" s="93">
        <v>42681</v>
      </c>
      <c r="P14" s="93" t="s">
        <v>261</v>
      </c>
      <c r="Q14" s="94">
        <v>232</v>
      </c>
      <c r="R14" s="93" t="s">
        <v>99</v>
      </c>
      <c r="S14" s="91">
        <v>140778</v>
      </c>
      <c r="T14" s="91" t="s">
        <v>119</v>
      </c>
      <c r="U14" s="91" t="s">
        <v>101</v>
      </c>
      <c r="V14" s="125">
        <v>1.96</v>
      </c>
      <c r="W14" s="51">
        <v>1</v>
      </c>
      <c r="X14" s="51" t="s">
        <v>133</v>
      </c>
      <c r="Y14" s="51" t="s">
        <v>32</v>
      </c>
      <c r="Z14" s="129">
        <v>0.49</v>
      </c>
      <c r="AA14" s="129">
        <v>1.47</v>
      </c>
    </row>
    <row r="15" spans="1:27" ht="15" customHeight="1" x14ac:dyDescent="0.25">
      <c r="A15" s="51" t="s">
        <v>102</v>
      </c>
      <c r="B15" s="51" t="s">
        <v>466</v>
      </c>
      <c r="C15" s="91">
        <v>8520</v>
      </c>
      <c r="D15" s="91" t="s">
        <v>186</v>
      </c>
      <c r="E15" s="91" t="s">
        <v>15</v>
      </c>
      <c r="F15" s="91">
        <v>199</v>
      </c>
      <c r="G15" s="91" t="s">
        <v>124</v>
      </c>
      <c r="H15" s="91" t="s">
        <v>20</v>
      </c>
      <c r="I15" s="134">
        <v>85200410038977</v>
      </c>
      <c r="J15" s="92" t="s">
        <v>41</v>
      </c>
      <c r="K15" s="92" t="s">
        <v>249</v>
      </c>
      <c r="L15" s="117">
        <v>42614</v>
      </c>
      <c r="M15" s="91" t="s">
        <v>109</v>
      </c>
      <c r="N15" s="91" t="s">
        <v>10</v>
      </c>
      <c r="O15" s="93">
        <v>42681</v>
      </c>
      <c r="P15" s="93" t="s">
        <v>261</v>
      </c>
      <c r="Q15" s="94">
        <v>232</v>
      </c>
      <c r="R15" s="93" t="s">
        <v>99</v>
      </c>
      <c r="S15" s="91">
        <v>127980</v>
      </c>
      <c r="T15" s="91" t="s">
        <v>119</v>
      </c>
      <c r="U15" s="91" t="s">
        <v>101</v>
      </c>
      <c r="V15" s="125">
        <v>1.78</v>
      </c>
      <c r="W15" s="51">
        <v>1</v>
      </c>
      <c r="X15" s="51" t="s">
        <v>133</v>
      </c>
      <c r="Y15" s="51" t="s">
        <v>32</v>
      </c>
      <c r="Z15" s="129">
        <v>0.44500000000000001</v>
      </c>
      <c r="AA15" s="129">
        <v>1.335</v>
      </c>
    </row>
    <row r="16" spans="1:27" ht="15" customHeight="1" x14ac:dyDescent="0.25">
      <c r="A16" s="51" t="s">
        <v>102</v>
      </c>
      <c r="B16" s="51" t="s">
        <v>466</v>
      </c>
      <c r="C16" s="91">
        <v>8520</v>
      </c>
      <c r="D16" s="91" t="s">
        <v>186</v>
      </c>
      <c r="E16" s="91" t="s">
        <v>15</v>
      </c>
      <c r="F16" s="91">
        <v>199</v>
      </c>
      <c r="G16" s="91" t="s">
        <v>124</v>
      </c>
      <c r="H16" s="91" t="s">
        <v>20</v>
      </c>
      <c r="I16" s="134">
        <v>85200410038978</v>
      </c>
      <c r="J16" s="92" t="s">
        <v>41</v>
      </c>
      <c r="K16" s="92" t="s">
        <v>249</v>
      </c>
      <c r="L16" s="117">
        <v>42614</v>
      </c>
      <c r="M16" s="91" t="s">
        <v>109</v>
      </c>
      <c r="N16" s="91" t="s">
        <v>10</v>
      </c>
      <c r="O16" s="93">
        <v>42681</v>
      </c>
      <c r="P16" s="93" t="s">
        <v>261</v>
      </c>
      <c r="Q16" s="94">
        <v>232</v>
      </c>
      <c r="R16" s="93" t="s">
        <v>99</v>
      </c>
      <c r="S16" s="91">
        <v>140778</v>
      </c>
      <c r="T16" s="91" t="s">
        <v>119</v>
      </c>
      <c r="U16" s="91" t="s">
        <v>101</v>
      </c>
      <c r="V16" s="125">
        <v>1.96</v>
      </c>
      <c r="W16" s="51">
        <v>1</v>
      </c>
      <c r="X16" s="51" t="s">
        <v>133</v>
      </c>
      <c r="Y16" s="51" t="s">
        <v>32</v>
      </c>
      <c r="Z16" s="129">
        <v>0.49</v>
      </c>
      <c r="AA16" s="129">
        <v>1.47</v>
      </c>
    </row>
    <row r="17" spans="1:27" ht="15" customHeight="1" x14ac:dyDescent="0.25">
      <c r="A17" s="51" t="s">
        <v>102</v>
      </c>
      <c r="B17" s="51" t="s">
        <v>466</v>
      </c>
      <c r="C17" s="91">
        <v>8520</v>
      </c>
      <c r="D17" s="91" t="s">
        <v>186</v>
      </c>
      <c r="E17" s="91" t="s">
        <v>15</v>
      </c>
      <c r="F17" s="91">
        <v>199</v>
      </c>
      <c r="G17" s="91" t="s">
        <v>124</v>
      </c>
      <c r="H17" s="91" t="s">
        <v>20</v>
      </c>
      <c r="I17" s="134">
        <v>85200410038979</v>
      </c>
      <c r="J17" s="92" t="s">
        <v>41</v>
      </c>
      <c r="K17" s="92" t="s">
        <v>249</v>
      </c>
      <c r="L17" s="117">
        <v>42614</v>
      </c>
      <c r="M17" s="91" t="s">
        <v>109</v>
      </c>
      <c r="N17" s="91" t="s">
        <v>10</v>
      </c>
      <c r="O17" s="93">
        <v>42681</v>
      </c>
      <c r="P17" s="93" t="s">
        <v>261</v>
      </c>
      <c r="Q17" s="94">
        <v>232</v>
      </c>
      <c r="R17" s="93" t="s">
        <v>99</v>
      </c>
      <c r="S17" s="91">
        <v>140778</v>
      </c>
      <c r="T17" s="91" t="s">
        <v>119</v>
      </c>
      <c r="U17" s="91" t="s">
        <v>101</v>
      </c>
      <c r="V17" s="125">
        <v>1.96</v>
      </c>
      <c r="W17" s="51">
        <v>1</v>
      </c>
      <c r="X17" s="51" t="s">
        <v>133</v>
      </c>
      <c r="Y17" s="51" t="s">
        <v>32</v>
      </c>
      <c r="Z17" s="129">
        <v>0.49</v>
      </c>
      <c r="AA17" s="129">
        <v>1.47</v>
      </c>
    </row>
    <row r="18" spans="1:27" ht="15" customHeight="1" x14ac:dyDescent="0.25">
      <c r="A18" s="51" t="s">
        <v>102</v>
      </c>
      <c r="B18" s="51" t="s">
        <v>466</v>
      </c>
      <c r="C18" s="91">
        <v>8520</v>
      </c>
      <c r="D18" s="91" t="s">
        <v>186</v>
      </c>
      <c r="E18" s="91" t="s">
        <v>15</v>
      </c>
      <c r="F18" s="91">
        <v>199</v>
      </c>
      <c r="G18" s="91" t="s">
        <v>124</v>
      </c>
      <c r="H18" s="91" t="s">
        <v>20</v>
      </c>
      <c r="I18" s="134">
        <v>85200410038980</v>
      </c>
      <c r="J18" s="92" t="s">
        <v>41</v>
      </c>
      <c r="K18" s="92" t="s">
        <v>249</v>
      </c>
      <c r="L18" s="117">
        <v>42614</v>
      </c>
      <c r="M18" s="91" t="s">
        <v>109</v>
      </c>
      <c r="N18" s="91" t="s">
        <v>10</v>
      </c>
      <c r="O18" s="93">
        <v>42681</v>
      </c>
      <c r="P18" s="93" t="s">
        <v>261</v>
      </c>
      <c r="Q18" s="94">
        <v>232</v>
      </c>
      <c r="R18" s="93" t="s">
        <v>99</v>
      </c>
      <c r="S18" s="91">
        <v>145755</v>
      </c>
      <c r="T18" s="91" t="s">
        <v>119</v>
      </c>
      <c r="U18" s="91" t="s">
        <v>101</v>
      </c>
      <c r="V18" s="125">
        <v>2.0299999999999998</v>
      </c>
      <c r="W18" s="51">
        <v>1</v>
      </c>
      <c r="X18" s="51" t="s">
        <v>133</v>
      </c>
      <c r="Y18" s="51" t="s">
        <v>32</v>
      </c>
      <c r="Z18" s="129">
        <v>0.50749999999999995</v>
      </c>
      <c r="AA18" s="129">
        <v>1.5225</v>
      </c>
    </row>
    <row r="19" spans="1:27" x14ac:dyDescent="0.25">
      <c r="A19" s="51" t="s">
        <v>102</v>
      </c>
      <c r="B19" s="51" t="s">
        <v>466</v>
      </c>
      <c r="C19" s="91">
        <v>8520</v>
      </c>
      <c r="D19" s="91" t="s">
        <v>186</v>
      </c>
      <c r="E19" s="91" t="s">
        <v>15</v>
      </c>
      <c r="F19" s="91">
        <v>199</v>
      </c>
      <c r="G19" s="91" t="s">
        <v>124</v>
      </c>
      <c r="H19" s="91" t="s">
        <v>20</v>
      </c>
      <c r="I19" s="134">
        <v>85200710012708</v>
      </c>
      <c r="J19" s="92" t="s">
        <v>47</v>
      </c>
      <c r="K19" s="92" t="s">
        <v>274</v>
      </c>
      <c r="L19" s="117">
        <v>42614</v>
      </c>
      <c r="M19" s="91" t="s">
        <v>109</v>
      </c>
      <c r="N19" s="91" t="s">
        <v>10</v>
      </c>
      <c r="O19" s="93">
        <v>42681</v>
      </c>
      <c r="P19" s="93" t="s">
        <v>261</v>
      </c>
      <c r="Q19" s="94">
        <v>232</v>
      </c>
      <c r="R19" s="93" t="s">
        <v>99</v>
      </c>
      <c r="S19" s="91">
        <v>59200</v>
      </c>
      <c r="T19" s="91" t="s">
        <v>119</v>
      </c>
      <c r="U19" s="91" t="s">
        <v>101</v>
      </c>
      <c r="V19" s="125">
        <v>0.82</v>
      </c>
      <c r="W19" s="51">
        <v>1</v>
      </c>
      <c r="X19" s="51" t="s">
        <v>133</v>
      </c>
      <c r="Y19" s="51" t="s">
        <v>32</v>
      </c>
      <c r="Z19" s="129">
        <v>0.20499999999999999</v>
      </c>
      <c r="AA19" s="129">
        <v>0.61499999999999999</v>
      </c>
    </row>
    <row r="20" spans="1:27" ht="15" customHeight="1" x14ac:dyDescent="0.25">
      <c r="A20" s="51" t="s">
        <v>102</v>
      </c>
      <c r="B20" s="51" t="s">
        <v>466</v>
      </c>
      <c r="C20" s="91">
        <v>8520</v>
      </c>
      <c r="D20" s="91" t="s">
        <v>186</v>
      </c>
      <c r="E20" s="91" t="s">
        <v>15</v>
      </c>
      <c r="F20" s="91">
        <v>9701</v>
      </c>
      <c r="G20" s="91" t="s">
        <v>173</v>
      </c>
      <c r="H20" s="91" t="s">
        <v>14</v>
      </c>
      <c r="I20" s="134">
        <v>85200710012736</v>
      </c>
      <c r="J20" s="92" t="s">
        <v>37</v>
      </c>
      <c r="K20" s="92" t="s">
        <v>199</v>
      </c>
      <c r="L20" s="117">
        <v>42614</v>
      </c>
      <c r="M20" s="91" t="s">
        <v>104</v>
      </c>
      <c r="N20" s="91" t="s">
        <v>9</v>
      </c>
      <c r="O20" s="93">
        <v>42615</v>
      </c>
      <c r="P20" s="93" t="s">
        <v>206</v>
      </c>
      <c r="Q20" s="94">
        <v>298</v>
      </c>
      <c r="R20" s="93" t="s">
        <v>99</v>
      </c>
      <c r="S20" s="91">
        <v>78615</v>
      </c>
      <c r="T20" s="91" t="s">
        <v>119</v>
      </c>
      <c r="U20" s="91" t="s">
        <v>101</v>
      </c>
      <c r="V20" s="125">
        <v>1.0900000000000001</v>
      </c>
      <c r="W20" s="51">
        <v>1</v>
      </c>
      <c r="X20" s="51" t="s">
        <v>134</v>
      </c>
      <c r="Y20" s="51" t="s">
        <v>31</v>
      </c>
      <c r="Z20" s="129">
        <v>0.54500000000000004</v>
      </c>
      <c r="AA20" s="129">
        <v>0.54500000000000004</v>
      </c>
    </row>
    <row r="21" spans="1:27" ht="15" customHeight="1" x14ac:dyDescent="0.25">
      <c r="A21" s="51" t="s">
        <v>102</v>
      </c>
      <c r="B21" s="51" t="s">
        <v>466</v>
      </c>
      <c r="C21" s="91">
        <v>8520</v>
      </c>
      <c r="D21" s="91" t="s">
        <v>186</v>
      </c>
      <c r="E21" s="91" t="s">
        <v>15</v>
      </c>
      <c r="F21" s="91">
        <v>199</v>
      </c>
      <c r="G21" s="91" t="s">
        <v>124</v>
      </c>
      <c r="H21" s="91" t="s">
        <v>20</v>
      </c>
      <c r="I21" s="134">
        <v>85202010000897</v>
      </c>
      <c r="J21" s="92" t="s">
        <v>52</v>
      </c>
      <c r="K21" s="92" t="s">
        <v>132</v>
      </c>
      <c r="L21" s="117">
        <v>42614</v>
      </c>
      <c r="M21" s="91" t="s">
        <v>109</v>
      </c>
      <c r="N21" s="91" t="s">
        <v>10</v>
      </c>
      <c r="O21" s="93">
        <v>42681</v>
      </c>
      <c r="P21" s="93" t="s">
        <v>261</v>
      </c>
      <c r="Q21" s="94">
        <v>232</v>
      </c>
      <c r="R21" s="93" t="s">
        <v>99</v>
      </c>
      <c r="S21" s="91">
        <v>203300</v>
      </c>
      <c r="T21" s="91" t="s">
        <v>119</v>
      </c>
      <c r="U21" s="91" t="s">
        <v>101</v>
      </c>
      <c r="V21" s="125">
        <v>2.83</v>
      </c>
      <c r="W21" s="51">
        <v>1</v>
      </c>
      <c r="X21" s="51" t="s">
        <v>133</v>
      </c>
      <c r="Y21" s="51" t="s">
        <v>32</v>
      </c>
      <c r="Z21" s="129">
        <v>0.70750000000000002</v>
      </c>
      <c r="AA21" s="129">
        <v>2.1225000000000001</v>
      </c>
    </row>
    <row r="22" spans="1:27" x14ac:dyDescent="0.25">
      <c r="A22" s="51" t="s">
        <v>102</v>
      </c>
      <c r="B22" s="51" t="s">
        <v>466</v>
      </c>
      <c r="C22" s="91">
        <v>8520</v>
      </c>
      <c r="D22" s="91" t="s">
        <v>186</v>
      </c>
      <c r="E22" s="91" t="s">
        <v>15</v>
      </c>
      <c r="F22" s="91">
        <v>3011</v>
      </c>
      <c r="G22" s="91" t="s">
        <v>106</v>
      </c>
      <c r="H22" s="91" t="s">
        <v>20</v>
      </c>
      <c r="I22" s="134">
        <v>85200310084954</v>
      </c>
      <c r="J22" s="92" t="s">
        <v>54</v>
      </c>
      <c r="K22" s="92" t="s">
        <v>137</v>
      </c>
      <c r="L22" s="117">
        <v>42676</v>
      </c>
      <c r="M22" s="91" t="s">
        <v>109</v>
      </c>
      <c r="N22" s="91" t="s">
        <v>10</v>
      </c>
      <c r="O22" s="93">
        <v>42709</v>
      </c>
      <c r="P22" s="93" t="s">
        <v>261</v>
      </c>
      <c r="Q22" s="94">
        <v>204</v>
      </c>
      <c r="R22" s="93" t="s">
        <v>99</v>
      </c>
      <c r="S22" s="91">
        <v>425956</v>
      </c>
      <c r="T22" s="91" t="s">
        <v>119</v>
      </c>
      <c r="U22" s="91" t="s">
        <v>101</v>
      </c>
      <c r="V22" s="125">
        <v>5.92</v>
      </c>
      <c r="W22" s="51">
        <v>1</v>
      </c>
      <c r="X22" s="51" t="s">
        <v>133</v>
      </c>
      <c r="Y22" s="51" t="s">
        <v>32</v>
      </c>
      <c r="Z22" s="129">
        <v>1.48</v>
      </c>
      <c r="AA22" s="129">
        <v>4.4399999999999995</v>
      </c>
    </row>
    <row r="23" spans="1:27" ht="15" customHeight="1" x14ac:dyDescent="0.25">
      <c r="A23" s="51" t="s">
        <v>102</v>
      </c>
      <c r="B23" s="51" t="s">
        <v>466</v>
      </c>
      <c r="C23" s="91">
        <v>8520</v>
      </c>
      <c r="D23" s="91" t="s">
        <v>186</v>
      </c>
      <c r="E23" s="91" t="s">
        <v>15</v>
      </c>
      <c r="F23" s="91">
        <v>3011</v>
      </c>
      <c r="G23" s="91" t="s">
        <v>106</v>
      </c>
      <c r="H23" s="91" t="s">
        <v>20</v>
      </c>
      <c r="I23" s="134">
        <v>85200310084976</v>
      </c>
      <c r="J23" s="92" t="s">
        <v>56</v>
      </c>
      <c r="K23" s="92" t="s">
        <v>200</v>
      </c>
      <c r="L23" s="117">
        <v>42676</v>
      </c>
      <c r="M23" s="91" t="s">
        <v>98</v>
      </c>
      <c r="N23" s="91" t="s">
        <v>9</v>
      </c>
      <c r="O23" s="93">
        <v>42709</v>
      </c>
      <c r="P23" s="93" t="s">
        <v>261</v>
      </c>
      <c r="Q23" s="94">
        <v>204</v>
      </c>
      <c r="R23" s="93" t="s">
        <v>99</v>
      </c>
      <c r="S23" s="91">
        <v>647811.11</v>
      </c>
      <c r="T23" s="91" t="s">
        <v>119</v>
      </c>
      <c r="U23" s="91" t="s">
        <v>101</v>
      </c>
      <c r="V23" s="125">
        <v>9.01</v>
      </c>
      <c r="W23" s="51">
        <v>1</v>
      </c>
      <c r="X23" s="51" t="s">
        <v>135</v>
      </c>
      <c r="Y23" s="51" t="s">
        <v>30</v>
      </c>
      <c r="Z23" s="129">
        <v>9.01</v>
      </c>
      <c r="AA23" s="129">
        <v>0</v>
      </c>
    </row>
    <row r="24" spans="1:27" ht="15" customHeight="1" x14ac:dyDescent="0.25">
      <c r="A24" s="51" t="s">
        <v>102</v>
      </c>
      <c r="B24" s="51" t="s">
        <v>466</v>
      </c>
      <c r="C24" s="91">
        <v>8520</v>
      </c>
      <c r="D24" s="91" t="s">
        <v>186</v>
      </c>
      <c r="E24" s="91" t="s">
        <v>15</v>
      </c>
      <c r="F24" s="91">
        <v>787</v>
      </c>
      <c r="G24" s="91" t="s">
        <v>272</v>
      </c>
      <c r="H24" s="91" t="s">
        <v>21</v>
      </c>
      <c r="I24" s="134">
        <v>85200310085043</v>
      </c>
      <c r="J24" s="92" t="s">
        <v>39</v>
      </c>
      <c r="K24" s="92" t="s">
        <v>176</v>
      </c>
      <c r="L24" s="117">
        <v>42676</v>
      </c>
      <c r="M24" s="91" t="s">
        <v>117</v>
      </c>
      <c r="N24" s="91" t="s">
        <v>118</v>
      </c>
      <c r="O24" s="93">
        <v>42706</v>
      </c>
      <c r="P24" s="93" t="s">
        <v>261</v>
      </c>
      <c r="Q24" s="94">
        <v>207</v>
      </c>
      <c r="R24" s="93" t="s">
        <v>99</v>
      </c>
      <c r="S24" s="91">
        <v>419958</v>
      </c>
      <c r="T24" s="91" t="s">
        <v>119</v>
      </c>
      <c r="U24" s="91" t="s">
        <v>101</v>
      </c>
      <c r="V24" s="125">
        <v>5.84</v>
      </c>
      <c r="W24" s="51">
        <v>1</v>
      </c>
      <c r="X24" s="51" t="s">
        <v>13</v>
      </c>
      <c r="Y24" s="51" t="s">
        <v>31</v>
      </c>
      <c r="Z24" s="129">
        <v>2.92</v>
      </c>
      <c r="AA24" s="129">
        <v>2.92</v>
      </c>
    </row>
    <row r="25" spans="1:27" ht="15" customHeight="1" x14ac:dyDescent="0.25">
      <c r="A25" s="51" t="s">
        <v>102</v>
      </c>
      <c r="B25" s="51" t="s">
        <v>466</v>
      </c>
      <c r="C25" s="91">
        <v>8520</v>
      </c>
      <c r="D25" s="91" t="s">
        <v>186</v>
      </c>
      <c r="E25" s="91" t="s">
        <v>15</v>
      </c>
      <c r="F25" s="91">
        <v>8420</v>
      </c>
      <c r="G25" s="91" t="s">
        <v>120</v>
      </c>
      <c r="H25" s="91" t="s">
        <v>15</v>
      </c>
      <c r="I25" s="134">
        <v>85200310085185</v>
      </c>
      <c r="J25" s="92" t="s">
        <v>54</v>
      </c>
      <c r="K25" s="92" t="s">
        <v>137</v>
      </c>
      <c r="L25" s="117">
        <v>42676</v>
      </c>
      <c r="M25" s="91" t="s">
        <v>121</v>
      </c>
      <c r="N25" s="91" t="s">
        <v>9</v>
      </c>
      <c r="O25" s="93">
        <v>42732</v>
      </c>
      <c r="P25" s="93" t="s">
        <v>261</v>
      </c>
      <c r="Q25" s="94">
        <v>181</v>
      </c>
      <c r="R25" s="93" t="s">
        <v>99</v>
      </c>
      <c r="S25" s="91">
        <v>481167</v>
      </c>
      <c r="T25" s="91" t="s">
        <v>119</v>
      </c>
      <c r="U25" s="91" t="s">
        <v>105</v>
      </c>
      <c r="V25" s="125">
        <v>6.69</v>
      </c>
      <c r="W25" s="51">
        <v>1</v>
      </c>
      <c r="X25" s="51" t="s">
        <v>138</v>
      </c>
      <c r="Y25" s="51" t="s">
        <v>31</v>
      </c>
      <c r="Z25" s="129">
        <v>3.3450000000000002</v>
      </c>
      <c r="AA25" s="129">
        <v>3.3450000000000002</v>
      </c>
    </row>
    <row r="26" spans="1:27" ht="15" customHeight="1" x14ac:dyDescent="0.25">
      <c r="A26" s="51" t="s">
        <v>102</v>
      </c>
      <c r="B26" s="51" t="s">
        <v>466</v>
      </c>
      <c r="C26" s="91">
        <v>8520</v>
      </c>
      <c r="D26" s="91" t="s">
        <v>186</v>
      </c>
      <c r="E26" s="91" t="s">
        <v>15</v>
      </c>
      <c r="F26" s="91">
        <v>8420</v>
      </c>
      <c r="G26" s="91" t="s">
        <v>120</v>
      </c>
      <c r="H26" s="91" t="s">
        <v>15</v>
      </c>
      <c r="I26" s="134">
        <v>85200910002117</v>
      </c>
      <c r="J26" s="92" t="s">
        <v>54</v>
      </c>
      <c r="K26" s="92" t="s">
        <v>137</v>
      </c>
      <c r="L26" s="117">
        <v>42676</v>
      </c>
      <c r="M26" s="91" t="s">
        <v>104</v>
      </c>
      <c r="N26" s="91" t="s">
        <v>9</v>
      </c>
      <c r="O26" s="93">
        <v>42732</v>
      </c>
      <c r="P26" s="93" t="s">
        <v>261</v>
      </c>
      <c r="Q26" s="94">
        <v>181</v>
      </c>
      <c r="R26" s="93" t="s">
        <v>99</v>
      </c>
      <c r="S26" s="91">
        <v>119562.5</v>
      </c>
      <c r="T26" s="91" t="s">
        <v>119</v>
      </c>
      <c r="U26" s="91" t="s">
        <v>105</v>
      </c>
      <c r="V26" s="125">
        <v>1.66</v>
      </c>
      <c r="W26" s="51">
        <v>1</v>
      </c>
      <c r="X26" s="51" t="s">
        <v>134</v>
      </c>
      <c r="Y26" s="51" t="s">
        <v>31</v>
      </c>
      <c r="Z26" s="129">
        <v>0.83</v>
      </c>
      <c r="AA26" s="129">
        <v>0.83</v>
      </c>
    </row>
    <row r="27" spans="1:27" ht="15" customHeight="1" x14ac:dyDescent="0.25">
      <c r="A27" s="51" t="s">
        <v>102</v>
      </c>
      <c r="B27" s="51" t="s">
        <v>466</v>
      </c>
      <c r="C27" s="91">
        <v>8520</v>
      </c>
      <c r="D27" s="91" t="s">
        <v>186</v>
      </c>
      <c r="E27" s="91" t="s">
        <v>15</v>
      </c>
      <c r="F27" s="91">
        <v>8420</v>
      </c>
      <c r="G27" s="91" t="s">
        <v>120</v>
      </c>
      <c r="H27" s="91" t="s">
        <v>15</v>
      </c>
      <c r="I27" s="134">
        <v>85200910002127</v>
      </c>
      <c r="J27" s="92" t="s">
        <v>54</v>
      </c>
      <c r="K27" s="92" t="s">
        <v>137</v>
      </c>
      <c r="L27" s="117">
        <v>42676</v>
      </c>
      <c r="M27" s="91" t="s">
        <v>104</v>
      </c>
      <c r="N27" s="91" t="s">
        <v>9</v>
      </c>
      <c r="O27" s="93">
        <v>42732</v>
      </c>
      <c r="P27" s="93" t="s">
        <v>261</v>
      </c>
      <c r="Q27" s="94">
        <v>181</v>
      </c>
      <c r="R27" s="93" t="s">
        <v>99</v>
      </c>
      <c r="S27" s="91">
        <v>108000</v>
      </c>
      <c r="T27" s="91" t="s">
        <v>119</v>
      </c>
      <c r="U27" s="91" t="s">
        <v>105</v>
      </c>
      <c r="V27" s="125">
        <v>1.5</v>
      </c>
      <c r="W27" s="51">
        <v>1</v>
      </c>
      <c r="X27" s="51" t="s">
        <v>134</v>
      </c>
      <c r="Y27" s="51" t="s">
        <v>31</v>
      </c>
      <c r="Z27" s="129">
        <v>0.75</v>
      </c>
      <c r="AA27" s="129">
        <v>0.75</v>
      </c>
    </row>
    <row r="28" spans="1:27" ht="15" customHeight="1" x14ac:dyDescent="0.25">
      <c r="A28" s="51" t="s">
        <v>102</v>
      </c>
      <c r="B28" s="51" t="s">
        <v>466</v>
      </c>
      <c r="C28" s="91">
        <v>8520</v>
      </c>
      <c r="D28" s="91" t="s">
        <v>186</v>
      </c>
      <c r="E28" s="91" t="s">
        <v>15</v>
      </c>
      <c r="F28" s="91">
        <v>199</v>
      </c>
      <c r="G28" s="91" t="s">
        <v>124</v>
      </c>
      <c r="H28" s="91" t="s">
        <v>20</v>
      </c>
      <c r="I28" s="134">
        <v>85200710013074</v>
      </c>
      <c r="J28" s="92" t="s">
        <v>47</v>
      </c>
      <c r="K28" s="92" t="s">
        <v>142</v>
      </c>
      <c r="L28" s="117">
        <v>42676</v>
      </c>
      <c r="M28" s="91" t="s">
        <v>109</v>
      </c>
      <c r="N28" s="91" t="s">
        <v>10</v>
      </c>
      <c r="O28" s="93">
        <v>42709</v>
      </c>
      <c r="P28" s="93" t="s">
        <v>261</v>
      </c>
      <c r="Q28" s="94">
        <v>204</v>
      </c>
      <c r="R28" s="93" t="s">
        <v>99</v>
      </c>
      <c r="S28" s="91">
        <v>44400</v>
      </c>
      <c r="T28" s="91" t="s">
        <v>119</v>
      </c>
      <c r="U28" s="91" t="s">
        <v>101</v>
      </c>
      <c r="V28" s="125">
        <v>0.62</v>
      </c>
      <c r="W28" s="51">
        <v>1</v>
      </c>
      <c r="X28" s="51" t="s">
        <v>133</v>
      </c>
      <c r="Y28" s="51" t="s">
        <v>32</v>
      </c>
      <c r="Z28" s="129">
        <v>0.155</v>
      </c>
      <c r="AA28" s="129">
        <v>0.46499999999999997</v>
      </c>
    </row>
    <row r="29" spans="1:27" ht="15" customHeight="1" x14ac:dyDescent="0.25">
      <c r="A29" s="51" t="s">
        <v>102</v>
      </c>
      <c r="B29" s="51" t="s">
        <v>466</v>
      </c>
      <c r="C29" s="91">
        <v>8520</v>
      </c>
      <c r="D29" s="91" t="s">
        <v>186</v>
      </c>
      <c r="E29" s="91" t="s">
        <v>15</v>
      </c>
      <c r="F29" s="91">
        <v>3011</v>
      </c>
      <c r="G29" s="91" t="s">
        <v>106</v>
      </c>
      <c r="H29" s="91" t="s">
        <v>20</v>
      </c>
      <c r="I29" s="134">
        <v>85200810000428</v>
      </c>
      <c r="J29" s="92" t="s">
        <v>41</v>
      </c>
      <c r="K29" s="92" t="s">
        <v>139</v>
      </c>
      <c r="L29" s="117">
        <v>42676</v>
      </c>
      <c r="M29" s="91" t="s">
        <v>121</v>
      </c>
      <c r="N29" s="91" t="s">
        <v>9</v>
      </c>
      <c r="O29" s="93">
        <v>42709</v>
      </c>
      <c r="P29" s="93" t="s">
        <v>261</v>
      </c>
      <c r="Q29" s="94">
        <v>204</v>
      </c>
      <c r="R29" s="93" t="s">
        <v>99</v>
      </c>
      <c r="S29" s="91">
        <v>83475</v>
      </c>
      <c r="T29" s="91" t="s">
        <v>119</v>
      </c>
      <c r="U29" s="91" t="s">
        <v>101</v>
      </c>
      <c r="V29" s="125">
        <v>1.1599999999999999</v>
      </c>
      <c r="W29" s="51">
        <v>1</v>
      </c>
      <c r="X29" s="51" t="s">
        <v>138</v>
      </c>
      <c r="Y29" s="51" t="s">
        <v>31</v>
      </c>
      <c r="Z29" s="129">
        <v>0.57999999999999996</v>
      </c>
      <c r="AA29" s="129">
        <v>0.57999999999999996</v>
      </c>
    </row>
    <row r="30" spans="1:27" ht="15" customHeight="1" x14ac:dyDescent="0.25">
      <c r="A30" s="51" t="s">
        <v>102</v>
      </c>
      <c r="B30" s="51" t="s">
        <v>466</v>
      </c>
      <c r="C30" s="91">
        <v>8520</v>
      </c>
      <c r="D30" s="91" t="s">
        <v>186</v>
      </c>
      <c r="E30" s="91" t="s">
        <v>15</v>
      </c>
      <c r="F30" s="91">
        <v>3011</v>
      </c>
      <c r="G30" s="91" t="s">
        <v>106</v>
      </c>
      <c r="H30" s="91" t="s">
        <v>20</v>
      </c>
      <c r="I30" s="134">
        <v>85203010001172</v>
      </c>
      <c r="J30" s="92" t="s">
        <v>41</v>
      </c>
      <c r="K30" s="92" t="s">
        <v>139</v>
      </c>
      <c r="L30" s="117">
        <v>42676</v>
      </c>
      <c r="M30" s="91" t="s">
        <v>122</v>
      </c>
      <c r="N30" s="91" t="s">
        <v>9</v>
      </c>
      <c r="O30" s="93">
        <v>42709</v>
      </c>
      <c r="P30" s="93" t="s">
        <v>261</v>
      </c>
      <c r="Q30" s="94">
        <v>204</v>
      </c>
      <c r="R30" s="93" t="s">
        <v>99</v>
      </c>
      <c r="S30" s="91">
        <v>100500.25</v>
      </c>
      <c r="T30" s="91" t="s">
        <v>119</v>
      </c>
      <c r="U30" s="91" t="s">
        <v>101</v>
      </c>
      <c r="V30" s="125">
        <v>1.4</v>
      </c>
      <c r="W30" s="51">
        <v>1</v>
      </c>
      <c r="X30" s="51" t="s">
        <v>140</v>
      </c>
      <c r="Y30" s="51" t="s">
        <v>31</v>
      </c>
      <c r="Z30" s="129">
        <v>0.7</v>
      </c>
      <c r="AA30" s="129">
        <v>0.7</v>
      </c>
    </row>
    <row r="31" spans="1:27" ht="15" customHeight="1" x14ac:dyDescent="0.25">
      <c r="A31" s="51" t="s">
        <v>102</v>
      </c>
      <c r="B31" s="51" t="s">
        <v>466</v>
      </c>
      <c r="C31" s="91">
        <v>8520</v>
      </c>
      <c r="D31" s="91" t="s">
        <v>186</v>
      </c>
      <c r="E31" s="91" t="s">
        <v>15</v>
      </c>
      <c r="F31" s="91">
        <v>8420</v>
      </c>
      <c r="G31" s="91" t="s">
        <v>120</v>
      </c>
      <c r="H31" s="91" t="s">
        <v>15</v>
      </c>
      <c r="I31" s="134">
        <v>85202710000482</v>
      </c>
      <c r="J31" s="92" t="s">
        <v>54</v>
      </c>
      <c r="K31" s="92" t="s">
        <v>137</v>
      </c>
      <c r="L31" s="117">
        <v>42676</v>
      </c>
      <c r="M31" s="91" t="s">
        <v>104</v>
      </c>
      <c r="N31" s="91" t="s">
        <v>9</v>
      </c>
      <c r="O31" s="93">
        <v>42732</v>
      </c>
      <c r="P31" s="93" t="s">
        <v>261</v>
      </c>
      <c r="Q31" s="94">
        <v>181</v>
      </c>
      <c r="R31" s="93" t="s">
        <v>99</v>
      </c>
      <c r="S31" s="91">
        <v>5564</v>
      </c>
      <c r="T31" s="91" t="s">
        <v>119</v>
      </c>
      <c r="U31" s="91" t="s">
        <v>105</v>
      </c>
      <c r="V31" s="125">
        <v>0.08</v>
      </c>
      <c r="W31" s="51">
        <v>1</v>
      </c>
      <c r="X31" s="51" t="s">
        <v>134</v>
      </c>
      <c r="Y31" s="51" t="s">
        <v>31</v>
      </c>
      <c r="Z31" s="129">
        <v>0.04</v>
      </c>
      <c r="AA31" s="129">
        <v>0.04</v>
      </c>
    </row>
    <row r="32" spans="1:27" ht="15" customHeight="1" x14ac:dyDescent="0.25">
      <c r="A32" s="51" t="s">
        <v>102</v>
      </c>
      <c r="B32" s="51" t="s">
        <v>466</v>
      </c>
      <c r="C32" s="91">
        <v>8520</v>
      </c>
      <c r="D32" s="91" t="s">
        <v>186</v>
      </c>
      <c r="E32" s="91" t="s">
        <v>15</v>
      </c>
      <c r="F32" s="91">
        <v>8420</v>
      </c>
      <c r="G32" s="91" t="s">
        <v>120</v>
      </c>
      <c r="H32" s="91" t="s">
        <v>15</v>
      </c>
      <c r="I32" s="134">
        <v>85202710000485</v>
      </c>
      <c r="J32" s="92" t="s">
        <v>54</v>
      </c>
      <c r="K32" s="92" t="s">
        <v>137</v>
      </c>
      <c r="L32" s="117">
        <v>42676</v>
      </c>
      <c r="M32" s="91" t="s">
        <v>104</v>
      </c>
      <c r="N32" s="91" t="s">
        <v>9</v>
      </c>
      <c r="O32" s="93">
        <v>42732</v>
      </c>
      <c r="P32" s="93" t="s">
        <v>261</v>
      </c>
      <c r="Q32" s="94">
        <v>181</v>
      </c>
      <c r="R32" s="93" t="s">
        <v>99</v>
      </c>
      <c r="S32" s="91">
        <v>360009</v>
      </c>
      <c r="T32" s="91" t="s">
        <v>119</v>
      </c>
      <c r="U32" s="91" t="s">
        <v>105</v>
      </c>
      <c r="V32" s="125">
        <v>5.01</v>
      </c>
      <c r="W32" s="51">
        <v>1</v>
      </c>
      <c r="X32" s="51" t="s">
        <v>134</v>
      </c>
      <c r="Y32" s="51" t="s">
        <v>31</v>
      </c>
      <c r="Z32" s="129">
        <v>2.5049999999999999</v>
      </c>
      <c r="AA32" s="129">
        <v>2.5049999999999999</v>
      </c>
    </row>
    <row r="33" spans="1:27" ht="15" customHeight="1" x14ac:dyDescent="0.25">
      <c r="A33" s="51" t="s">
        <v>102</v>
      </c>
      <c r="B33" s="51" t="s">
        <v>466</v>
      </c>
      <c r="C33" s="91">
        <v>8520</v>
      </c>
      <c r="D33" s="91" t="s">
        <v>186</v>
      </c>
      <c r="E33" s="91" t="s">
        <v>15</v>
      </c>
      <c r="F33" s="91">
        <v>3011</v>
      </c>
      <c r="G33" s="91" t="s">
        <v>106</v>
      </c>
      <c r="H33" s="91" t="s">
        <v>20</v>
      </c>
      <c r="I33" s="134">
        <v>85200310084701</v>
      </c>
      <c r="J33" s="92" t="s">
        <v>56</v>
      </c>
      <c r="K33" s="92" t="s">
        <v>200</v>
      </c>
      <c r="L33" s="117">
        <v>42643</v>
      </c>
      <c r="M33" s="91" t="s">
        <v>98</v>
      </c>
      <c r="N33" s="91" t="s">
        <v>9</v>
      </c>
      <c r="O33" s="93">
        <v>42681</v>
      </c>
      <c r="P33" s="93" t="s">
        <v>261</v>
      </c>
      <c r="Q33" s="94">
        <v>232</v>
      </c>
      <c r="R33" s="93" t="s">
        <v>99</v>
      </c>
      <c r="S33" s="91">
        <v>264377.78000000003</v>
      </c>
      <c r="T33" s="91" t="s">
        <v>119</v>
      </c>
      <c r="U33" s="91" t="s">
        <v>101</v>
      </c>
      <c r="V33" s="125">
        <v>3.68</v>
      </c>
      <c r="W33" s="51">
        <v>1</v>
      </c>
      <c r="X33" s="51" t="s">
        <v>135</v>
      </c>
      <c r="Y33" s="51" t="s">
        <v>30</v>
      </c>
      <c r="Z33" s="129">
        <v>3.68</v>
      </c>
      <c r="AA33" s="129">
        <v>0</v>
      </c>
    </row>
    <row r="34" spans="1:27" ht="15" customHeight="1" x14ac:dyDescent="0.25">
      <c r="A34" s="51" t="s">
        <v>102</v>
      </c>
      <c r="B34" s="51" t="s">
        <v>466</v>
      </c>
      <c r="C34" s="91">
        <v>8520</v>
      </c>
      <c r="D34" s="91" t="s">
        <v>186</v>
      </c>
      <c r="E34" s="91" t="s">
        <v>15</v>
      </c>
      <c r="F34" s="91">
        <v>199</v>
      </c>
      <c r="G34" s="91" t="s">
        <v>124</v>
      </c>
      <c r="H34" s="91" t="s">
        <v>20</v>
      </c>
      <c r="I34" s="134">
        <v>85200330013723</v>
      </c>
      <c r="J34" s="92" t="s">
        <v>56</v>
      </c>
      <c r="K34" s="92" t="s">
        <v>200</v>
      </c>
      <c r="L34" s="117">
        <v>42643</v>
      </c>
      <c r="M34" s="91" t="s">
        <v>98</v>
      </c>
      <c r="N34" s="91" t="s">
        <v>9</v>
      </c>
      <c r="O34" s="93">
        <v>42709</v>
      </c>
      <c r="P34" s="93" t="s">
        <v>261</v>
      </c>
      <c r="Q34" s="94">
        <v>204</v>
      </c>
      <c r="R34" s="93" t="s">
        <v>99</v>
      </c>
      <c r="S34" s="91">
        <v>386956</v>
      </c>
      <c r="T34" s="91" t="s">
        <v>119</v>
      </c>
      <c r="U34" s="91" t="s">
        <v>101</v>
      </c>
      <c r="V34" s="125">
        <v>5.38</v>
      </c>
      <c r="W34" s="51">
        <v>1</v>
      </c>
      <c r="X34" s="51" t="s">
        <v>135</v>
      </c>
      <c r="Y34" s="51" t="s">
        <v>30</v>
      </c>
      <c r="Z34" s="129">
        <v>5.38</v>
      </c>
      <c r="AA34" s="129">
        <v>0</v>
      </c>
    </row>
    <row r="35" spans="1:27" ht="15" customHeight="1" x14ac:dyDescent="0.25">
      <c r="A35" s="51" t="s">
        <v>102</v>
      </c>
      <c r="B35" s="51" t="s">
        <v>466</v>
      </c>
      <c r="C35" s="91">
        <v>8520</v>
      </c>
      <c r="D35" s="91" t="s">
        <v>186</v>
      </c>
      <c r="E35" s="91" t="s">
        <v>15</v>
      </c>
      <c r="F35" s="91">
        <v>199</v>
      </c>
      <c r="G35" s="91" t="s">
        <v>124</v>
      </c>
      <c r="H35" s="91" t="s">
        <v>20</v>
      </c>
      <c r="I35" s="134">
        <v>85200410039726</v>
      </c>
      <c r="J35" s="92" t="s">
        <v>41</v>
      </c>
      <c r="K35" s="92" t="s">
        <v>249</v>
      </c>
      <c r="L35" s="117">
        <v>42643</v>
      </c>
      <c r="M35" s="91" t="s">
        <v>109</v>
      </c>
      <c r="N35" s="91" t="s">
        <v>10</v>
      </c>
      <c r="O35" s="93">
        <v>42709</v>
      </c>
      <c r="P35" s="93" t="s">
        <v>261</v>
      </c>
      <c r="Q35" s="94">
        <v>204</v>
      </c>
      <c r="R35" s="93" t="s">
        <v>99</v>
      </c>
      <c r="S35" s="91">
        <v>94644</v>
      </c>
      <c r="T35" s="91" t="s">
        <v>119</v>
      </c>
      <c r="U35" s="91" t="s">
        <v>101</v>
      </c>
      <c r="V35" s="125">
        <v>1.32</v>
      </c>
      <c r="W35" s="51">
        <v>1</v>
      </c>
      <c r="X35" s="51" t="s">
        <v>133</v>
      </c>
      <c r="Y35" s="51" t="s">
        <v>32</v>
      </c>
      <c r="Z35" s="129">
        <v>0.33</v>
      </c>
      <c r="AA35" s="129">
        <v>0.99</v>
      </c>
    </row>
    <row r="36" spans="1:27" ht="15" customHeight="1" x14ac:dyDescent="0.25">
      <c r="A36" s="51" t="s">
        <v>102</v>
      </c>
      <c r="B36" s="51" t="s">
        <v>466</v>
      </c>
      <c r="C36" s="91">
        <v>8520</v>
      </c>
      <c r="D36" s="91" t="s">
        <v>186</v>
      </c>
      <c r="E36" s="91" t="s">
        <v>15</v>
      </c>
      <c r="F36" s="91">
        <v>199</v>
      </c>
      <c r="G36" s="91" t="s">
        <v>124</v>
      </c>
      <c r="H36" s="91" t="s">
        <v>20</v>
      </c>
      <c r="I36" s="134">
        <v>85200410039727</v>
      </c>
      <c r="J36" s="92" t="s">
        <v>41</v>
      </c>
      <c r="K36" s="92" t="s">
        <v>249</v>
      </c>
      <c r="L36" s="117">
        <v>42643</v>
      </c>
      <c r="M36" s="91" t="s">
        <v>109</v>
      </c>
      <c r="N36" s="91" t="s">
        <v>10</v>
      </c>
      <c r="O36" s="93">
        <v>42709</v>
      </c>
      <c r="P36" s="93" t="s">
        <v>261</v>
      </c>
      <c r="Q36" s="94">
        <v>204</v>
      </c>
      <c r="R36" s="93" t="s">
        <v>99</v>
      </c>
      <c r="S36" s="91">
        <v>63990</v>
      </c>
      <c r="T36" s="91" t="s">
        <v>119</v>
      </c>
      <c r="U36" s="91" t="s">
        <v>101</v>
      </c>
      <c r="V36" s="125">
        <v>0.89</v>
      </c>
      <c r="W36" s="51">
        <v>1</v>
      </c>
      <c r="X36" s="51" t="s">
        <v>133</v>
      </c>
      <c r="Y36" s="51" t="s">
        <v>32</v>
      </c>
      <c r="Z36" s="129">
        <v>0.2225</v>
      </c>
      <c r="AA36" s="129">
        <v>0.66749999999999998</v>
      </c>
    </row>
    <row r="37" spans="1:27" ht="15" customHeight="1" x14ac:dyDescent="0.25">
      <c r="A37" s="51" t="s">
        <v>102</v>
      </c>
      <c r="B37" s="51" t="s">
        <v>466</v>
      </c>
      <c r="C37" s="91">
        <v>8520</v>
      </c>
      <c r="D37" s="91" t="s">
        <v>186</v>
      </c>
      <c r="E37" s="91" t="s">
        <v>15</v>
      </c>
      <c r="F37" s="91">
        <v>199</v>
      </c>
      <c r="G37" s="91" t="s">
        <v>124</v>
      </c>
      <c r="H37" s="91" t="s">
        <v>20</v>
      </c>
      <c r="I37" s="134">
        <v>85200410039872</v>
      </c>
      <c r="J37" s="92" t="s">
        <v>41</v>
      </c>
      <c r="K37" s="92" t="s">
        <v>249</v>
      </c>
      <c r="L37" s="117">
        <v>42643</v>
      </c>
      <c r="M37" s="91" t="s">
        <v>109</v>
      </c>
      <c r="N37" s="91" t="s">
        <v>10</v>
      </c>
      <c r="O37" s="93">
        <v>42709</v>
      </c>
      <c r="P37" s="93" t="s">
        <v>261</v>
      </c>
      <c r="Q37" s="94">
        <v>204</v>
      </c>
      <c r="R37" s="93" t="s">
        <v>99</v>
      </c>
      <c r="S37" s="91">
        <v>113400</v>
      </c>
      <c r="T37" s="91" t="s">
        <v>119</v>
      </c>
      <c r="U37" s="91" t="s">
        <v>101</v>
      </c>
      <c r="V37" s="125">
        <v>1.58</v>
      </c>
      <c r="W37" s="51">
        <v>1</v>
      </c>
      <c r="X37" s="51" t="s">
        <v>133</v>
      </c>
      <c r="Y37" s="51" t="s">
        <v>32</v>
      </c>
      <c r="Z37" s="129">
        <v>0.39500000000000002</v>
      </c>
      <c r="AA37" s="129">
        <v>1.1850000000000001</v>
      </c>
    </row>
    <row r="38" spans="1:27" ht="15" customHeight="1" x14ac:dyDescent="0.25">
      <c r="A38" s="51" t="s">
        <v>102</v>
      </c>
      <c r="B38" s="51" t="s">
        <v>466</v>
      </c>
      <c r="C38" s="91">
        <v>8520</v>
      </c>
      <c r="D38" s="91" t="s">
        <v>186</v>
      </c>
      <c r="E38" s="91" t="s">
        <v>15</v>
      </c>
      <c r="F38" s="91">
        <v>199</v>
      </c>
      <c r="G38" s="91" t="s">
        <v>124</v>
      </c>
      <c r="H38" s="91" t="s">
        <v>20</v>
      </c>
      <c r="I38" s="134">
        <v>85200410039873</v>
      </c>
      <c r="J38" s="92" t="s">
        <v>41</v>
      </c>
      <c r="K38" s="92" t="s">
        <v>249</v>
      </c>
      <c r="L38" s="117">
        <v>42643</v>
      </c>
      <c r="M38" s="91" t="s">
        <v>109</v>
      </c>
      <c r="N38" s="91" t="s">
        <v>10</v>
      </c>
      <c r="O38" s="93">
        <v>42709</v>
      </c>
      <c r="P38" s="93" t="s">
        <v>261</v>
      </c>
      <c r="Q38" s="94">
        <v>204</v>
      </c>
      <c r="R38" s="93" t="s">
        <v>99</v>
      </c>
      <c r="S38" s="91">
        <v>118800</v>
      </c>
      <c r="T38" s="91" t="s">
        <v>119</v>
      </c>
      <c r="U38" s="91" t="s">
        <v>101</v>
      </c>
      <c r="V38" s="125">
        <v>1.65</v>
      </c>
      <c r="W38" s="51">
        <v>1</v>
      </c>
      <c r="X38" s="51" t="s">
        <v>133</v>
      </c>
      <c r="Y38" s="51" t="s">
        <v>32</v>
      </c>
      <c r="Z38" s="129">
        <v>0.41249999999999998</v>
      </c>
      <c r="AA38" s="129">
        <v>1.2374999999999998</v>
      </c>
    </row>
    <row r="39" spans="1:27" ht="15" customHeight="1" x14ac:dyDescent="0.25">
      <c r="A39" s="51" t="s">
        <v>102</v>
      </c>
      <c r="B39" s="51" t="s">
        <v>466</v>
      </c>
      <c r="C39" s="91">
        <v>8520</v>
      </c>
      <c r="D39" s="91" t="s">
        <v>186</v>
      </c>
      <c r="E39" s="91" t="s">
        <v>15</v>
      </c>
      <c r="F39" s="91">
        <v>199</v>
      </c>
      <c r="G39" s="91" t="s">
        <v>124</v>
      </c>
      <c r="H39" s="91" t="s">
        <v>20</v>
      </c>
      <c r="I39" s="134">
        <v>85200410039874</v>
      </c>
      <c r="J39" s="92" t="s">
        <v>41</v>
      </c>
      <c r="K39" s="92" t="s">
        <v>249</v>
      </c>
      <c r="L39" s="117">
        <v>42643</v>
      </c>
      <c r="M39" s="91" t="s">
        <v>109</v>
      </c>
      <c r="N39" s="91" t="s">
        <v>10</v>
      </c>
      <c r="O39" s="93">
        <v>42709</v>
      </c>
      <c r="P39" s="93" t="s">
        <v>261</v>
      </c>
      <c r="Q39" s="94">
        <v>204</v>
      </c>
      <c r="R39" s="93" t="s">
        <v>99</v>
      </c>
      <c r="S39" s="91">
        <v>108000</v>
      </c>
      <c r="T39" s="91" t="s">
        <v>119</v>
      </c>
      <c r="U39" s="91" t="s">
        <v>101</v>
      </c>
      <c r="V39" s="125">
        <v>1.5</v>
      </c>
      <c r="W39" s="51">
        <v>1</v>
      </c>
      <c r="X39" s="51" t="s">
        <v>133</v>
      </c>
      <c r="Y39" s="51" t="s">
        <v>32</v>
      </c>
      <c r="Z39" s="129">
        <v>0.375</v>
      </c>
      <c r="AA39" s="129">
        <v>1.125</v>
      </c>
    </row>
    <row r="40" spans="1:27" ht="15" customHeight="1" x14ac:dyDescent="0.25">
      <c r="A40" s="51" t="s">
        <v>102</v>
      </c>
      <c r="B40" s="51" t="s">
        <v>466</v>
      </c>
      <c r="C40" s="91">
        <v>8520</v>
      </c>
      <c r="D40" s="91" t="s">
        <v>186</v>
      </c>
      <c r="E40" s="91" t="s">
        <v>15</v>
      </c>
      <c r="F40" s="91">
        <v>199</v>
      </c>
      <c r="G40" s="91" t="s">
        <v>124</v>
      </c>
      <c r="H40" s="91" t="s">
        <v>20</v>
      </c>
      <c r="I40" s="134">
        <v>85200410039875</v>
      </c>
      <c r="J40" s="92" t="s">
        <v>41</v>
      </c>
      <c r="K40" s="92" t="s">
        <v>249</v>
      </c>
      <c r="L40" s="117">
        <v>42643</v>
      </c>
      <c r="M40" s="91" t="s">
        <v>109</v>
      </c>
      <c r="N40" s="91" t="s">
        <v>10</v>
      </c>
      <c r="O40" s="93">
        <v>42709</v>
      </c>
      <c r="P40" s="93" t="s">
        <v>261</v>
      </c>
      <c r="Q40" s="94">
        <v>204</v>
      </c>
      <c r="R40" s="93" t="s">
        <v>99</v>
      </c>
      <c r="S40" s="91">
        <v>118800</v>
      </c>
      <c r="T40" s="91" t="s">
        <v>119</v>
      </c>
      <c r="U40" s="91" t="s">
        <v>101</v>
      </c>
      <c r="V40" s="125">
        <v>1.65</v>
      </c>
      <c r="W40" s="51">
        <v>1</v>
      </c>
      <c r="X40" s="51" t="s">
        <v>133</v>
      </c>
      <c r="Y40" s="51" t="s">
        <v>32</v>
      </c>
      <c r="Z40" s="129">
        <v>0.41249999999999998</v>
      </c>
      <c r="AA40" s="129">
        <v>1.2374999999999998</v>
      </c>
    </row>
    <row r="41" spans="1:27" ht="15" customHeight="1" x14ac:dyDescent="0.25">
      <c r="A41" s="51" t="s">
        <v>102</v>
      </c>
      <c r="B41" s="51" t="s">
        <v>466</v>
      </c>
      <c r="C41" s="91">
        <v>8520</v>
      </c>
      <c r="D41" s="91" t="s">
        <v>186</v>
      </c>
      <c r="E41" s="91" t="s">
        <v>15</v>
      </c>
      <c r="F41" s="91">
        <v>199</v>
      </c>
      <c r="G41" s="91" t="s">
        <v>124</v>
      </c>
      <c r="H41" s="91" t="s">
        <v>20</v>
      </c>
      <c r="I41" s="134">
        <v>85200410039876</v>
      </c>
      <c r="J41" s="92" t="s">
        <v>41</v>
      </c>
      <c r="K41" s="92" t="s">
        <v>249</v>
      </c>
      <c r="L41" s="117">
        <v>42643</v>
      </c>
      <c r="M41" s="91" t="s">
        <v>109</v>
      </c>
      <c r="N41" s="91" t="s">
        <v>10</v>
      </c>
      <c r="O41" s="93">
        <v>42709</v>
      </c>
      <c r="P41" s="93" t="s">
        <v>261</v>
      </c>
      <c r="Q41" s="94">
        <v>204</v>
      </c>
      <c r="R41" s="93" t="s">
        <v>99</v>
      </c>
      <c r="S41" s="91">
        <v>43200</v>
      </c>
      <c r="T41" s="91" t="s">
        <v>119</v>
      </c>
      <c r="U41" s="91" t="s">
        <v>101</v>
      </c>
      <c r="V41" s="125">
        <v>0.6</v>
      </c>
      <c r="W41" s="51">
        <v>1</v>
      </c>
      <c r="X41" s="51" t="s">
        <v>133</v>
      </c>
      <c r="Y41" s="51" t="s">
        <v>32</v>
      </c>
      <c r="Z41" s="129">
        <v>0.15</v>
      </c>
      <c r="AA41" s="129">
        <v>0.44999999999999996</v>
      </c>
    </row>
    <row r="42" spans="1:27" x14ac:dyDescent="0.25">
      <c r="A42" s="51" t="s">
        <v>102</v>
      </c>
      <c r="B42" s="51" t="s">
        <v>466</v>
      </c>
      <c r="C42" s="91">
        <v>8520</v>
      </c>
      <c r="D42" s="91" t="s">
        <v>186</v>
      </c>
      <c r="E42" s="91" t="s">
        <v>15</v>
      </c>
      <c r="F42" s="91">
        <v>199</v>
      </c>
      <c r="G42" s="91" t="s">
        <v>124</v>
      </c>
      <c r="H42" s="91" t="s">
        <v>20</v>
      </c>
      <c r="I42" s="134">
        <v>85200410039877</v>
      </c>
      <c r="J42" s="92" t="s">
        <v>41</v>
      </c>
      <c r="K42" s="92" t="s">
        <v>249</v>
      </c>
      <c r="L42" s="117">
        <v>42643</v>
      </c>
      <c r="M42" s="91" t="s">
        <v>109</v>
      </c>
      <c r="N42" s="91" t="s">
        <v>10</v>
      </c>
      <c r="O42" s="93">
        <v>42709</v>
      </c>
      <c r="P42" s="93" t="s">
        <v>261</v>
      </c>
      <c r="Q42" s="94">
        <v>204</v>
      </c>
      <c r="R42" s="93" t="s">
        <v>99</v>
      </c>
      <c r="S42" s="91">
        <v>59400</v>
      </c>
      <c r="T42" s="91" t="s">
        <v>119</v>
      </c>
      <c r="U42" s="91" t="s">
        <v>101</v>
      </c>
      <c r="V42" s="125">
        <v>0.83</v>
      </c>
      <c r="W42" s="51">
        <v>1</v>
      </c>
      <c r="X42" s="51" t="s">
        <v>133</v>
      </c>
      <c r="Y42" s="51" t="s">
        <v>32</v>
      </c>
      <c r="Z42" s="129">
        <v>0.20749999999999999</v>
      </c>
      <c r="AA42" s="129">
        <v>0.62249999999999994</v>
      </c>
    </row>
    <row r="43" spans="1:27" ht="15" customHeight="1" x14ac:dyDescent="0.25">
      <c r="A43" s="51" t="s">
        <v>102</v>
      </c>
      <c r="B43" s="51" t="s">
        <v>466</v>
      </c>
      <c r="C43" s="91">
        <v>8520</v>
      </c>
      <c r="D43" s="91" t="s">
        <v>186</v>
      </c>
      <c r="E43" s="91" t="s">
        <v>15</v>
      </c>
      <c r="F43" s="91">
        <v>199</v>
      </c>
      <c r="G43" s="91" t="s">
        <v>124</v>
      </c>
      <c r="H43" s="91" t="s">
        <v>20</v>
      </c>
      <c r="I43" s="134">
        <v>85200410039878</v>
      </c>
      <c r="J43" s="92" t="s">
        <v>41</v>
      </c>
      <c r="K43" s="92" t="s">
        <v>249</v>
      </c>
      <c r="L43" s="117">
        <v>42643</v>
      </c>
      <c r="M43" s="91" t="s">
        <v>109</v>
      </c>
      <c r="N43" s="91" t="s">
        <v>10</v>
      </c>
      <c r="O43" s="93">
        <v>42709</v>
      </c>
      <c r="P43" s="93" t="s">
        <v>261</v>
      </c>
      <c r="Q43" s="94">
        <v>204</v>
      </c>
      <c r="R43" s="93" t="s">
        <v>99</v>
      </c>
      <c r="S43" s="91">
        <v>108000</v>
      </c>
      <c r="T43" s="91" t="s">
        <v>119</v>
      </c>
      <c r="U43" s="91" t="s">
        <v>101</v>
      </c>
      <c r="V43" s="125">
        <v>1.5</v>
      </c>
      <c r="W43" s="51">
        <v>1</v>
      </c>
      <c r="X43" s="51" t="s">
        <v>133</v>
      </c>
      <c r="Y43" s="51" t="s">
        <v>32</v>
      </c>
      <c r="Z43" s="129">
        <v>0.375</v>
      </c>
      <c r="AA43" s="129">
        <v>1.125</v>
      </c>
    </row>
    <row r="44" spans="1:27" x14ac:dyDescent="0.25">
      <c r="A44" s="51" t="s">
        <v>102</v>
      </c>
      <c r="B44" s="51" t="s">
        <v>466</v>
      </c>
      <c r="C44" s="91">
        <v>8520</v>
      </c>
      <c r="D44" s="91" t="s">
        <v>186</v>
      </c>
      <c r="E44" s="91" t="s">
        <v>15</v>
      </c>
      <c r="F44" s="91">
        <v>199</v>
      </c>
      <c r="G44" s="91" t="s">
        <v>124</v>
      </c>
      <c r="H44" s="91" t="s">
        <v>20</v>
      </c>
      <c r="I44" s="134">
        <v>85200410039879</v>
      </c>
      <c r="J44" s="92" t="s">
        <v>41</v>
      </c>
      <c r="K44" s="92" t="s">
        <v>249</v>
      </c>
      <c r="L44" s="117">
        <v>42643</v>
      </c>
      <c r="M44" s="91" t="s">
        <v>109</v>
      </c>
      <c r="N44" s="91" t="s">
        <v>10</v>
      </c>
      <c r="O44" s="93">
        <v>42709</v>
      </c>
      <c r="P44" s="93" t="s">
        <v>261</v>
      </c>
      <c r="Q44" s="94">
        <v>204</v>
      </c>
      <c r="R44" s="93" t="s">
        <v>99</v>
      </c>
      <c r="S44" s="91">
        <v>108000</v>
      </c>
      <c r="T44" s="91" t="s">
        <v>119</v>
      </c>
      <c r="U44" s="91" t="s">
        <v>101</v>
      </c>
      <c r="V44" s="125">
        <v>1.5</v>
      </c>
      <c r="W44" s="51">
        <v>1</v>
      </c>
      <c r="X44" s="51" t="s">
        <v>133</v>
      </c>
      <c r="Y44" s="51" t="s">
        <v>32</v>
      </c>
      <c r="Z44" s="129">
        <v>0.375</v>
      </c>
      <c r="AA44" s="129">
        <v>1.125</v>
      </c>
    </row>
    <row r="45" spans="1:27" x14ac:dyDescent="0.25">
      <c r="A45" s="51" t="s">
        <v>102</v>
      </c>
      <c r="B45" s="51" t="s">
        <v>466</v>
      </c>
      <c r="C45" s="91">
        <v>8520</v>
      </c>
      <c r="D45" s="91" t="s">
        <v>186</v>
      </c>
      <c r="E45" s="91" t="s">
        <v>15</v>
      </c>
      <c r="F45" s="91">
        <v>199</v>
      </c>
      <c r="G45" s="91" t="s">
        <v>124</v>
      </c>
      <c r="H45" s="91" t="s">
        <v>20</v>
      </c>
      <c r="I45" s="134">
        <v>85200410039880</v>
      </c>
      <c r="J45" s="92" t="s">
        <v>41</v>
      </c>
      <c r="K45" s="92" t="s">
        <v>249</v>
      </c>
      <c r="L45" s="117">
        <v>42643</v>
      </c>
      <c r="M45" s="91" t="s">
        <v>109</v>
      </c>
      <c r="N45" s="91" t="s">
        <v>10</v>
      </c>
      <c r="O45" s="93">
        <v>42709</v>
      </c>
      <c r="P45" s="93" t="s">
        <v>261</v>
      </c>
      <c r="Q45" s="94">
        <v>204</v>
      </c>
      <c r="R45" s="93" t="s">
        <v>99</v>
      </c>
      <c r="S45" s="91">
        <v>118800</v>
      </c>
      <c r="T45" s="91" t="s">
        <v>119</v>
      </c>
      <c r="U45" s="91" t="s">
        <v>101</v>
      </c>
      <c r="V45" s="125">
        <v>1.65</v>
      </c>
      <c r="W45" s="51">
        <v>1</v>
      </c>
      <c r="X45" s="51" t="s">
        <v>133</v>
      </c>
      <c r="Y45" s="51" t="s">
        <v>32</v>
      </c>
      <c r="Z45" s="129">
        <v>0.41249999999999998</v>
      </c>
      <c r="AA45" s="129">
        <v>1.2374999999999998</v>
      </c>
    </row>
    <row r="46" spans="1:27" ht="15" customHeight="1" x14ac:dyDescent="0.25">
      <c r="A46" s="51" t="s">
        <v>102</v>
      </c>
      <c r="B46" s="51" t="s">
        <v>466</v>
      </c>
      <c r="C46" s="91">
        <v>8520</v>
      </c>
      <c r="D46" s="91" t="s">
        <v>186</v>
      </c>
      <c r="E46" s="91" t="s">
        <v>15</v>
      </c>
      <c r="F46" s="91">
        <v>199</v>
      </c>
      <c r="G46" s="91" t="s">
        <v>124</v>
      </c>
      <c r="H46" s="91" t="s">
        <v>20</v>
      </c>
      <c r="I46" s="134">
        <v>85200410039881</v>
      </c>
      <c r="J46" s="92" t="s">
        <v>41</v>
      </c>
      <c r="K46" s="92" t="s">
        <v>249</v>
      </c>
      <c r="L46" s="117">
        <v>42643</v>
      </c>
      <c r="M46" s="91" t="s">
        <v>109</v>
      </c>
      <c r="N46" s="91" t="s">
        <v>10</v>
      </c>
      <c r="O46" s="93">
        <v>42709</v>
      </c>
      <c r="P46" s="93" t="s">
        <v>261</v>
      </c>
      <c r="Q46" s="94">
        <v>204</v>
      </c>
      <c r="R46" s="93" t="s">
        <v>99</v>
      </c>
      <c r="S46" s="91">
        <v>97200</v>
      </c>
      <c r="T46" s="91" t="s">
        <v>119</v>
      </c>
      <c r="U46" s="91" t="s">
        <v>101</v>
      </c>
      <c r="V46" s="125">
        <v>1.35</v>
      </c>
      <c r="W46" s="51">
        <v>1</v>
      </c>
      <c r="X46" s="51" t="s">
        <v>133</v>
      </c>
      <c r="Y46" s="51" t="s">
        <v>32</v>
      </c>
      <c r="Z46" s="129">
        <v>0.33750000000000002</v>
      </c>
      <c r="AA46" s="129">
        <v>1.0125000000000002</v>
      </c>
    </row>
    <row r="47" spans="1:27" ht="15" customHeight="1" x14ac:dyDescent="0.25">
      <c r="A47" s="51" t="s">
        <v>102</v>
      </c>
      <c r="B47" s="51" t="s">
        <v>466</v>
      </c>
      <c r="C47" s="91">
        <v>8520</v>
      </c>
      <c r="D47" s="91" t="s">
        <v>186</v>
      </c>
      <c r="E47" s="91" t="s">
        <v>15</v>
      </c>
      <c r="F47" s="91">
        <v>199</v>
      </c>
      <c r="G47" s="91" t="s">
        <v>124</v>
      </c>
      <c r="H47" s="91" t="s">
        <v>20</v>
      </c>
      <c r="I47" s="134">
        <v>85200410039882</v>
      </c>
      <c r="J47" s="92" t="s">
        <v>41</v>
      </c>
      <c r="K47" s="92" t="s">
        <v>249</v>
      </c>
      <c r="L47" s="117">
        <v>42643</v>
      </c>
      <c r="M47" s="91" t="s">
        <v>109</v>
      </c>
      <c r="N47" s="91" t="s">
        <v>10</v>
      </c>
      <c r="O47" s="93">
        <v>42709</v>
      </c>
      <c r="P47" s="93" t="s">
        <v>261</v>
      </c>
      <c r="Q47" s="94">
        <v>204</v>
      </c>
      <c r="R47" s="93" t="s">
        <v>99</v>
      </c>
      <c r="S47" s="91">
        <v>108000</v>
      </c>
      <c r="T47" s="91" t="s">
        <v>119</v>
      </c>
      <c r="U47" s="91" t="s">
        <v>101</v>
      </c>
      <c r="V47" s="125">
        <v>1.5</v>
      </c>
      <c r="W47" s="51">
        <v>1</v>
      </c>
      <c r="X47" s="51" t="s">
        <v>133</v>
      </c>
      <c r="Y47" s="51" t="s">
        <v>32</v>
      </c>
      <c r="Z47" s="129">
        <v>0.375</v>
      </c>
      <c r="AA47" s="129">
        <v>1.125</v>
      </c>
    </row>
    <row r="48" spans="1:27" ht="15" customHeight="1" x14ac:dyDescent="0.25">
      <c r="A48" s="51" t="s">
        <v>102</v>
      </c>
      <c r="B48" s="51" t="s">
        <v>466</v>
      </c>
      <c r="C48" s="91">
        <v>8520</v>
      </c>
      <c r="D48" s="91" t="s">
        <v>186</v>
      </c>
      <c r="E48" s="91" t="s">
        <v>15</v>
      </c>
      <c r="F48" s="91">
        <v>199</v>
      </c>
      <c r="G48" s="91" t="s">
        <v>124</v>
      </c>
      <c r="H48" s="91" t="s">
        <v>20</v>
      </c>
      <c r="I48" s="134">
        <v>85200410039883</v>
      </c>
      <c r="J48" s="92" t="s">
        <v>41</v>
      </c>
      <c r="K48" s="92" t="s">
        <v>249</v>
      </c>
      <c r="L48" s="117">
        <v>42643</v>
      </c>
      <c r="M48" s="91" t="s">
        <v>109</v>
      </c>
      <c r="N48" s="91" t="s">
        <v>10</v>
      </c>
      <c r="O48" s="93">
        <v>42709</v>
      </c>
      <c r="P48" s="93" t="s">
        <v>261</v>
      </c>
      <c r="Q48" s="94">
        <v>204</v>
      </c>
      <c r="R48" s="93" t="s">
        <v>99</v>
      </c>
      <c r="S48" s="91">
        <v>59400</v>
      </c>
      <c r="T48" s="91" t="s">
        <v>119</v>
      </c>
      <c r="U48" s="91" t="s">
        <v>101</v>
      </c>
      <c r="V48" s="125">
        <v>0.83</v>
      </c>
      <c r="W48" s="51">
        <v>1</v>
      </c>
      <c r="X48" s="51" t="s">
        <v>133</v>
      </c>
      <c r="Y48" s="51" t="s">
        <v>32</v>
      </c>
      <c r="Z48" s="129">
        <v>0.20749999999999999</v>
      </c>
      <c r="AA48" s="129">
        <v>0.62249999999999994</v>
      </c>
    </row>
    <row r="49" spans="1:27" ht="15" customHeight="1" x14ac:dyDescent="0.25">
      <c r="A49" s="51" t="s">
        <v>102</v>
      </c>
      <c r="B49" s="51" t="s">
        <v>466</v>
      </c>
      <c r="C49" s="91">
        <v>8520</v>
      </c>
      <c r="D49" s="91" t="s">
        <v>186</v>
      </c>
      <c r="E49" s="91" t="s">
        <v>15</v>
      </c>
      <c r="F49" s="91">
        <v>199</v>
      </c>
      <c r="G49" s="91" t="s">
        <v>124</v>
      </c>
      <c r="H49" s="91" t="s">
        <v>20</v>
      </c>
      <c r="I49" s="134">
        <v>85200410039938</v>
      </c>
      <c r="J49" s="92" t="s">
        <v>54</v>
      </c>
      <c r="K49" s="92" t="s">
        <v>137</v>
      </c>
      <c r="L49" s="117">
        <v>42643</v>
      </c>
      <c r="M49" s="91" t="s">
        <v>122</v>
      </c>
      <c r="N49" s="91" t="s">
        <v>9</v>
      </c>
      <c r="O49" s="93">
        <v>42709</v>
      </c>
      <c r="P49" s="93" t="s">
        <v>261</v>
      </c>
      <c r="Q49" s="94">
        <v>204</v>
      </c>
      <c r="R49" s="93" t="s">
        <v>99</v>
      </c>
      <c r="S49" s="91">
        <v>337572</v>
      </c>
      <c r="T49" s="91" t="s">
        <v>119</v>
      </c>
      <c r="U49" s="91" t="s">
        <v>101</v>
      </c>
      <c r="V49" s="125">
        <v>4.6900000000000004</v>
      </c>
      <c r="W49" s="51">
        <v>1</v>
      </c>
      <c r="X49" s="51" t="s">
        <v>140</v>
      </c>
      <c r="Y49" s="51" t="s">
        <v>31</v>
      </c>
      <c r="Z49" s="129">
        <v>2.3450000000000002</v>
      </c>
      <c r="AA49" s="129">
        <v>2.3450000000000002</v>
      </c>
    </row>
    <row r="50" spans="1:27" ht="15" customHeight="1" x14ac:dyDescent="0.25">
      <c r="A50" s="51" t="s">
        <v>102</v>
      </c>
      <c r="B50" s="51" t="s">
        <v>277</v>
      </c>
      <c r="C50" s="91">
        <v>8520</v>
      </c>
      <c r="D50" s="91" t="s">
        <v>186</v>
      </c>
      <c r="E50" s="91" t="s">
        <v>15</v>
      </c>
      <c r="F50" s="91">
        <v>199</v>
      </c>
      <c r="G50" s="91" t="s">
        <v>124</v>
      </c>
      <c r="H50" s="91" t="s">
        <v>20</v>
      </c>
      <c r="I50" s="134">
        <v>85200410040068</v>
      </c>
      <c r="J50" s="92" t="s">
        <v>41</v>
      </c>
      <c r="K50" s="92" t="s">
        <v>249</v>
      </c>
      <c r="L50" s="117">
        <v>42643</v>
      </c>
      <c r="M50" s="91" t="s">
        <v>109</v>
      </c>
      <c r="N50" s="91" t="s">
        <v>10</v>
      </c>
      <c r="O50" s="93">
        <v>42709</v>
      </c>
      <c r="P50" s="93" t="s">
        <v>261</v>
      </c>
      <c r="Q50" s="94">
        <v>204</v>
      </c>
      <c r="R50" s="93" t="s">
        <v>99</v>
      </c>
      <c r="S50" s="91">
        <v>48000</v>
      </c>
      <c r="T50" s="91" t="s">
        <v>119</v>
      </c>
      <c r="U50" s="91" t="s">
        <v>101</v>
      </c>
      <c r="V50" s="125">
        <v>0.67</v>
      </c>
      <c r="W50" s="51">
        <v>1</v>
      </c>
      <c r="X50" s="51" t="s">
        <v>133</v>
      </c>
      <c r="Y50" s="51" t="s">
        <v>32</v>
      </c>
      <c r="Z50" s="129">
        <v>0.16750000000000001</v>
      </c>
      <c r="AA50" s="129">
        <v>0.50250000000000006</v>
      </c>
    </row>
    <row r="51" spans="1:27" ht="15" customHeight="1" x14ac:dyDescent="0.25">
      <c r="A51" s="51" t="s">
        <v>102</v>
      </c>
      <c r="B51" s="51" t="s">
        <v>466</v>
      </c>
      <c r="C51" s="91">
        <v>8520</v>
      </c>
      <c r="D51" s="91" t="s">
        <v>186</v>
      </c>
      <c r="E51" s="91" t="s">
        <v>15</v>
      </c>
      <c r="F51" s="91">
        <v>199</v>
      </c>
      <c r="G51" s="91" t="s">
        <v>124</v>
      </c>
      <c r="H51" s="91" t="s">
        <v>20</v>
      </c>
      <c r="I51" s="134">
        <v>85200410040069</v>
      </c>
      <c r="J51" s="92" t="s">
        <v>41</v>
      </c>
      <c r="K51" s="92" t="s">
        <v>249</v>
      </c>
      <c r="L51" s="117">
        <v>42643</v>
      </c>
      <c r="M51" s="91" t="s">
        <v>109</v>
      </c>
      <c r="N51" s="91" t="s">
        <v>10</v>
      </c>
      <c r="O51" s="93">
        <v>42709</v>
      </c>
      <c r="P51" s="93" t="s">
        <v>261</v>
      </c>
      <c r="Q51" s="94">
        <v>204</v>
      </c>
      <c r="R51" s="93" t="s">
        <v>99</v>
      </c>
      <c r="S51" s="91">
        <v>91200</v>
      </c>
      <c r="T51" s="91" t="s">
        <v>119</v>
      </c>
      <c r="U51" s="91" t="s">
        <v>101</v>
      </c>
      <c r="V51" s="125">
        <v>1.27</v>
      </c>
      <c r="W51" s="51">
        <v>1</v>
      </c>
      <c r="X51" s="51" t="s">
        <v>133</v>
      </c>
      <c r="Y51" s="51" t="s">
        <v>32</v>
      </c>
      <c r="Z51" s="129">
        <v>0.3175</v>
      </c>
      <c r="AA51" s="129">
        <v>0.95250000000000001</v>
      </c>
    </row>
    <row r="52" spans="1:27" ht="15" customHeight="1" x14ac:dyDescent="0.25">
      <c r="A52" s="51" t="s">
        <v>102</v>
      </c>
      <c r="B52" s="51" t="s">
        <v>466</v>
      </c>
      <c r="C52" s="91">
        <v>8520</v>
      </c>
      <c r="D52" s="91" t="s">
        <v>186</v>
      </c>
      <c r="E52" s="91" t="s">
        <v>15</v>
      </c>
      <c r="F52" s="91">
        <v>199</v>
      </c>
      <c r="G52" s="91" t="s">
        <v>124</v>
      </c>
      <c r="H52" s="91" t="s">
        <v>20</v>
      </c>
      <c r="I52" s="134">
        <v>85200410040070</v>
      </c>
      <c r="J52" s="92" t="s">
        <v>41</v>
      </c>
      <c r="K52" s="92" t="s">
        <v>249</v>
      </c>
      <c r="L52" s="117">
        <v>42643</v>
      </c>
      <c r="M52" s="91" t="s">
        <v>109</v>
      </c>
      <c r="N52" s="91" t="s">
        <v>10</v>
      </c>
      <c r="O52" s="93">
        <v>42709</v>
      </c>
      <c r="P52" s="93" t="s">
        <v>261</v>
      </c>
      <c r="Q52" s="94">
        <v>204</v>
      </c>
      <c r="R52" s="93" t="s">
        <v>99</v>
      </c>
      <c r="S52" s="91">
        <v>100800</v>
      </c>
      <c r="T52" s="91" t="s">
        <v>119</v>
      </c>
      <c r="U52" s="91" t="s">
        <v>101</v>
      </c>
      <c r="V52" s="125">
        <v>1.4</v>
      </c>
      <c r="W52" s="51">
        <v>1</v>
      </c>
      <c r="X52" s="51" t="s">
        <v>133</v>
      </c>
      <c r="Y52" s="51" t="s">
        <v>32</v>
      </c>
      <c r="Z52" s="129">
        <v>0.35</v>
      </c>
      <c r="AA52" s="129">
        <v>1.0499999999999998</v>
      </c>
    </row>
    <row r="53" spans="1:27" ht="15" customHeight="1" x14ac:dyDescent="0.25">
      <c r="A53" s="51" t="s">
        <v>102</v>
      </c>
      <c r="B53" s="51" t="s">
        <v>277</v>
      </c>
      <c r="C53" s="91">
        <v>8520</v>
      </c>
      <c r="D53" s="91" t="s">
        <v>186</v>
      </c>
      <c r="E53" s="91" t="s">
        <v>15</v>
      </c>
      <c r="F53" s="91">
        <v>199</v>
      </c>
      <c r="G53" s="91" t="s">
        <v>124</v>
      </c>
      <c r="H53" s="91" t="s">
        <v>20</v>
      </c>
      <c r="I53" s="134">
        <v>85200410040071</v>
      </c>
      <c r="J53" s="92" t="s">
        <v>41</v>
      </c>
      <c r="K53" s="92" t="s">
        <v>249</v>
      </c>
      <c r="L53" s="117">
        <v>42643</v>
      </c>
      <c r="M53" s="91" t="s">
        <v>109</v>
      </c>
      <c r="N53" s="91" t="s">
        <v>10</v>
      </c>
      <c r="O53" s="93">
        <v>42709</v>
      </c>
      <c r="P53" s="93" t="s">
        <v>261</v>
      </c>
      <c r="Q53" s="94">
        <v>204</v>
      </c>
      <c r="R53" s="93" t="s">
        <v>99</v>
      </c>
      <c r="S53" s="91">
        <v>100800</v>
      </c>
      <c r="T53" s="91" t="s">
        <v>119</v>
      </c>
      <c r="U53" s="91" t="s">
        <v>101</v>
      </c>
      <c r="V53" s="125">
        <v>1.4</v>
      </c>
      <c r="W53" s="51">
        <v>1</v>
      </c>
      <c r="X53" s="51" t="s">
        <v>133</v>
      </c>
      <c r="Y53" s="51" t="s">
        <v>32</v>
      </c>
      <c r="Z53" s="129">
        <v>0.35</v>
      </c>
      <c r="AA53" s="129">
        <v>1.0499999999999998</v>
      </c>
    </row>
    <row r="54" spans="1:27" ht="15" customHeight="1" x14ac:dyDescent="0.25">
      <c r="A54" s="51" t="s">
        <v>102</v>
      </c>
      <c r="B54" s="51" t="s">
        <v>277</v>
      </c>
      <c r="C54" s="91">
        <v>8520</v>
      </c>
      <c r="D54" s="91" t="s">
        <v>186</v>
      </c>
      <c r="E54" s="91" t="s">
        <v>15</v>
      </c>
      <c r="F54" s="91">
        <v>199</v>
      </c>
      <c r="G54" s="91" t="s">
        <v>124</v>
      </c>
      <c r="H54" s="91" t="s">
        <v>20</v>
      </c>
      <c r="I54" s="134">
        <v>85200410040072</v>
      </c>
      <c r="J54" s="92" t="s">
        <v>41</v>
      </c>
      <c r="K54" s="92" t="s">
        <v>249</v>
      </c>
      <c r="L54" s="117">
        <v>42643</v>
      </c>
      <c r="M54" s="91" t="s">
        <v>109</v>
      </c>
      <c r="N54" s="91" t="s">
        <v>10</v>
      </c>
      <c r="O54" s="93">
        <v>42709</v>
      </c>
      <c r="P54" s="93" t="s">
        <v>261</v>
      </c>
      <c r="Q54" s="94">
        <v>204</v>
      </c>
      <c r="R54" s="93" t="s">
        <v>99</v>
      </c>
      <c r="S54" s="91">
        <v>86400</v>
      </c>
      <c r="T54" s="91" t="s">
        <v>119</v>
      </c>
      <c r="U54" s="91" t="s">
        <v>101</v>
      </c>
      <c r="V54" s="125">
        <v>1.2</v>
      </c>
      <c r="W54" s="51">
        <v>1</v>
      </c>
      <c r="X54" s="51" t="s">
        <v>133</v>
      </c>
      <c r="Y54" s="51" t="s">
        <v>32</v>
      </c>
      <c r="Z54" s="129">
        <v>0.3</v>
      </c>
      <c r="AA54" s="129">
        <v>0.89999999999999991</v>
      </c>
    </row>
    <row r="55" spans="1:27" ht="15" customHeight="1" x14ac:dyDescent="0.25">
      <c r="A55" s="51" t="s">
        <v>102</v>
      </c>
      <c r="B55" s="51" t="s">
        <v>466</v>
      </c>
      <c r="C55" s="91">
        <v>8520</v>
      </c>
      <c r="D55" s="91" t="s">
        <v>186</v>
      </c>
      <c r="E55" s="91" t="s">
        <v>15</v>
      </c>
      <c r="F55" s="91">
        <v>199</v>
      </c>
      <c r="G55" s="91" t="s">
        <v>124</v>
      </c>
      <c r="H55" s="91" t="s">
        <v>20</v>
      </c>
      <c r="I55" s="134">
        <v>85200410040073</v>
      </c>
      <c r="J55" s="92" t="s">
        <v>41</v>
      </c>
      <c r="K55" s="92" t="s">
        <v>249</v>
      </c>
      <c r="L55" s="117">
        <v>42643</v>
      </c>
      <c r="M55" s="91" t="s">
        <v>109</v>
      </c>
      <c r="N55" s="91" t="s">
        <v>10</v>
      </c>
      <c r="O55" s="93">
        <v>42709</v>
      </c>
      <c r="P55" s="93" t="s">
        <v>261</v>
      </c>
      <c r="Q55" s="94">
        <v>204</v>
      </c>
      <c r="R55" s="93" t="s">
        <v>99</v>
      </c>
      <c r="S55" s="91">
        <v>91200</v>
      </c>
      <c r="T55" s="91" t="s">
        <v>119</v>
      </c>
      <c r="U55" s="91" t="s">
        <v>101</v>
      </c>
      <c r="V55" s="125">
        <v>1.27</v>
      </c>
      <c r="W55" s="51">
        <v>1</v>
      </c>
      <c r="X55" s="51" t="s">
        <v>133</v>
      </c>
      <c r="Y55" s="51" t="s">
        <v>32</v>
      </c>
      <c r="Z55" s="129">
        <v>0.3175</v>
      </c>
      <c r="AA55" s="129">
        <v>0.95250000000000001</v>
      </c>
    </row>
    <row r="56" spans="1:27" ht="15" customHeight="1" x14ac:dyDescent="0.25">
      <c r="A56" s="51" t="s">
        <v>102</v>
      </c>
      <c r="B56" s="51" t="s">
        <v>277</v>
      </c>
      <c r="C56" s="91">
        <v>8520</v>
      </c>
      <c r="D56" s="91" t="s">
        <v>186</v>
      </c>
      <c r="E56" s="91" t="s">
        <v>15</v>
      </c>
      <c r="F56" s="91">
        <v>199</v>
      </c>
      <c r="G56" s="91" t="s">
        <v>124</v>
      </c>
      <c r="H56" s="91" t="s">
        <v>20</v>
      </c>
      <c r="I56" s="134">
        <v>85200410040074</v>
      </c>
      <c r="J56" s="92" t="s">
        <v>41</v>
      </c>
      <c r="K56" s="92" t="s">
        <v>249</v>
      </c>
      <c r="L56" s="117">
        <v>42643</v>
      </c>
      <c r="M56" s="91" t="s">
        <v>109</v>
      </c>
      <c r="N56" s="91" t="s">
        <v>10</v>
      </c>
      <c r="O56" s="93">
        <v>42709</v>
      </c>
      <c r="P56" s="93" t="s">
        <v>261</v>
      </c>
      <c r="Q56" s="94">
        <v>204</v>
      </c>
      <c r="R56" s="93" t="s">
        <v>99</v>
      </c>
      <c r="S56" s="91">
        <v>110400</v>
      </c>
      <c r="T56" s="91" t="s">
        <v>119</v>
      </c>
      <c r="U56" s="91" t="s">
        <v>101</v>
      </c>
      <c r="V56" s="125">
        <v>1.54</v>
      </c>
      <c r="W56" s="51">
        <v>1</v>
      </c>
      <c r="X56" s="51" t="s">
        <v>133</v>
      </c>
      <c r="Y56" s="51" t="s">
        <v>32</v>
      </c>
      <c r="Z56" s="129">
        <v>0.38500000000000001</v>
      </c>
      <c r="AA56" s="129">
        <v>1.155</v>
      </c>
    </row>
    <row r="57" spans="1:27" ht="15" customHeight="1" x14ac:dyDescent="0.25">
      <c r="A57" s="51" t="s">
        <v>102</v>
      </c>
      <c r="B57" s="51" t="s">
        <v>277</v>
      </c>
      <c r="C57" s="91">
        <v>8520</v>
      </c>
      <c r="D57" s="91" t="s">
        <v>186</v>
      </c>
      <c r="E57" s="91" t="s">
        <v>15</v>
      </c>
      <c r="F57" s="91">
        <v>199</v>
      </c>
      <c r="G57" s="91" t="s">
        <v>124</v>
      </c>
      <c r="H57" s="91" t="s">
        <v>20</v>
      </c>
      <c r="I57" s="134">
        <v>85200410040075</v>
      </c>
      <c r="J57" s="92" t="s">
        <v>41</v>
      </c>
      <c r="K57" s="92" t="s">
        <v>249</v>
      </c>
      <c r="L57" s="117">
        <v>42643</v>
      </c>
      <c r="M57" s="91" t="s">
        <v>109</v>
      </c>
      <c r="N57" s="91" t="s">
        <v>10</v>
      </c>
      <c r="O57" s="93">
        <v>42709</v>
      </c>
      <c r="P57" s="93" t="s">
        <v>261</v>
      </c>
      <c r="Q57" s="94">
        <v>204</v>
      </c>
      <c r="R57" s="93" t="s">
        <v>99</v>
      </c>
      <c r="S57" s="91">
        <v>91200</v>
      </c>
      <c r="T57" s="91" t="s">
        <v>119</v>
      </c>
      <c r="U57" s="91" t="s">
        <v>101</v>
      </c>
      <c r="V57" s="125">
        <v>1.27</v>
      </c>
      <c r="W57" s="51">
        <v>1</v>
      </c>
      <c r="X57" s="51" t="s">
        <v>133</v>
      </c>
      <c r="Y57" s="51" t="s">
        <v>32</v>
      </c>
      <c r="Z57" s="129">
        <v>0.3175</v>
      </c>
      <c r="AA57" s="129">
        <v>0.95250000000000001</v>
      </c>
    </row>
    <row r="58" spans="1:27" ht="15" customHeight="1" x14ac:dyDescent="0.25">
      <c r="A58" s="51" t="s">
        <v>102</v>
      </c>
      <c r="B58" s="51" t="s">
        <v>466</v>
      </c>
      <c r="C58" s="91">
        <v>8520</v>
      </c>
      <c r="D58" s="91" t="s">
        <v>186</v>
      </c>
      <c r="E58" s="91" t="s">
        <v>15</v>
      </c>
      <c r="F58" s="91">
        <v>199</v>
      </c>
      <c r="G58" s="91" t="s">
        <v>124</v>
      </c>
      <c r="H58" s="91" t="s">
        <v>20</v>
      </c>
      <c r="I58" s="134">
        <v>85200410040076</v>
      </c>
      <c r="J58" s="92" t="s">
        <v>41</v>
      </c>
      <c r="K58" s="92" t="s">
        <v>249</v>
      </c>
      <c r="L58" s="117">
        <v>42643</v>
      </c>
      <c r="M58" s="91" t="s">
        <v>109</v>
      </c>
      <c r="N58" s="91" t="s">
        <v>10</v>
      </c>
      <c r="O58" s="93">
        <v>42709</v>
      </c>
      <c r="P58" s="93" t="s">
        <v>261</v>
      </c>
      <c r="Q58" s="94">
        <v>204</v>
      </c>
      <c r="R58" s="93" t="s">
        <v>99</v>
      </c>
      <c r="S58" s="91">
        <v>67200</v>
      </c>
      <c r="T58" s="91" t="s">
        <v>119</v>
      </c>
      <c r="U58" s="91" t="s">
        <v>101</v>
      </c>
      <c r="V58" s="125">
        <v>0.93</v>
      </c>
      <c r="W58" s="51">
        <v>1</v>
      </c>
      <c r="X58" s="51" t="s">
        <v>133</v>
      </c>
      <c r="Y58" s="51" t="s">
        <v>32</v>
      </c>
      <c r="Z58" s="129">
        <v>0.23250000000000001</v>
      </c>
      <c r="AA58" s="129">
        <v>0.69750000000000001</v>
      </c>
    </row>
    <row r="59" spans="1:27" ht="15" customHeight="1" x14ac:dyDescent="0.25">
      <c r="A59" s="51" t="s">
        <v>96</v>
      </c>
      <c r="B59" s="51" t="s">
        <v>96</v>
      </c>
      <c r="C59" s="91">
        <v>8520</v>
      </c>
      <c r="D59" s="91" t="s">
        <v>186</v>
      </c>
      <c r="E59" s="91" t="s">
        <v>15</v>
      </c>
      <c r="F59" s="91">
        <v>3011</v>
      </c>
      <c r="G59" s="91" t="s">
        <v>106</v>
      </c>
      <c r="H59" s="91" t="s">
        <v>20</v>
      </c>
      <c r="I59" s="134">
        <v>85200810000413</v>
      </c>
      <c r="J59" s="92" t="s">
        <v>41</v>
      </c>
      <c r="K59" s="92" t="s">
        <v>139</v>
      </c>
      <c r="L59" s="117">
        <v>42643</v>
      </c>
      <c r="M59" s="91" t="s">
        <v>122</v>
      </c>
      <c r="N59" s="91" t="s">
        <v>9</v>
      </c>
      <c r="O59" s="93">
        <v>42681</v>
      </c>
      <c r="P59" s="93" t="s">
        <v>261</v>
      </c>
      <c r="Q59" s="94">
        <v>232</v>
      </c>
      <c r="R59" s="93" t="s">
        <v>99</v>
      </c>
      <c r="S59" s="91">
        <v>156092.51999999999</v>
      </c>
      <c r="T59" s="91" t="s">
        <v>119</v>
      </c>
      <c r="U59" s="91" t="s">
        <v>101</v>
      </c>
      <c r="V59" s="125">
        <v>2.17</v>
      </c>
      <c r="W59" s="51">
        <v>1</v>
      </c>
      <c r="X59" s="51" t="s">
        <v>140</v>
      </c>
      <c r="Y59" s="51" t="s">
        <v>31</v>
      </c>
      <c r="Z59" s="129">
        <v>1.085</v>
      </c>
      <c r="AA59" s="129">
        <v>1.085</v>
      </c>
    </row>
    <row r="60" spans="1:27" ht="15" customHeight="1" x14ac:dyDescent="0.25">
      <c r="A60" s="51" t="s">
        <v>96</v>
      </c>
      <c r="B60" s="51" t="s">
        <v>96</v>
      </c>
      <c r="C60" s="91">
        <v>8520</v>
      </c>
      <c r="D60" s="91" t="s">
        <v>186</v>
      </c>
      <c r="E60" s="91" t="s">
        <v>15</v>
      </c>
      <c r="F60" s="91">
        <v>3011</v>
      </c>
      <c r="G60" s="91" t="s">
        <v>106</v>
      </c>
      <c r="H60" s="91" t="s">
        <v>20</v>
      </c>
      <c r="I60" s="134">
        <v>85203010001104</v>
      </c>
      <c r="J60" s="92" t="s">
        <v>41</v>
      </c>
      <c r="K60" s="92" t="s">
        <v>139</v>
      </c>
      <c r="L60" s="117">
        <v>42643</v>
      </c>
      <c r="M60" s="91" t="s">
        <v>122</v>
      </c>
      <c r="N60" s="91" t="s">
        <v>9</v>
      </c>
      <c r="O60" s="93">
        <v>42681</v>
      </c>
      <c r="P60" s="93" t="s">
        <v>261</v>
      </c>
      <c r="Q60" s="94">
        <v>232</v>
      </c>
      <c r="R60" s="93" t="s">
        <v>99</v>
      </c>
      <c r="S60" s="91">
        <v>150160</v>
      </c>
      <c r="T60" s="91" t="s">
        <v>119</v>
      </c>
      <c r="U60" s="91" t="s">
        <v>101</v>
      </c>
      <c r="V60" s="125">
        <v>2.09</v>
      </c>
      <c r="W60" s="51">
        <v>1</v>
      </c>
      <c r="X60" s="51" t="s">
        <v>140</v>
      </c>
      <c r="Y60" s="51" t="s">
        <v>31</v>
      </c>
      <c r="Z60" s="129">
        <v>1.0449999999999999</v>
      </c>
      <c r="AA60" s="129">
        <v>1.0449999999999999</v>
      </c>
    </row>
    <row r="61" spans="1:27" ht="15" customHeight="1" x14ac:dyDescent="0.25">
      <c r="A61" s="51" t="s">
        <v>96</v>
      </c>
      <c r="B61" s="51" t="s">
        <v>96</v>
      </c>
      <c r="C61" s="91">
        <v>8520</v>
      </c>
      <c r="D61" s="91" t="s">
        <v>186</v>
      </c>
      <c r="E61" s="91" t="s">
        <v>15</v>
      </c>
      <c r="F61" s="91">
        <v>3011</v>
      </c>
      <c r="G61" s="91" t="s">
        <v>106</v>
      </c>
      <c r="H61" s="91" t="s">
        <v>20</v>
      </c>
      <c r="I61" s="134">
        <v>85201110010268</v>
      </c>
      <c r="J61" s="92" t="s">
        <v>52</v>
      </c>
      <c r="K61" s="92" t="s">
        <v>132</v>
      </c>
      <c r="L61" s="117">
        <v>42646</v>
      </c>
      <c r="M61" s="91" t="s">
        <v>121</v>
      </c>
      <c r="N61" s="91" t="s">
        <v>9</v>
      </c>
      <c r="O61" s="93">
        <v>42681</v>
      </c>
      <c r="P61" s="93" t="s">
        <v>261</v>
      </c>
      <c r="Q61" s="94">
        <v>232</v>
      </c>
      <c r="R61" s="93" t="s">
        <v>99</v>
      </c>
      <c r="S61" s="91">
        <v>329400</v>
      </c>
      <c r="T61" s="91" t="s">
        <v>119</v>
      </c>
      <c r="U61" s="91" t="s">
        <v>101</v>
      </c>
      <c r="V61" s="125">
        <v>4.58</v>
      </c>
      <c r="W61" s="51">
        <v>1</v>
      </c>
      <c r="X61" s="51" t="s">
        <v>138</v>
      </c>
      <c r="Y61" s="51" t="s">
        <v>31</v>
      </c>
      <c r="Z61" s="129">
        <v>2.29</v>
      </c>
      <c r="AA61" s="129">
        <v>2.29</v>
      </c>
    </row>
    <row r="62" spans="1:27" ht="15" customHeight="1" x14ac:dyDescent="0.25">
      <c r="A62" s="51" t="s">
        <v>102</v>
      </c>
      <c r="B62" s="51" t="s">
        <v>223</v>
      </c>
      <c r="C62" s="91">
        <v>8520</v>
      </c>
      <c r="D62" s="91" t="s">
        <v>186</v>
      </c>
      <c r="E62" s="91" t="s">
        <v>15</v>
      </c>
      <c r="F62" s="91">
        <v>199</v>
      </c>
      <c r="G62" s="91" t="s">
        <v>124</v>
      </c>
      <c r="H62" s="91" t="s">
        <v>20</v>
      </c>
      <c r="I62" s="134" t="s">
        <v>192</v>
      </c>
      <c r="J62" s="92" t="s">
        <v>52</v>
      </c>
      <c r="K62" s="92" t="s">
        <v>132</v>
      </c>
      <c r="L62" s="117">
        <v>42579</v>
      </c>
      <c r="M62" s="91" t="s">
        <v>122</v>
      </c>
      <c r="N62" s="91" t="s">
        <v>9</v>
      </c>
      <c r="O62" s="93">
        <v>42586</v>
      </c>
      <c r="P62" s="93" t="s">
        <v>206</v>
      </c>
      <c r="Q62" s="94">
        <v>327</v>
      </c>
      <c r="R62" s="93" t="s">
        <v>99</v>
      </c>
      <c r="S62" s="91">
        <v>110285</v>
      </c>
      <c r="T62" s="91" t="s">
        <v>119</v>
      </c>
      <c r="U62" s="91" t="s">
        <v>101</v>
      </c>
      <c r="V62" s="125">
        <v>1.53</v>
      </c>
      <c r="W62" s="51">
        <v>1</v>
      </c>
      <c r="X62" s="51" t="s">
        <v>140</v>
      </c>
      <c r="Y62" s="51" t="s">
        <v>31</v>
      </c>
      <c r="Z62" s="129">
        <v>0.76500000000000001</v>
      </c>
      <c r="AA62" s="129">
        <v>0.76500000000000001</v>
      </c>
    </row>
    <row r="63" spans="1:27" ht="15" customHeight="1" x14ac:dyDescent="0.25">
      <c r="A63" s="51" t="s">
        <v>102</v>
      </c>
      <c r="B63" s="51" t="s">
        <v>223</v>
      </c>
      <c r="C63" s="91">
        <v>8520</v>
      </c>
      <c r="D63" s="91" t="s">
        <v>186</v>
      </c>
      <c r="E63" s="91" t="s">
        <v>15</v>
      </c>
      <c r="F63" s="91">
        <v>199</v>
      </c>
      <c r="G63" s="91" t="s">
        <v>124</v>
      </c>
      <c r="H63" s="91" t="s">
        <v>20</v>
      </c>
      <c r="I63" s="134" t="s">
        <v>193</v>
      </c>
      <c r="J63" s="92" t="s">
        <v>52</v>
      </c>
      <c r="K63" s="92" t="s">
        <v>132</v>
      </c>
      <c r="L63" s="117">
        <v>42579</v>
      </c>
      <c r="M63" s="91" t="s">
        <v>109</v>
      </c>
      <c r="N63" s="91" t="s">
        <v>10</v>
      </c>
      <c r="O63" s="93">
        <v>42586</v>
      </c>
      <c r="P63" s="93" t="s">
        <v>206</v>
      </c>
      <c r="Q63" s="94">
        <v>327</v>
      </c>
      <c r="R63" s="93" t="s">
        <v>99</v>
      </c>
      <c r="S63" s="91">
        <v>168945</v>
      </c>
      <c r="T63" s="91" t="s">
        <v>119</v>
      </c>
      <c r="U63" s="91" t="s">
        <v>101</v>
      </c>
      <c r="V63" s="125">
        <v>2.35</v>
      </c>
      <c r="W63" s="51">
        <v>1</v>
      </c>
      <c r="X63" s="51" t="s">
        <v>133</v>
      </c>
      <c r="Y63" s="51" t="s">
        <v>32</v>
      </c>
      <c r="Z63" s="129">
        <v>0.58750000000000002</v>
      </c>
      <c r="AA63" s="129">
        <v>1.7625000000000002</v>
      </c>
    </row>
    <row r="64" spans="1:27" ht="15" customHeight="1" x14ac:dyDescent="0.25">
      <c r="A64" s="51" t="s">
        <v>102</v>
      </c>
      <c r="B64" s="51" t="s">
        <v>223</v>
      </c>
      <c r="C64" s="91">
        <v>8520</v>
      </c>
      <c r="D64" s="91" t="s">
        <v>186</v>
      </c>
      <c r="E64" s="91" t="s">
        <v>15</v>
      </c>
      <c r="F64" s="91">
        <v>199</v>
      </c>
      <c r="G64" s="91" t="s">
        <v>124</v>
      </c>
      <c r="H64" s="91" t="s">
        <v>20</v>
      </c>
      <c r="I64" s="134" t="s">
        <v>194</v>
      </c>
      <c r="J64" s="92" t="s">
        <v>52</v>
      </c>
      <c r="K64" s="92" t="s">
        <v>132</v>
      </c>
      <c r="L64" s="117">
        <v>42579</v>
      </c>
      <c r="M64" s="91" t="s">
        <v>122</v>
      </c>
      <c r="N64" s="91" t="s">
        <v>9</v>
      </c>
      <c r="O64" s="93">
        <v>42586</v>
      </c>
      <c r="P64" s="93" t="s">
        <v>206</v>
      </c>
      <c r="Q64" s="94">
        <v>327</v>
      </c>
      <c r="R64" s="93" t="s">
        <v>99</v>
      </c>
      <c r="S64" s="91">
        <v>218135</v>
      </c>
      <c r="T64" s="91" t="s">
        <v>119</v>
      </c>
      <c r="U64" s="91" t="s">
        <v>101</v>
      </c>
      <c r="V64" s="125">
        <v>3.03</v>
      </c>
      <c r="W64" s="51">
        <v>1</v>
      </c>
      <c r="X64" s="51" t="s">
        <v>140</v>
      </c>
      <c r="Y64" s="51" t="s">
        <v>31</v>
      </c>
      <c r="Z64" s="129">
        <v>1.5149999999999999</v>
      </c>
      <c r="AA64" s="129">
        <v>1.5149999999999999</v>
      </c>
    </row>
    <row r="65" spans="1:27" ht="15" customHeight="1" x14ac:dyDescent="0.25">
      <c r="A65" s="51" t="s">
        <v>102</v>
      </c>
      <c r="B65" s="51" t="s">
        <v>223</v>
      </c>
      <c r="C65" s="91">
        <v>8520</v>
      </c>
      <c r="D65" s="91" t="s">
        <v>186</v>
      </c>
      <c r="E65" s="91" t="s">
        <v>15</v>
      </c>
      <c r="F65" s="91">
        <v>199</v>
      </c>
      <c r="G65" s="91" t="s">
        <v>124</v>
      </c>
      <c r="H65" s="91" t="s">
        <v>20</v>
      </c>
      <c r="I65" s="134" t="s">
        <v>195</v>
      </c>
      <c r="J65" s="92" t="s">
        <v>52</v>
      </c>
      <c r="K65" s="92" t="s">
        <v>132</v>
      </c>
      <c r="L65" s="117">
        <v>42579</v>
      </c>
      <c r="M65" s="91" t="s">
        <v>117</v>
      </c>
      <c r="N65" s="91" t="s">
        <v>118</v>
      </c>
      <c r="O65" s="93">
        <v>42586</v>
      </c>
      <c r="P65" s="93" t="s">
        <v>206</v>
      </c>
      <c r="Q65" s="94">
        <v>327</v>
      </c>
      <c r="R65" s="93" t="s">
        <v>99</v>
      </c>
      <c r="S65" s="91">
        <v>239469</v>
      </c>
      <c r="T65" s="91" t="s">
        <v>119</v>
      </c>
      <c r="U65" s="91" t="s">
        <v>101</v>
      </c>
      <c r="V65" s="125">
        <v>3.33</v>
      </c>
      <c r="W65" s="51">
        <v>1</v>
      </c>
      <c r="X65" s="51" t="s">
        <v>13</v>
      </c>
      <c r="Y65" s="51" t="s">
        <v>31</v>
      </c>
      <c r="Z65" s="129">
        <v>1.665</v>
      </c>
      <c r="AA65" s="129">
        <v>1.665</v>
      </c>
    </row>
    <row r="66" spans="1:27" ht="15" customHeight="1" x14ac:dyDescent="0.25">
      <c r="A66" s="51" t="s">
        <v>102</v>
      </c>
      <c r="B66" s="51" t="s">
        <v>223</v>
      </c>
      <c r="C66" s="91">
        <v>8520</v>
      </c>
      <c r="D66" s="91" t="s">
        <v>186</v>
      </c>
      <c r="E66" s="91" t="s">
        <v>15</v>
      </c>
      <c r="F66" s="91">
        <v>199</v>
      </c>
      <c r="G66" s="91" t="s">
        <v>124</v>
      </c>
      <c r="H66" s="91" t="s">
        <v>20</v>
      </c>
      <c r="I66" s="134" t="s">
        <v>196</v>
      </c>
      <c r="J66" s="92" t="s">
        <v>52</v>
      </c>
      <c r="K66" s="92" t="s">
        <v>132</v>
      </c>
      <c r="L66" s="117">
        <v>42579</v>
      </c>
      <c r="M66" s="91" t="s">
        <v>109</v>
      </c>
      <c r="N66" s="91" t="s">
        <v>10</v>
      </c>
      <c r="O66" s="93">
        <v>42586</v>
      </c>
      <c r="P66" s="93" t="s">
        <v>206</v>
      </c>
      <c r="Q66" s="94">
        <v>327</v>
      </c>
      <c r="R66" s="93" t="s">
        <v>99</v>
      </c>
      <c r="S66" s="91">
        <v>459040</v>
      </c>
      <c r="T66" s="91" t="s">
        <v>119</v>
      </c>
      <c r="U66" s="91" t="s">
        <v>101</v>
      </c>
      <c r="V66" s="125">
        <v>6.38</v>
      </c>
      <c r="W66" s="51">
        <v>1</v>
      </c>
      <c r="X66" s="51" t="s">
        <v>133</v>
      </c>
      <c r="Y66" s="51" t="s">
        <v>32</v>
      </c>
      <c r="Z66" s="129">
        <v>1.595</v>
      </c>
      <c r="AA66" s="129">
        <v>4.7850000000000001</v>
      </c>
    </row>
    <row r="67" spans="1:27" ht="15" customHeight="1" x14ac:dyDescent="0.25">
      <c r="A67" s="51" t="s">
        <v>96</v>
      </c>
      <c r="B67" s="51" t="s">
        <v>96</v>
      </c>
      <c r="C67" s="91">
        <v>8520</v>
      </c>
      <c r="D67" s="91" t="s">
        <v>186</v>
      </c>
      <c r="E67" s="91" t="s">
        <v>15</v>
      </c>
      <c r="F67" s="91">
        <v>199</v>
      </c>
      <c r="G67" s="91" t="s">
        <v>124</v>
      </c>
      <c r="H67" s="91" t="s">
        <v>20</v>
      </c>
      <c r="I67" s="134">
        <v>85201210002664</v>
      </c>
      <c r="J67" s="92" t="s">
        <v>52</v>
      </c>
      <c r="K67" s="92" t="s">
        <v>132</v>
      </c>
      <c r="L67" s="117">
        <v>42583</v>
      </c>
      <c r="M67" s="91" t="s">
        <v>109</v>
      </c>
      <c r="N67" s="91" t="s">
        <v>10</v>
      </c>
      <c r="O67" s="93">
        <v>42648</v>
      </c>
      <c r="P67" s="93" t="s">
        <v>206</v>
      </c>
      <c r="Q67" s="94">
        <v>265</v>
      </c>
      <c r="R67" s="93" t="s">
        <v>99</v>
      </c>
      <c r="S67" s="91">
        <v>316800</v>
      </c>
      <c r="T67" s="91" t="s">
        <v>119</v>
      </c>
      <c r="U67" s="91" t="s">
        <v>101</v>
      </c>
      <c r="V67" s="125">
        <v>4.41</v>
      </c>
      <c r="W67" s="51">
        <v>1</v>
      </c>
      <c r="X67" s="51" t="s">
        <v>133</v>
      </c>
      <c r="Y67" s="51" t="s">
        <v>32</v>
      </c>
      <c r="Z67" s="129">
        <v>1.1025</v>
      </c>
      <c r="AA67" s="129">
        <v>3.3075000000000001</v>
      </c>
    </row>
    <row r="68" spans="1:27" ht="15" customHeight="1" x14ac:dyDescent="0.25">
      <c r="A68" s="51" t="s">
        <v>96</v>
      </c>
      <c r="B68" s="51" t="s">
        <v>96</v>
      </c>
      <c r="C68" s="91">
        <v>8520</v>
      </c>
      <c r="D68" s="91" t="s">
        <v>186</v>
      </c>
      <c r="E68" s="91" t="s">
        <v>15</v>
      </c>
      <c r="F68" s="91">
        <v>9701</v>
      </c>
      <c r="G68" s="91" t="s">
        <v>173</v>
      </c>
      <c r="H68" s="91" t="s">
        <v>14</v>
      </c>
      <c r="I68" s="134">
        <v>85200710012477</v>
      </c>
      <c r="J68" s="92" t="s">
        <v>37</v>
      </c>
      <c r="K68" s="92" t="s">
        <v>199</v>
      </c>
      <c r="L68" s="117">
        <v>42583</v>
      </c>
      <c r="M68" s="91" t="s">
        <v>104</v>
      </c>
      <c r="N68" s="91" t="s">
        <v>9</v>
      </c>
      <c r="O68" s="93">
        <v>42615</v>
      </c>
      <c r="P68" s="93" t="s">
        <v>206</v>
      </c>
      <c r="Q68" s="94">
        <v>298</v>
      </c>
      <c r="R68" s="93" t="s">
        <v>99</v>
      </c>
      <c r="S68" s="91">
        <v>-209034</v>
      </c>
      <c r="T68" s="91" t="s">
        <v>119</v>
      </c>
      <c r="U68" s="91" t="s">
        <v>101</v>
      </c>
      <c r="V68" s="125">
        <v>-2.91</v>
      </c>
      <c r="W68" s="51">
        <v>1</v>
      </c>
      <c r="X68" s="51" t="s">
        <v>134</v>
      </c>
      <c r="Y68" s="51" t="s">
        <v>31</v>
      </c>
      <c r="Z68" s="129">
        <v>-1.4550000000000001</v>
      </c>
      <c r="AA68" s="129">
        <v>-1.4550000000000001</v>
      </c>
    </row>
    <row r="69" spans="1:27" ht="15" customHeight="1" x14ac:dyDescent="0.25">
      <c r="A69" s="51" t="s">
        <v>102</v>
      </c>
      <c r="B69" s="51" t="s">
        <v>466</v>
      </c>
      <c r="C69" s="91">
        <v>8520</v>
      </c>
      <c r="D69" s="91" t="s">
        <v>186</v>
      </c>
      <c r="E69" s="91" t="s">
        <v>15</v>
      </c>
      <c r="F69" s="91">
        <v>199</v>
      </c>
      <c r="G69" s="91" t="s">
        <v>124</v>
      </c>
      <c r="H69" s="91" t="s">
        <v>20</v>
      </c>
      <c r="I69" s="134">
        <v>85200710012569</v>
      </c>
      <c r="J69" s="92" t="s">
        <v>47</v>
      </c>
      <c r="K69" s="92" t="s">
        <v>142</v>
      </c>
      <c r="L69" s="117">
        <v>42583</v>
      </c>
      <c r="M69" s="91" t="s">
        <v>109</v>
      </c>
      <c r="N69" s="91" t="s">
        <v>10</v>
      </c>
      <c r="O69" s="93">
        <v>42648</v>
      </c>
      <c r="P69" s="93" t="s">
        <v>206</v>
      </c>
      <c r="Q69" s="94">
        <v>265</v>
      </c>
      <c r="R69" s="93" t="s">
        <v>99</v>
      </c>
      <c r="S69" s="91">
        <v>29600</v>
      </c>
      <c r="T69" s="91" t="s">
        <v>119</v>
      </c>
      <c r="U69" s="91" t="s">
        <v>101</v>
      </c>
      <c r="V69" s="125">
        <v>0.41</v>
      </c>
      <c r="W69" s="51">
        <v>1</v>
      </c>
      <c r="X69" s="51" t="s">
        <v>133</v>
      </c>
      <c r="Y69" s="51" t="s">
        <v>32</v>
      </c>
      <c r="Z69" s="129">
        <v>0.10249999999999999</v>
      </c>
      <c r="AA69" s="129">
        <v>0.3075</v>
      </c>
    </row>
    <row r="70" spans="1:27" ht="15" customHeight="1" x14ac:dyDescent="0.25">
      <c r="A70" s="51" t="s">
        <v>102</v>
      </c>
      <c r="B70" s="51" t="s">
        <v>466</v>
      </c>
      <c r="C70" s="91">
        <v>8520</v>
      </c>
      <c r="D70" s="91" t="s">
        <v>186</v>
      </c>
      <c r="E70" s="91" t="s">
        <v>15</v>
      </c>
      <c r="F70" s="91">
        <v>8420</v>
      </c>
      <c r="G70" s="91" t="s">
        <v>120</v>
      </c>
      <c r="H70" s="91" t="s">
        <v>15</v>
      </c>
      <c r="I70" s="134">
        <v>85200310077649</v>
      </c>
      <c r="J70" s="92" t="s">
        <v>41</v>
      </c>
      <c r="K70" s="92" t="s">
        <v>141</v>
      </c>
      <c r="L70" s="117">
        <v>42430</v>
      </c>
      <c r="M70" s="91" t="s">
        <v>121</v>
      </c>
      <c r="N70" s="91" t="s">
        <v>9</v>
      </c>
      <c r="O70" s="93">
        <v>42495</v>
      </c>
      <c r="P70" s="93" t="s">
        <v>207</v>
      </c>
      <c r="Q70" s="94">
        <v>418</v>
      </c>
      <c r="R70" s="93" t="s">
        <v>252</v>
      </c>
      <c r="S70" s="91">
        <v>1625000</v>
      </c>
      <c r="T70" s="91" t="s">
        <v>119</v>
      </c>
      <c r="U70" s="91" t="s">
        <v>105</v>
      </c>
      <c r="V70" s="125">
        <v>22.6</v>
      </c>
      <c r="W70" s="51">
        <v>1</v>
      </c>
      <c r="X70" s="51" t="s">
        <v>138</v>
      </c>
      <c r="Y70" s="51" t="s">
        <v>31</v>
      </c>
      <c r="Z70" s="129">
        <v>11.3</v>
      </c>
      <c r="AA70" s="129">
        <v>11.3</v>
      </c>
    </row>
    <row r="71" spans="1:27" ht="15" customHeight="1" x14ac:dyDescent="0.25">
      <c r="A71" s="51" t="s">
        <v>102</v>
      </c>
      <c r="B71" s="51" t="s">
        <v>466</v>
      </c>
      <c r="C71" s="91">
        <v>8520</v>
      </c>
      <c r="D71" s="91" t="s">
        <v>186</v>
      </c>
      <c r="E71" s="91" t="s">
        <v>15</v>
      </c>
      <c r="F71" s="91">
        <v>8110</v>
      </c>
      <c r="G71" s="91" t="s">
        <v>97</v>
      </c>
      <c r="H71" s="91" t="s">
        <v>25</v>
      </c>
      <c r="I71" s="134">
        <v>85200630003360</v>
      </c>
      <c r="J71" s="92" t="s">
        <v>56</v>
      </c>
      <c r="K71" s="92" t="s">
        <v>271</v>
      </c>
      <c r="L71" s="117">
        <v>42704</v>
      </c>
      <c r="M71" s="91" t="s">
        <v>98</v>
      </c>
      <c r="N71" s="91" t="s">
        <v>9</v>
      </c>
      <c r="O71" s="93">
        <v>42709</v>
      </c>
      <c r="P71" s="93" t="s">
        <v>261</v>
      </c>
      <c r="Q71" s="94">
        <v>204</v>
      </c>
      <c r="R71" s="93" t="s">
        <v>99</v>
      </c>
      <c r="S71" s="91">
        <v>52766</v>
      </c>
      <c r="T71" s="91" t="s">
        <v>119</v>
      </c>
      <c r="U71" s="91" t="s">
        <v>101</v>
      </c>
      <c r="V71" s="125">
        <v>0.73</v>
      </c>
      <c r="W71" s="51">
        <v>1</v>
      </c>
      <c r="X71" s="51" t="s">
        <v>135</v>
      </c>
      <c r="Y71" s="51" t="s">
        <v>30</v>
      </c>
      <c r="Z71" s="129">
        <v>0.73</v>
      </c>
      <c r="AA71" s="129">
        <v>0</v>
      </c>
    </row>
    <row r="72" spans="1:27" ht="15" customHeight="1" x14ac:dyDescent="0.25">
      <c r="A72" s="51" t="s">
        <v>102</v>
      </c>
      <c r="B72" s="51" t="s">
        <v>466</v>
      </c>
      <c r="C72" s="91">
        <v>8520</v>
      </c>
      <c r="D72" s="91" t="s">
        <v>186</v>
      </c>
      <c r="E72" s="91" t="s">
        <v>15</v>
      </c>
      <c r="F72" s="91">
        <v>8420</v>
      </c>
      <c r="G72" s="91" t="s">
        <v>120</v>
      </c>
      <c r="H72" s="91" t="s">
        <v>15</v>
      </c>
      <c r="I72" s="134">
        <v>85200910002135</v>
      </c>
      <c r="J72" s="92" t="s">
        <v>54</v>
      </c>
      <c r="K72" s="92" t="s">
        <v>137</v>
      </c>
      <c r="L72" s="117">
        <v>42704</v>
      </c>
      <c r="M72" s="91" t="s">
        <v>121</v>
      </c>
      <c r="N72" s="91" t="s">
        <v>9</v>
      </c>
      <c r="O72" s="93">
        <v>42732</v>
      </c>
      <c r="P72" s="93" t="s">
        <v>261</v>
      </c>
      <c r="Q72" s="94">
        <v>181</v>
      </c>
      <c r="R72" s="93" t="s">
        <v>99</v>
      </c>
      <c r="S72" s="91">
        <v>71829</v>
      </c>
      <c r="T72" s="91" t="s">
        <v>119</v>
      </c>
      <c r="U72" s="91" t="s">
        <v>105</v>
      </c>
      <c r="V72" s="125">
        <v>1</v>
      </c>
      <c r="W72" s="51">
        <v>1</v>
      </c>
      <c r="X72" s="51" t="s">
        <v>138</v>
      </c>
      <c r="Y72" s="51" t="s">
        <v>31</v>
      </c>
      <c r="Z72" s="129">
        <v>0.5</v>
      </c>
      <c r="AA72" s="129">
        <v>0.5</v>
      </c>
    </row>
    <row r="73" spans="1:27" x14ac:dyDescent="0.25">
      <c r="A73" s="51" t="s">
        <v>102</v>
      </c>
      <c r="B73" s="51" t="s">
        <v>466</v>
      </c>
      <c r="C73" s="91">
        <v>8520</v>
      </c>
      <c r="D73" s="91" t="s">
        <v>186</v>
      </c>
      <c r="E73" s="91" t="s">
        <v>15</v>
      </c>
      <c r="F73" s="91">
        <v>8420</v>
      </c>
      <c r="G73" s="91" t="s">
        <v>120</v>
      </c>
      <c r="H73" s="91" t="s">
        <v>15</v>
      </c>
      <c r="I73" s="134">
        <v>85200310085986</v>
      </c>
      <c r="J73" s="92" t="s">
        <v>54</v>
      </c>
      <c r="K73" s="92" t="s">
        <v>137</v>
      </c>
      <c r="L73" s="117">
        <v>42704</v>
      </c>
      <c r="M73" s="91" t="s">
        <v>121</v>
      </c>
      <c r="N73" s="91" t="s">
        <v>9</v>
      </c>
      <c r="O73" s="93">
        <v>42732</v>
      </c>
      <c r="P73" s="93" t="s">
        <v>261</v>
      </c>
      <c r="Q73" s="94">
        <v>181</v>
      </c>
      <c r="R73" s="93" t="s">
        <v>99</v>
      </c>
      <c r="S73" s="91">
        <v>166959</v>
      </c>
      <c r="T73" s="91" t="s">
        <v>119</v>
      </c>
      <c r="U73" s="91" t="s">
        <v>105</v>
      </c>
      <c r="V73" s="125">
        <v>2.3199999999999998</v>
      </c>
      <c r="W73" s="51">
        <v>1</v>
      </c>
      <c r="X73" s="51" t="s">
        <v>138</v>
      </c>
      <c r="Y73" s="51" t="s">
        <v>31</v>
      </c>
      <c r="Z73" s="129">
        <v>1.1599999999999999</v>
      </c>
      <c r="AA73" s="129">
        <v>1.1599999999999999</v>
      </c>
    </row>
    <row r="74" spans="1:27" ht="15" customHeight="1" x14ac:dyDescent="0.25">
      <c r="A74" s="51" t="s">
        <v>102</v>
      </c>
      <c r="B74" s="51" t="s">
        <v>466</v>
      </c>
      <c r="C74" s="91">
        <v>8520</v>
      </c>
      <c r="D74" s="91" t="s">
        <v>186</v>
      </c>
      <c r="E74" s="91" t="s">
        <v>15</v>
      </c>
      <c r="F74" s="91">
        <v>8420</v>
      </c>
      <c r="G74" s="91" t="s">
        <v>120</v>
      </c>
      <c r="H74" s="91" t="s">
        <v>15</v>
      </c>
      <c r="I74" s="134">
        <v>85202710000490</v>
      </c>
      <c r="J74" s="92" t="s">
        <v>54</v>
      </c>
      <c r="K74" s="92" t="s">
        <v>137</v>
      </c>
      <c r="L74" s="117">
        <v>42704</v>
      </c>
      <c r="M74" s="91" t="s">
        <v>121</v>
      </c>
      <c r="N74" s="91" t="s">
        <v>9</v>
      </c>
      <c r="O74" s="93">
        <v>42732</v>
      </c>
      <c r="P74" s="93" t="s">
        <v>261</v>
      </c>
      <c r="Q74" s="94">
        <v>181</v>
      </c>
      <c r="R74" s="93" t="s">
        <v>99</v>
      </c>
      <c r="S74" s="91">
        <v>137628</v>
      </c>
      <c r="T74" s="91" t="s">
        <v>119</v>
      </c>
      <c r="U74" s="91" t="s">
        <v>105</v>
      </c>
      <c r="V74" s="125">
        <v>1.91</v>
      </c>
      <c r="W74" s="51">
        <v>1</v>
      </c>
      <c r="X74" s="51" t="s">
        <v>138</v>
      </c>
      <c r="Y74" s="51" t="s">
        <v>31</v>
      </c>
      <c r="Z74" s="129">
        <v>0.95499999999999996</v>
      </c>
      <c r="AA74" s="129">
        <v>0.95499999999999996</v>
      </c>
    </row>
    <row r="75" spans="1:27" ht="15" customHeight="1" x14ac:dyDescent="0.25">
      <c r="A75" s="51" t="s">
        <v>102</v>
      </c>
      <c r="B75" s="51" t="s">
        <v>466</v>
      </c>
      <c r="C75" s="91">
        <v>8520</v>
      </c>
      <c r="D75" s="91" t="s">
        <v>186</v>
      </c>
      <c r="E75" s="91" t="s">
        <v>15</v>
      </c>
      <c r="F75" s="91">
        <v>8110</v>
      </c>
      <c r="G75" s="91" t="s">
        <v>97</v>
      </c>
      <c r="H75" s="91" t="s">
        <v>25</v>
      </c>
      <c r="I75" s="134">
        <v>85200330013844</v>
      </c>
      <c r="J75" s="92" t="s">
        <v>56</v>
      </c>
      <c r="K75" s="92" t="s">
        <v>271</v>
      </c>
      <c r="L75" s="117">
        <v>42704</v>
      </c>
      <c r="M75" s="91" t="s">
        <v>98</v>
      </c>
      <c r="N75" s="91" t="s">
        <v>9</v>
      </c>
      <c r="O75" s="93">
        <v>42709</v>
      </c>
      <c r="P75" s="93" t="s">
        <v>261</v>
      </c>
      <c r="Q75" s="94">
        <v>204</v>
      </c>
      <c r="R75" s="93" t="s">
        <v>99</v>
      </c>
      <c r="S75" s="91">
        <v>14817</v>
      </c>
      <c r="T75" s="91" t="s">
        <v>119</v>
      </c>
      <c r="U75" s="91" t="s">
        <v>101</v>
      </c>
      <c r="V75" s="125">
        <v>0.21</v>
      </c>
      <c r="W75" s="51">
        <v>1</v>
      </c>
      <c r="X75" s="51" t="s">
        <v>135</v>
      </c>
      <c r="Y75" s="51" t="s">
        <v>30</v>
      </c>
      <c r="Z75" s="129">
        <v>0.21</v>
      </c>
      <c r="AA75" s="129">
        <v>0</v>
      </c>
    </row>
    <row r="76" spans="1:27" ht="15" customHeight="1" x14ac:dyDescent="0.25">
      <c r="A76" s="51" t="s">
        <v>102</v>
      </c>
      <c r="B76" s="51" t="s">
        <v>466</v>
      </c>
      <c r="C76" s="91">
        <v>8520</v>
      </c>
      <c r="D76" s="91" t="s">
        <v>186</v>
      </c>
      <c r="E76" s="91" t="s">
        <v>15</v>
      </c>
      <c r="F76" s="91">
        <v>8110</v>
      </c>
      <c r="G76" s="91" t="s">
        <v>97</v>
      </c>
      <c r="H76" s="91" t="s">
        <v>25</v>
      </c>
      <c r="I76" s="134">
        <v>852031000107</v>
      </c>
      <c r="J76" s="92" t="s">
        <v>56</v>
      </c>
      <c r="K76" s="92" t="s">
        <v>271</v>
      </c>
      <c r="L76" s="117">
        <v>42704</v>
      </c>
      <c r="M76" s="91" t="s">
        <v>98</v>
      </c>
      <c r="N76" s="91" t="s">
        <v>9</v>
      </c>
      <c r="O76" s="93">
        <v>42709</v>
      </c>
      <c r="P76" s="93" t="s">
        <v>261</v>
      </c>
      <c r="Q76" s="94">
        <v>204</v>
      </c>
      <c r="R76" s="93" t="s">
        <v>99</v>
      </c>
      <c r="S76" s="91">
        <v>62479</v>
      </c>
      <c r="T76" s="91" t="s">
        <v>119</v>
      </c>
      <c r="U76" s="91" t="s">
        <v>101</v>
      </c>
      <c r="V76" s="125">
        <v>0.87</v>
      </c>
      <c r="W76" s="51">
        <v>1</v>
      </c>
      <c r="X76" s="51" t="s">
        <v>135</v>
      </c>
      <c r="Y76" s="51" t="s">
        <v>30</v>
      </c>
      <c r="Z76" s="129">
        <v>0.87</v>
      </c>
      <c r="AA76" s="129">
        <v>0</v>
      </c>
    </row>
    <row r="77" spans="1:27" ht="15" customHeight="1" x14ac:dyDescent="0.25">
      <c r="A77" s="51"/>
      <c r="B77" s="51"/>
      <c r="C77" s="91"/>
      <c r="D77" s="91"/>
      <c r="E77" s="91"/>
      <c r="F77" s="91"/>
      <c r="G77" s="91"/>
      <c r="H77" s="91"/>
      <c r="I77" s="134"/>
      <c r="J77" s="92"/>
      <c r="K77" s="92"/>
      <c r="L77" s="117"/>
      <c r="M77" s="91"/>
      <c r="N77" s="91"/>
      <c r="O77" s="93"/>
      <c r="P77" s="93"/>
      <c r="Q77" s="94"/>
      <c r="R77" s="93"/>
      <c r="S77" s="91"/>
      <c r="T77" s="91"/>
      <c r="U77" s="91"/>
      <c r="V77" s="125"/>
      <c r="W77" s="51"/>
      <c r="X77" s="51"/>
      <c r="Y77" s="51"/>
      <c r="Z77" s="129"/>
      <c r="AA77" s="129"/>
    </row>
    <row r="78" spans="1:27" ht="15" customHeight="1" x14ac:dyDescent="0.25">
      <c r="A78" s="51" t="s">
        <v>102</v>
      </c>
      <c r="B78" s="51" t="s">
        <v>262</v>
      </c>
      <c r="C78" s="91">
        <v>902</v>
      </c>
      <c r="D78" s="91" t="s">
        <v>243</v>
      </c>
      <c r="E78" s="91" t="s">
        <v>15</v>
      </c>
      <c r="F78" s="91">
        <v>199</v>
      </c>
      <c r="G78" s="91" t="s">
        <v>124</v>
      </c>
      <c r="H78" s="91" t="s">
        <v>20</v>
      </c>
      <c r="I78" s="134" t="s">
        <v>244</v>
      </c>
      <c r="J78" s="92" t="s">
        <v>52</v>
      </c>
      <c r="K78" s="92" t="s">
        <v>251</v>
      </c>
      <c r="L78" s="117">
        <v>42579</v>
      </c>
      <c r="M78" s="91" t="s">
        <v>109</v>
      </c>
      <c r="N78" s="91" t="s">
        <v>10</v>
      </c>
      <c r="O78" s="93">
        <v>42648</v>
      </c>
      <c r="P78" s="93" t="s">
        <v>206</v>
      </c>
      <c r="Q78" s="94">
        <v>265</v>
      </c>
      <c r="R78" s="93" t="s">
        <v>99</v>
      </c>
      <c r="S78" s="91">
        <v>31880</v>
      </c>
      <c r="T78" s="91" t="s">
        <v>128</v>
      </c>
      <c r="U78" s="91" t="s">
        <v>101</v>
      </c>
      <c r="V78" s="125">
        <v>28.6</v>
      </c>
      <c r="W78" s="51">
        <v>1</v>
      </c>
      <c r="X78" s="51" t="s">
        <v>133</v>
      </c>
      <c r="Y78" s="51" t="s">
        <v>32</v>
      </c>
      <c r="Z78" s="129">
        <v>7.15</v>
      </c>
      <c r="AA78" s="129">
        <v>21.450000000000003</v>
      </c>
    </row>
  </sheetData>
  <dataValidations count="1">
    <dataValidation type="list" allowBlank="1" showInputMessage="1" showErrorMessage="1" sqref="R2">
      <formula1>#REF!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A2"/>
  <sheetViews>
    <sheetView showGridLines="0" workbookViewId="0">
      <pane xSplit="2" ySplit="1" topLeftCell="D2" activePane="bottomRight" state="frozen"/>
      <selection activeCell="D2" sqref="D2"/>
      <selection pane="topRight" activeCell="D2" sqref="D2"/>
      <selection pane="bottomLeft" activeCell="D2" sqref="D2"/>
      <selection pane="bottomRight"/>
    </sheetView>
  </sheetViews>
  <sheetFormatPr defaultRowHeight="15" outlineLevelCol="2" x14ac:dyDescent="0.25"/>
  <cols>
    <col min="1" max="1" width="11.140625" style="135" bestFit="1" customWidth="1"/>
    <col min="2" max="2" width="16.85546875" style="135" bestFit="1" customWidth="1"/>
    <col min="3" max="3" width="13.5703125" style="135" hidden="1" customWidth="1" outlineLevel="1"/>
    <col min="4" max="4" width="57.42578125" style="135" bestFit="1" customWidth="1" collapsed="1"/>
    <col min="5" max="5" width="21" style="135" bestFit="1" customWidth="1"/>
    <col min="6" max="6" width="11.28515625" style="135" hidden="1" customWidth="1" outlineLevel="1"/>
    <col min="7" max="7" width="57.42578125" style="135" bestFit="1" customWidth="1" collapsed="1"/>
    <col min="8" max="8" width="18.85546875" style="135" bestFit="1" customWidth="1"/>
    <col min="9" max="9" width="20.85546875" style="133" bestFit="1" customWidth="1"/>
    <col min="10" max="10" width="21.5703125" style="135" bestFit="1" customWidth="1"/>
    <col min="11" max="11" width="45.7109375" style="135" bestFit="1" customWidth="1"/>
    <col min="12" max="12" width="19.42578125" style="118" bestFit="1" customWidth="1"/>
    <col min="13" max="13" width="39.140625" style="135" bestFit="1" customWidth="1"/>
    <col min="14" max="14" width="32.5703125" style="135" bestFit="1" customWidth="1"/>
    <col min="15" max="15" width="15.85546875" style="135" hidden="1" customWidth="1" outlineLevel="1"/>
    <col min="16" max="16" width="16.5703125" style="135" hidden="1" customWidth="1" outlineLevel="1"/>
    <col min="17" max="17" width="9.140625" style="82" hidden="1" customWidth="1" outlineLevel="1"/>
    <col min="18" max="18" width="14.85546875" style="135" hidden="1" customWidth="1" outlineLevel="1"/>
    <col min="19" max="19" width="7.140625" style="135" hidden="1" customWidth="1" outlineLevel="1"/>
    <col min="20" max="20" width="10.28515625" style="135" hidden="1" customWidth="1" outlineLevel="1"/>
    <col min="21" max="21" width="8.7109375" style="135" hidden="1" customWidth="1" outlineLevel="1"/>
    <col min="22" max="22" width="8.28515625" style="126" customWidth="1" collapsed="1"/>
    <col min="23" max="23" width="11.5703125" style="135" hidden="1" customWidth="1" outlineLevel="1"/>
    <col min="24" max="24" width="11.85546875" style="135" hidden="1" customWidth="1" outlineLevel="2"/>
    <col min="25" max="25" width="23.85546875" style="135" bestFit="1" customWidth="1" collapsed="1"/>
    <col min="26" max="26" width="8.42578125" style="126" bestFit="1" customWidth="1"/>
    <col min="27" max="27" width="14.85546875" style="126" bestFit="1" customWidth="1"/>
    <col min="28" max="16384" width="9.140625" style="135"/>
  </cols>
  <sheetData>
    <row r="1" spans="1:27" ht="36" x14ac:dyDescent="0.25">
      <c r="A1" s="47" t="s">
        <v>96</v>
      </c>
      <c r="B1" s="47" t="s">
        <v>69</v>
      </c>
      <c r="C1" s="48" t="s">
        <v>70</v>
      </c>
      <c r="D1" s="48" t="s">
        <v>71</v>
      </c>
      <c r="E1" s="48" t="s">
        <v>73</v>
      </c>
      <c r="F1" s="48" t="s">
        <v>74</v>
      </c>
      <c r="G1" s="48" t="s">
        <v>75</v>
      </c>
      <c r="H1" s="48" t="s">
        <v>77</v>
      </c>
      <c r="I1" s="131" t="s">
        <v>78</v>
      </c>
      <c r="J1" s="47" t="s">
        <v>29</v>
      </c>
      <c r="K1" s="47" t="s">
        <v>79</v>
      </c>
      <c r="L1" s="116" t="s">
        <v>81</v>
      </c>
      <c r="M1" s="48" t="s">
        <v>82</v>
      </c>
      <c r="N1" s="48" t="s">
        <v>83</v>
      </c>
      <c r="O1" s="48" t="s">
        <v>84</v>
      </c>
      <c r="P1" s="48" t="s">
        <v>85</v>
      </c>
      <c r="Q1" s="50" t="s">
        <v>86</v>
      </c>
      <c r="R1" s="48" t="s">
        <v>87</v>
      </c>
      <c r="S1" s="48" t="s">
        <v>88</v>
      </c>
      <c r="T1" s="48" t="s">
        <v>89</v>
      </c>
      <c r="U1" s="48" t="s">
        <v>90</v>
      </c>
      <c r="V1" s="124" t="s">
        <v>91</v>
      </c>
      <c r="W1" s="48" t="s">
        <v>92</v>
      </c>
      <c r="X1" s="47" t="s">
        <v>93</v>
      </c>
      <c r="Y1" s="47" t="s">
        <v>65</v>
      </c>
      <c r="Z1" s="130" t="s">
        <v>94</v>
      </c>
      <c r="AA1" s="130" t="s">
        <v>95</v>
      </c>
    </row>
    <row r="2" spans="1:27" x14ac:dyDescent="0.25">
      <c r="A2" s="51" t="s">
        <v>102</v>
      </c>
      <c r="B2" s="51" t="s">
        <v>466</v>
      </c>
      <c r="C2" s="91">
        <v>1320</v>
      </c>
      <c r="D2" s="91" t="s">
        <v>123</v>
      </c>
      <c r="E2" s="91" t="s">
        <v>19</v>
      </c>
      <c r="F2" s="91">
        <v>8110</v>
      </c>
      <c r="G2" s="91" t="s">
        <v>97</v>
      </c>
      <c r="H2" s="91" t="s">
        <v>25</v>
      </c>
      <c r="I2" s="134">
        <v>13200110056948</v>
      </c>
      <c r="J2" s="92" t="s">
        <v>39</v>
      </c>
      <c r="K2" s="92" t="s">
        <v>465</v>
      </c>
      <c r="L2" s="117">
        <v>42727</v>
      </c>
      <c r="M2" s="91" t="s">
        <v>208</v>
      </c>
      <c r="N2" s="91" t="s">
        <v>9</v>
      </c>
      <c r="O2" s="93">
        <v>42732</v>
      </c>
      <c r="P2" s="93" t="s">
        <v>261</v>
      </c>
      <c r="Q2" s="94">
        <v>181</v>
      </c>
      <c r="R2" s="93" t="s">
        <v>99</v>
      </c>
      <c r="S2" s="91">
        <v>-227.46</v>
      </c>
      <c r="T2" s="91" t="s">
        <v>128</v>
      </c>
      <c r="U2" s="91" t="s">
        <v>101</v>
      </c>
      <c r="V2" s="125">
        <v>-0.2</v>
      </c>
      <c r="W2" s="51">
        <v>1</v>
      </c>
      <c r="X2" s="51" t="s">
        <v>212</v>
      </c>
      <c r="Y2" s="51" t="s">
        <v>33</v>
      </c>
      <c r="Z2" s="129">
        <v>0</v>
      </c>
      <c r="AA2" s="129">
        <v>-0.2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A27"/>
  <sheetViews>
    <sheetView showGridLines="0" workbookViewId="0">
      <pane xSplit="2" ySplit="1" topLeftCell="D2" activePane="bottomRight" state="frozen"/>
      <selection activeCell="D2" sqref="D2"/>
      <selection pane="topRight" activeCell="D2" sqref="D2"/>
      <selection pane="bottomLeft" activeCell="D2" sqref="D2"/>
      <selection pane="bottomRight"/>
    </sheetView>
  </sheetViews>
  <sheetFormatPr defaultRowHeight="15" outlineLevelCol="2" x14ac:dyDescent="0.25"/>
  <cols>
    <col min="1" max="1" width="11.140625" style="135" bestFit="1" customWidth="1"/>
    <col min="2" max="2" width="16.85546875" style="135" bestFit="1" customWidth="1"/>
    <col min="3" max="3" width="13.5703125" style="135" hidden="1" customWidth="1" outlineLevel="1"/>
    <col min="4" max="4" width="57.42578125" style="135" bestFit="1" customWidth="1" collapsed="1"/>
    <col min="5" max="5" width="21" style="135" bestFit="1" customWidth="1"/>
    <col min="6" max="6" width="11.28515625" style="135" hidden="1" customWidth="1" outlineLevel="1"/>
    <col min="7" max="7" width="57.42578125" style="135" bestFit="1" customWidth="1" collapsed="1"/>
    <col min="8" max="8" width="18.85546875" style="135" bestFit="1" customWidth="1"/>
    <col min="9" max="9" width="20.85546875" style="133" bestFit="1" customWidth="1"/>
    <col min="10" max="10" width="21.5703125" style="135" bestFit="1" customWidth="1"/>
    <col min="11" max="11" width="45.7109375" style="135" bestFit="1" customWidth="1"/>
    <col min="12" max="12" width="19.42578125" style="118" bestFit="1" customWidth="1"/>
    <col min="13" max="13" width="39.140625" style="135" bestFit="1" customWidth="1"/>
    <col min="14" max="14" width="32.5703125" style="135" bestFit="1" customWidth="1"/>
    <col min="15" max="15" width="15.85546875" style="135" hidden="1" customWidth="1" outlineLevel="1"/>
    <col min="16" max="16" width="16.5703125" style="135" hidden="1" customWidth="1" outlineLevel="1"/>
    <col min="17" max="17" width="9.140625" style="82" hidden="1" customWidth="1" outlineLevel="1"/>
    <col min="18" max="18" width="14.85546875" style="135" hidden="1" customWidth="1" outlineLevel="1"/>
    <col min="19" max="19" width="7.140625" style="135" hidden="1" customWidth="1" outlineLevel="1"/>
    <col min="20" max="20" width="10.28515625" style="135" hidden="1" customWidth="1" outlineLevel="1"/>
    <col min="21" max="21" width="8.7109375" style="135" hidden="1" customWidth="1" outlineLevel="1"/>
    <col min="22" max="22" width="8.28515625" style="126" customWidth="1" collapsed="1"/>
    <col min="23" max="23" width="11.5703125" style="135" hidden="1" customWidth="1" outlineLevel="1"/>
    <col min="24" max="24" width="11.85546875" style="135" hidden="1" customWidth="1" outlineLevel="2"/>
    <col min="25" max="25" width="23.85546875" style="135" bestFit="1" customWidth="1" collapsed="1"/>
    <col min="26" max="26" width="8.42578125" style="126" bestFit="1" customWidth="1"/>
    <col min="27" max="27" width="14.85546875" style="126" bestFit="1" customWidth="1"/>
    <col min="28" max="16384" width="9.140625" style="135"/>
  </cols>
  <sheetData>
    <row r="1" spans="1:27" ht="36" x14ac:dyDescent="0.25">
      <c r="A1" s="47" t="s">
        <v>96</v>
      </c>
      <c r="B1" s="47" t="s">
        <v>69</v>
      </c>
      <c r="C1" s="48" t="s">
        <v>70</v>
      </c>
      <c r="D1" s="48" t="s">
        <v>71</v>
      </c>
      <c r="E1" s="48" t="s">
        <v>73</v>
      </c>
      <c r="F1" s="48" t="s">
        <v>74</v>
      </c>
      <c r="G1" s="48" t="s">
        <v>75</v>
      </c>
      <c r="H1" s="48" t="s">
        <v>77</v>
      </c>
      <c r="I1" s="131" t="s">
        <v>78</v>
      </c>
      <c r="J1" s="47" t="s">
        <v>29</v>
      </c>
      <c r="K1" s="47" t="s">
        <v>79</v>
      </c>
      <c r="L1" s="116" t="s">
        <v>81</v>
      </c>
      <c r="M1" s="48" t="s">
        <v>82</v>
      </c>
      <c r="N1" s="48" t="s">
        <v>83</v>
      </c>
      <c r="O1" s="48" t="s">
        <v>84</v>
      </c>
      <c r="P1" s="48" t="s">
        <v>85</v>
      </c>
      <c r="Q1" s="50" t="s">
        <v>86</v>
      </c>
      <c r="R1" s="48" t="s">
        <v>87</v>
      </c>
      <c r="S1" s="48" t="s">
        <v>88</v>
      </c>
      <c r="T1" s="48" t="s">
        <v>89</v>
      </c>
      <c r="U1" s="48" t="s">
        <v>90</v>
      </c>
      <c r="V1" s="124" t="s">
        <v>91</v>
      </c>
      <c r="W1" s="48" t="s">
        <v>92</v>
      </c>
      <c r="X1" s="47" t="s">
        <v>93</v>
      </c>
      <c r="Y1" s="47" t="s">
        <v>65</v>
      </c>
      <c r="Z1" s="130" t="s">
        <v>94</v>
      </c>
      <c r="AA1" s="130" t="s">
        <v>95</v>
      </c>
    </row>
    <row r="2" spans="1:27" x14ac:dyDescent="0.25">
      <c r="A2" s="51" t="s">
        <v>96</v>
      </c>
      <c r="B2" s="51" t="s">
        <v>96</v>
      </c>
      <c r="C2" s="91">
        <v>199</v>
      </c>
      <c r="D2" s="91" t="s">
        <v>124</v>
      </c>
      <c r="E2" s="91" t="s">
        <v>20</v>
      </c>
      <c r="F2" s="91">
        <v>8243</v>
      </c>
      <c r="G2" s="91" t="s">
        <v>125</v>
      </c>
      <c r="H2" s="91" t="s">
        <v>14</v>
      </c>
      <c r="I2" s="134">
        <v>1990110057418</v>
      </c>
      <c r="J2" s="92" t="s">
        <v>43</v>
      </c>
      <c r="K2" s="92" t="s">
        <v>275</v>
      </c>
      <c r="L2" s="117">
        <v>42636</v>
      </c>
      <c r="M2" s="91" t="s">
        <v>117</v>
      </c>
      <c r="N2" s="91" t="s">
        <v>118</v>
      </c>
      <c r="O2" s="93">
        <v>42708</v>
      </c>
      <c r="P2" s="93" t="s">
        <v>261</v>
      </c>
      <c r="Q2" s="94">
        <v>205</v>
      </c>
      <c r="R2" s="93" t="s">
        <v>99</v>
      </c>
      <c r="S2" s="91">
        <v>46779</v>
      </c>
      <c r="T2" s="91" t="s">
        <v>128</v>
      </c>
      <c r="U2" s="91" t="s">
        <v>101</v>
      </c>
      <c r="V2" s="125">
        <v>41.97</v>
      </c>
      <c r="W2" s="51">
        <v>1</v>
      </c>
      <c r="X2" s="51" t="s">
        <v>13</v>
      </c>
      <c r="Y2" s="51" t="s">
        <v>31</v>
      </c>
      <c r="Z2" s="129">
        <v>20.984999999999999</v>
      </c>
      <c r="AA2" s="129">
        <v>20.984999999999999</v>
      </c>
    </row>
    <row r="3" spans="1:27" x14ac:dyDescent="0.25">
      <c r="A3" s="51" t="s">
        <v>96</v>
      </c>
      <c r="B3" s="51" t="s">
        <v>96</v>
      </c>
      <c r="C3" s="91">
        <v>199</v>
      </c>
      <c r="D3" s="91" t="s">
        <v>124</v>
      </c>
      <c r="E3" s="91" t="s">
        <v>20</v>
      </c>
      <c r="F3" s="91">
        <v>8243</v>
      </c>
      <c r="G3" s="91" t="s">
        <v>125</v>
      </c>
      <c r="H3" s="91" t="s">
        <v>14</v>
      </c>
      <c r="I3" s="134">
        <v>1990110057419</v>
      </c>
      <c r="J3" s="92" t="s">
        <v>43</v>
      </c>
      <c r="K3" s="92" t="s">
        <v>275</v>
      </c>
      <c r="L3" s="117">
        <v>42636</v>
      </c>
      <c r="M3" s="91" t="s">
        <v>117</v>
      </c>
      <c r="N3" s="91" t="s">
        <v>118</v>
      </c>
      <c r="O3" s="93">
        <v>42708</v>
      </c>
      <c r="P3" s="93" t="s">
        <v>261</v>
      </c>
      <c r="Q3" s="94">
        <v>205</v>
      </c>
      <c r="R3" s="93" t="s">
        <v>99</v>
      </c>
      <c r="S3" s="91">
        <v>65777</v>
      </c>
      <c r="T3" s="91" t="s">
        <v>128</v>
      </c>
      <c r="U3" s="91" t="s">
        <v>101</v>
      </c>
      <c r="V3" s="125">
        <v>59.01</v>
      </c>
      <c r="W3" s="51">
        <v>1</v>
      </c>
      <c r="X3" s="51" t="s">
        <v>13</v>
      </c>
      <c r="Y3" s="51" t="s">
        <v>31</v>
      </c>
      <c r="Z3" s="129">
        <v>29.504999999999999</v>
      </c>
      <c r="AA3" s="129">
        <v>29.504999999999999</v>
      </c>
    </row>
    <row r="4" spans="1:27" x14ac:dyDescent="0.25">
      <c r="A4" s="51" t="s">
        <v>96</v>
      </c>
      <c r="B4" s="51" t="s">
        <v>96</v>
      </c>
      <c r="C4" s="91">
        <v>199</v>
      </c>
      <c r="D4" s="91" t="s">
        <v>124</v>
      </c>
      <c r="E4" s="91" t="s">
        <v>20</v>
      </c>
      <c r="F4" s="91">
        <v>8243</v>
      </c>
      <c r="G4" s="91" t="s">
        <v>125</v>
      </c>
      <c r="H4" s="91" t="s">
        <v>14</v>
      </c>
      <c r="I4" s="134">
        <v>1990110057492</v>
      </c>
      <c r="J4" s="92" t="s">
        <v>43</v>
      </c>
      <c r="K4" s="92" t="s">
        <v>275</v>
      </c>
      <c r="L4" s="117">
        <v>42639</v>
      </c>
      <c r="M4" s="91" t="s">
        <v>117</v>
      </c>
      <c r="N4" s="91" t="s">
        <v>118</v>
      </c>
      <c r="O4" s="93">
        <v>42708</v>
      </c>
      <c r="P4" s="93" t="s">
        <v>261</v>
      </c>
      <c r="Q4" s="94">
        <v>205</v>
      </c>
      <c r="R4" s="93" t="s">
        <v>99</v>
      </c>
      <c r="S4" s="91">
        <v>60879</v>
      </c>
      <c r="T4" s="91" t="s">
        <v>128</v>
      </c>
      <c r="U4" s="91" t="s">
        <v>101</v>
      </c>
      <c r="V4" s="125">
        <v>54.61</v>
      </c>
      <c r="W4" s="51">
        <v>1</v>
      </c>
      <c r="X4" s="51" t="s">
        <v>13</v>
      </c>
      <c r="Y4" s="51" t="s">
        <v>31</v>
      </c>
      <c r="Z4" s="129">
        <v>27.305</v>
      </c>
      <c r="AA4" s="129">
        <v>27.305</v>
      </c>
    </row>
    <row r="5" spans="1:27" x14ac:dyDescent="0.25">
      <c r="A5" s="51" t="s">
        <v>102</v>
      </c>
      <c r="B5" s="51" t="s">
        <v>466</v>
      </c>
      <c r="C5" s="91">
        <v>199</v>
      </c>
      <c r="D5" s="91" t="s">
        <v>124</v>
      </c>
      <c r="E5" s="91" t="s">
        <v>20</v>
      </c>
      <c r="F5" s="91">
        <v>1350</v>
      </c>
      <c r="G5" s="91" t="s">
        <v>115</v>
      </c>
      <c r="H5" s="91" t="s">
        <v>19</v>
      </c>
      <c r="I5" s="134">
        <v>199030003062</v>
      </c>
      <c r="J5" s="92" t="s">
        <v>37</v>
      </c>
      <c r="K5" s="92" t="s">
        <v>260</v>
      </c>
      <c r="L5" s="117">
        <v>42640</v>
      </c>
      <c r="M5" s="91" t="s">
        <v>117</v>
      </c>
      <c r="N5" s="91" t="s">
        <v>118</v>
      </c>
      <c r="O5" s="93">
        <v>42706</v>
      </c>
      <c r="P5" s="93" t="s">
        <v>261</v>
      </c>
      <c r="Q5" s="94">
        <v>207</v>
      </c>
      <c r="R5" s="93" t="s">
        <v>99</v>
      </c>
      <c r="S5" s="91">
        <v>55014.21</v>
      </c>
      <c r="T5" s="91" t="s">
        <v>128</v>
      </c>
      <c r="U5" s="91" t="s">
        <v>101</v>
      </c>
      <c r="V5" s="125">
        <v>49.35</v>
      </c>
      <c r="W5" s="51">
        <v>1</v>
      </c>
      <c r="X5" s="51" t="s">
        <v>13</v>
      </c>
      <c r="Y5" s="51" t="s">
        <v>31</v>
      </c>
      <c r="Z5" s="129">
        <v>24.675000000000001</v>
      </c>
      <c r="AA5" s="129">
        <v>24.675000000000001</v>
      </c>
    </row>
    <row r="6" spans="1:27" ht="15" customHeight="1" x14ac:dyDescent="0.25">
      <c r="A6" s="51" t="s">
        <v>102</v>
      </c>
      <c r="B6" s="51" t="s">
        <v>223</v>
      </c>
      <c r="C6" s="91">
        <v>199</v>
      </c>
      <c r="D6" s="91" t="s">
        <v>124</v>
      </c>
      <c r="E6" s="91" t="s">
        <v>20</v>
      </c>
      <c r="F6" s="91">
        <v>8110</v>
      </c>
      <c r="G6" s="91" t="s">
        <v>97</v>
      </c>
      <c r="H6" s="91" t="s">
        <v>25</v>
      </c>
      <c r="I6" s="134" t="s">
        <v>197</v>
      </c>
      <c r="J6" s="92" t="s">
        <v>56</v>
      </c>
      <c r="K6" s="92" t="s">
        <v>203</v>
      </c>
      <c r="L6" s="117">
        <v>42583</v>
      </c>
      <c r="M6" s="91" t="s">
        <v>98</v>
      </c>
      <c r="N6" s="91" t="s">
        <v>9</v>
      </c>
      <c r="O6" s="93">
        <v>42586</v>
      </c>
      <c r="P6" s="93" t="s">
        <v>206</v>
      </c>
      <c r="Q6" s="94">
        <v>327</v>
      </c>
      <c r="R6" s="93" t="s">
        <v>99</v>
      </c>
      <c r="S6" s="91">
        <v>46443.83</v>
      </c>
      <c r="T6" s="91" t="s">
        <v>128</v>
      </c>
      <c r="U6" s="91" t="s">
        <v>101</v>
      </c>
      <c r="V6" s="125">
        <v>41.66</v>
      </c>
      <c r="W6" s="51">
        <v>1</v>
      </c>
      <c r="X6" s="51" t="s">
        <v>135</v>
      </c>
      <c r="Y6" s="51" t="s">
        <v>30</v>
      </c>
      <c r="Z6" s="129">
        <v>41.66</v>
      </c>
      <c r="AA6" s="129">
        <v>0</v>
      </c>
    </row>
    <row r="7" spans="1:27" ht="15" customHeight="1" x14ac:dyDescent="0.25">
      <c r="A7" s="51" t="s">
        <v>96</v>
      </c>
      <c r="B7" s="51" t="s">
        <v>96</v>
      </c>
      <c r="C7" s="91">
        <v>199</v>
      </c>
      <c r="D7" s="91" t="s">
        <v>124</v>
      </c>
      <c r="E7" s="91" t="s">
        <v>20</v>
      </c>
      <c r="F7" s="91">
        <v>8105</v>
      </c>
      <c r="G7" s="91" t="s">
        <v>191</v>
      </c>
      <c r="H7" s="91" t="s">
        <v>20</v>
      </c>
      <c r="I7" s="134">
        <v>199030003187</v>
      </c>
      <c r="J7" s="92" t="s">
        <v>56</v>
      </c>
      <c r="K7" s="92" t="s">
        <v>203</v>
      </c>
      <c r="L7" s="117">
        <v>42667</v>
      </c>
      <c r="M7" s="91" t="s">
        <v>98</v>
      </c>
      <c r="N7" s="91" t="s">
        <v>9</v>
      </c>
      <c r="O7" s="93">
        <v>42732</v>
      </c>
      <c r="P7" s="93" t="s">
        <v>261</v>
      </c>
      <c r="Q7" s="94">
        <v>181</v>
      </c>
      <c r="R7" s="93" t="s">
        <v>99</v>
      </c>
      <c r="S7" s="91">
        <v>13037.7</v>
      </c>
      <c r="T7" s="91" t="s">
        <v>128</v>
      </c>
      <c r="U7" s="91" t="s">
        <v>105</v>
      </c>
      <c r="V7" s="125">
        <v>11.7</v>
      </c>
      <c r="W7" s="51">
        <v>1</v>
      </c>
      <c r="X7" s="51" t="s">
        <v>135</v>
      </c>
      <c r="Y7" s="51" t="s">
        <v>30</v>
      </c>
      <c r="Z7" s="129">
        <v>11.7</v>
      </c>
      <c r="AA7" s="129">
        <v>0</v>
      </c>
    </row>
    <row r="8" spans="1:27" x14ac:dyDescent="0.25">
      <c r="A8" s="51" t="s">
        <v>96</v>
      </c>
      <c r="B8" s="51" t="s">
        <v>96</v>
      </c>
      <c r="C8" s="91">
        <v>199</v>
      </c>
      <c r="D8" s="91" t="s">
        <v>124</v>
      </c>
      <c r="E8" s="91" t="s">
        <v>20</v>
      </c>
      <c r="F8" s="91">
        <v>132</v>
      </c>
      <c r="G8" s="91" t="s">
        <v>189</v>
      </c>
      <c r="H8" s="91" t="s">
        <v>20</v>
      </c>
      <c r="I8" s="134">
        <v>199030003131</v>
      </c>
      <c r="J8" s="92" t="s">
        <v>41</v>
      </c>
      <c r="K8" s="92" t="s">
        <v>276</v>
      </c>
      <c r="L8" s="117">
        <v>42642</v>
      </c>
      <c r="M8" s="91" t="s">
        <v>122</v>
      </c>
      <c r="N8" s="91" t="s">
        <v>9</v>
      </c>
      <c r="O8" s="93">
        <v>42706</v>
      </c>
      <c r="P8" s="93" t="s">
        <v>261</v>
      </c>
      <c r="Q8" s="94">
        <v>207</v>
      </c>
      <c r="R8" s="93" t="s">
        <v>99</v>
      </c>
      <c r="S8" s="91">
        <v>36673</v>
      </c>
      <c r="T8" s="91" t="s">
        <v>128</v>
      </c>
      <c r="U8" s="91" t="s">
        <v>105</v>
      </c>
      <c r="V8" s="125">
        <v>32.9</v>
      </c>
      <c r="W8" s="51">
        <v>1</v>
      </c>
      <c r="X8" s="51" t="s">
        <v>140</v>
      </c>
      <c r="Y8" s="51" t="s">
        <v>31</v>
      </c>
      <c r="Z8" s="129">
        <v>16.45</v>
      </c>
      <c r="AA8" s="129">
        <v>16.45</v>
      </c>
    </row>
    <row r="9" spans="1:27" x14ac:dyDescent="0.25">
      <c r="A9" s="51" t="s">
        <v>96</v>
      </c>
      <c r="B9" s="51" t="s">
        <v>96</v>
      </c>
      <c r="C9" s="91">
        <v>199</v>
      </c>
      <c r="D9" s="91" t="s">
        <v>124</v>
      </c>
      <c r="E9" s="91" t="s">
        <v>20</v>
      </c>
      <c r="F9" s="91">
        <v>95</v>
      </c>
      <c r="G9" s="91" t="s">
        <v>110</v>
      </c>
      <c r="H9" s="91" t="s">
        <v>18</v>
      </c>
      <c r="I9" s="134">
        <v>1990110055177</v>
      </c>
      <c r="J9" s="92" t="s">
        <v>37</v>
      </c>
      <c r="K9" s="92" t="s">
        <v>260</v>
      </c>
      <c r="L9" s="117">
        <v>42605</v>
      </c>
      <c r="M9" s="91" t="s">
        <v>109</v>
      </c>
      <c r="N9" s="91" t="s">
        <v>10</v>
      </c>
      <c r="O9" s="93">
        <v>42678</v>
      </c>
      <c r="P9" s="93" t="s">
        <v>261</v>
      </c>
      <c r="Q9" s="94">
        <v>235</v>
      </c>
      <c r="R9" s="93" t="s">
        <v>99</v>
      </c>
      <c r="S9" s="91">
        <v>45063.040000000001</v>
      </c>
      <c r="T9" s="91" t="s">
        <v>128</v>
      </c>
      <c r="U9" s="91" t="s">
        <v>101</v>
      </c>
      <c r="V9" s="125">
        <v>40.43</v>
      </c>
      <c r="W9" s="51">
        <v>1</v>
      </c>
      <c r="X9" s="51" t="s">
        <v>133</v>
      </c>
      <c r="Y9" s="51" t="s">
        <v>32</v>
      </c>
      <c r="Z9" s="129">
        <v>10.1075</v>
      </c>
      <c r="AA9" s="129">
        <v>30.322499999999998</v>
      </c>
    </row>
    <row r="10" spans="1:27" ht="15" customHeight="1" x14ac:dyDescent="0.25">
      <c r="A10" s="51" t="s">
        <v>96</v>
      </c>
      <c r="B10" s="51" t="s">
        <v>96</v>
      </c>
      <c r="C10" s="91">
        <v>199</v>
      </c>
      <c r="D10" s="91" t="s">
        <v>124</v>
      </c>
      <c r="E10" s="91" t="s">
        <v>20</v>
      </c>
      <c r="F10" s="91">
        <v>95</v>
      </c>
      <c r="G10" s="91" t="s">
        <v>110</v>
      </c>
      <c r="H10" s="91" t="s">
        <v>18</v>
      </c>
      <c r="I10" s="134">
        <v>1990110055178</v>
      </c>
      <c r="J10" s="92" t="s">
        <v>37</v>
      </c>
      <c r="K10" s="92" t="s">
        <v>260</v>
      </c>
      <c r="L10" s="117">
        <v>42605</v>
      </c>
      <c r="M10" s="91" t="s">
        <v>109</v>
      </c>
      <c r="N10" s="91" t="s">
        <v>10</v>
      </c>
      <c r="O10" s="93">
        <v>42678</v>
      </c>
      <c r="P10" s="93" t="s">
        <v>261</v>
      </c>
      <c r="Q10" s="94">
        <v>235</v>
      </c>
      <c r="R10" s="93" t="s">
        <v>99</v>
      </c>
      <c r="S10" s="91">
        <v>38256.83</v>
      </c>
      <c r="T10" s="91" t="s">
        <v>128</v>
      </c>
      <c r="U10" s="91" t="s">
        <v>101</v>
      </c>
      <c r="V10" s="125">
        <v>34.32</v>
      </c>
      <c r="W10" s="51">
        <v>1</v>
      </c>
      <c r="X10" s="51" t="s">
        <v>133</v>
      </c>
      <c r="Y10" s="51" t="s">
        <v>32</v>
      </c>
      <c r="Z10" s="129">
        <v>8.58</v>
      </c>
      <c r="AA10" s="129">
        <v>25.740000000000002</v>
      </c>
    </row>
    <row r="11" spans="1:27" ht="15" customHeight="1" x14ac:dyDescent="0.25">
      <c r="A11" s="51" t="s">
        <v>96</v>
      </c>
      <c r="B11" s="51" t="s">
        <v>96</v>
      </c>
      <c r="C11" s="91">
        <v>199</v>
      </c>
      <c r="D11" s="91" t="s">
        <v>124</v>
      </c>
      <c r="E11" s="91" t="s">
        <v>20</v>
      </c>
      <c r="F11" s="91">
        <v>8243</v>
      </c>
      <c r="G11" s="91" t="s">
        <v>125</v>
      </c>
      <c r="H11" s="91" t="s">
        <v>14</v>
      </c>
      <c r="I11" s="134">
        <v>1990110055559</v>
      </c>
      <c r="J11" s="92" t="s">
        <v>43</v>
      </c>
      <c r="K11" s="92" t="s">
        <v>275</v>
      </c>
      <c r="L11" s="117">
        <v>42607</v>
      </c>
      <c r="M11" s="91" t="s">
        <v>117</v>
      </c>
      <c r="N11" s="91" t="s">
        <v>118</v>
      </c>
      <c r="O11" s="93">
        <v>42681</v>
      </c>
      <c r="P11" s="93" t="s">
        <v>261</v>
      </c>
      <c r="Q11" s="94">
        <v>232</v>
      </c>
      <c r="R11" s="93" t="s">
        <v>99</v>
      </c>
      <c r="S11" s="91">
        <v>36228</v>
      </c>
      <c r="T11" s="91" t="s">
        <v>128</v>
      </c>
      <c r="U11" s="91" t="s">
        <v>101</v>
      </c>
      <c r="V11" s="125">
        <v>32.5</v>
      </c>
      <c r="W11" s="51">
        <v>1</v>
      </c>
      <c r="X11" s="51" t="s">
        <v>13</v>
      </c>
      <c r="Y11" s="51" t="s">
        <v>31</v>
      </c>
      <c r="Z11" s="129">
        <v>16.25</v>
      </c>
      <c r="AA11" s="129">
        <v>16.25</v>
      </c>
    </row>
    <row r="12" spans="1:27" ht="15" customHeight="1" x14ac:dyDescent="0.25">
      <c r="A12" s="51" t="s">
        <v>96</v>
      </c>
      <c r="B12" s="51" t="s">
        <v>96</v>
      </c>
      <c r="C12" s="91">
        <v>199</v>
      </c>
      <c r="D12" s="91" t="s">
        <v>124</v>
      </c>
      <c r="E12" s="91" t="s">
        <v>20</v>
      </c>
      <c r="F12" s="91">
        <v>8243</v>
      </c>
      <c r="G12" s="91" t="s">
        <v>125</v>
      </c>
      <c r="H12" s="91" t="s">
        <v>14</v>
      </c>
      <c r="I12" s="134">
        <v>1990110055560</v>
      </c>
      <c r="J12" s="92" t="s">
        <v>43</v>
      </c>
      <c r="K12" s="92" t="s">
        <v>275</v>
      </c>
      <c r="L12" s="117">
        <v>42607</v>
      </c>
      <c r="M12" s="91" t="s">
        <v>117</v>
      </c>
      <c r="N12" s="91" t="s">
        <v>118</v>
      </c>
      <c r="O12" s="93">
        <v>42681</v>
      </c>
      <c r="P12" s="93" t="s">
        <v>261</v>
      </c>
      <c r="Q12" s="94">
        <v>232</v>
      </c>
      <c r="R12" s="93" t="s">
        <v>99</v>
      </c>
      <c r="S12" s="91">
        <v>50780</v>
      </c>
      <c r="T12" s="91" t="s">
        <v>128</v>
      </c>
      <c r="U12" s="91" t="s">
        <v>101</v>
      </c>
      <c r="V12" s="125">
        <v>45.55</v>
      </c>
      <c r="W12" s="51">
        <v>1</v>
      </c>
      <c r="X12" s="51" t="s">
        <v>13</v>
      </c>
      <c r="Y12" s="51" t="s">
        <v>31</v>
      </c>
      <c r="Z12" s="129">
        <v>22.774999999999999</v>
      </c>
      <c r="AA12" s="129">
        <v>22.774999999999999</v>
      </c>
    </row>
    <row r="13" spans="1:27" ht="15" customHeight="1" x14ac:dyDescent="0.25">
      <c r="A13" s="51" t="s">
        <v>96</v>
      </c>
      <c r="B13" s="51" t="s">
        <v>96</v>
      </c>
      <c r="C13" s="91">
        <v>199</v>
      </c>
      <c r="D13" s="91" t="s">
        <v>124</v>
      </c>
      <c r="E13" s="91" t="s">
        <v>20</v>
      </c>
      <c r="F13" s="91">
        <v>8243</v>
      </c>
      <c r="G13" s="91" t="s">
        <v>125</v>
      </c>
      <c r="H13" s="91" t="s">
        <v>14</v>
      </c>
      <c r="I13" s="134">
        <v>1990110055561</v>
      </c>
      <c r="J13" s="92" t="s">
        <v>43</v>
      </c>
      <c r="K13" s="92" t="s">
        <v>275</v>
      </c>
      <c r="L13" s="117">
        <v>42607</v>
      </c>
      <c r="M13" s="91" t="s">
        <v>117</v>
      </c>
      <c r="N13" s="91" t="s">
        <v>118</v>
      </c>
      <c r="O13" s="93">
        <v>42681</v>
      </c>
      <c r="P13" s="93" t="s">
        <v>261</v>
      </c>
      <c r="Q13" s="94">
        <v>232</v>
      </c>
      <c r="R13" s="93" t="s">
        <v>99</v>
      </c>
      <c r="S13" s="91">
        <v>10262.52</v>
      </c>
      <c r="T13" s="91" t="s">
        <v>128</v>
      </c>
      <c r="U13" s="91" t="s">
        <v>101</v>
      </c>
      <c r="V13" s="125">
        <v>9.2100000000000009</v>
      </c>
      <c r="W13" s="51">
        <v>1</v>
      </c>
      <c r="X13" s="51" t="s">
        <v>13</v>
      </c>
      <c r="Y13" s="51" t="s">
        <v>31</v>
      </c>
      <c r="Z13" s="129">
        <v>4.6050000000000004</v>
      </c>
      <c r="AA13" s="129">
        <v>4.6050000000000004</v>
      </c>
    </row>
    <row r="14" spans="1:27" ht="15" customHeight="1" x14ac:dyDescent="0.25">
      <c r="A14" s="51" t="s">
        <v>96</v>
      </c>
      <c r="B14" s="51" t="s">
        <v>96</v>
      </c>
      <c r="C14" s="91">
        <v>199</v>
      </c>
      <c r="D14" s="91" t="s">
        <v>124</v>
      </c>
      <c r="E14" s="91" t="s">
        <v>20</v>
      </c>
      <c r="F14" s="91">
        <v>8110</v>
      </c>
      <c r="G14" s="91" t="s">
        <v>97</v>
      </c>
      <c r="H14" s="91" t="s">
        <v>25</v>
      </c>
      <c r="I14" s="134">
        <v>199030002896</v>
      </c>
      <c r="J14" s="92" t="s">
        <v>56</v>
      </c>
      <c r="K14" s="92" t="s">
        <v>203</v>
      </c>
      <c r="L14" s="117">
        <v>42613</v>
      </c>
      <c r="M14" s="91" t="s">
        <v>122</v>
      </c>
      <c r="N14" s="91" t="s">
        <v>9</v>
      </c>
      <c r="O14" s="93">
        <v>42678</v>
      </c>
      <c r="P14" s="93" t="s">
        <v>261</v>
      </c>
      <c r="Q14" s="94">
        <v>235</v>
      </c>
      <c r="R14" s="93" t="s">
        <v>99</v>
      </c>
      <c r="S14" s="91">
        <v>2060</v>
      </c>
      <c r="T14" s="91" t="s">
        <v>128</v>
      </c>
      <c r="U14" s="91" t="s">
        <v>101</v>
      </c>
      <c r="V14" s="125">
        <v>1.85</v>
      </c>
      <c r="W14" s="51">
        <v>1</v>
      </c>
      <c r="X14" s="51" t="s">
        <v>140</v>
      </c>
      <c r="Y14" s="51" t="s">
        <v>31</v>
      </c>
      <c r="Z14" s="129">
        <v>0.92500000000000004</v>
      </c>
      <c r="AA14" s="129">
        <v>0.92500000000000004</v>
      </c>
    </row>
    <row r="15" spans="1:27" ht="15" customHeight="1" x14ac:dyDescent="0.25">
      <c r="A15" s="51" t="s">
        <v>96</v>
      </c>
      <c r="B15" s="51" t="s">
        <v>96</v>
      </c>
      <c r="C15" s="91">
        <v>199</v>
      </c>
      <c r="D15" s="91" t="s">
        <v>124</v>
      </c>
      <c r="E15" s="91" t="s">
        <v>20</v>
      </c>
      <c r="F15" s="91">
        <v>8110</v>
      </c>
      <c r="G15" s="91" t="s">
        <v>97</v>
      </c>
      <c r="H15" s="91" t="s">
        <v>25</v>
      </c>
      <c r="I15" s="134">
        <v>199030002898</v>
      </c>
      <c r="J15" s="92" t="s">
        <v>56</v>
      </c>
      <c r="K15" s="92" t="s">
        <v>203</v>
      </c>
      <c r="L15" s="117">
        <v>42613</v>
      </c>
      <c r="M15" s="91" t="s">
        <v>122</v>
      </c>
      <c r="N15" s="91" t="s">
        <v>9</v>
      </c>
      <c r="O15" s="93">
        <v>42678</v>
      </c>
      <c r="P15" s="93" t="s">
        <v>261</v>
      </c>
      <c r="Q15" s="94">
        <v>235</v>
      </c>
      <c r="R15" s="93" t="s">
        <v>99</v>
      </c>
      <c r="S15" s="91">
        <v>1780</v>
      </c>
      <c r="T15" s="91" t="s">
        <v>128</v>
      </c>
      <c r="U15" s="91" t="s">
        <v>101</v>
      </c>
      <c r="V15" s="125">
        <v>1.6</v>
      </c>
      <c r="W15" s="51">
        <v>1</v>
      </c>
      <c r="X15" s="51" t="s">
        <v>140</v>
      </c>
      <c r="Y15" s="51" t="s">
        <v>31</v>
      </c>
      <c r="Z15" s="129">
        <v>0.8</v>
      </c>
      <c r="AA15" s="129">
        <v>0.8</v>
      </c>
    </row>
    <row r="16" spans="1:27" ht="15" customHeight="1" x14ac:dyDescent="0.25">
      <c r="A16" s="51"/>
      <c r="B16" s="51"/>
      <c r="C16" s="91"/>
      <c r="D16" s="91"/>
      <c r="E16" s="91"/>
      <c r="F16" s="91"/>
      <c r="G16" s="91"/>
      <c r="H16" s="91"/>
      <c r="I16" s="134"/>
      <c r="J16" s="92"/>
      <c r="K16" s="92"/>
      <c r="L16" s="117"/>
      <c r="M16" s="91"/>
      <c r="N16" s="91"/>
      <c r="O16" s="93"/>
      <c r="P16" s="93"/>
      <c r="Q16" s="94"/>
      <c r="R16" s="93"/>
      <c r="S16" s="91"/>
      <c r="T16" s="91"/>
      <c r="U16" s="91"/>
      <c r="V16" s="125"/>
      <c r="W16" s="51"/>
      <c r="X16" s="51"/>
      <c r="Y16" s="51"/>
      <c r="Z16" s="129"/>
      <c r="AA16" s="129"/>
    </row>
    <row r="17" spans="1:27" ht="15" customHeight="1" x14ac:dyDescent="0.25">
      <c r="A17" s="51" t="s">
        <v>102</v>
      </c>
      <c r="B17" s="51" t="s">
        <v>466</v>
      </c>
      <c r="C17" s="91">
        <v>1960</v>
      </c>
      <c r="D17" s="91" t="s">
        <v>127</v>
      </c>
      <c r="E17" s="91" t="s">
        <v>20</v>
      </c>
      <c r="F17" s="91">
        <v>3011</v>
      </c>
      <c r="G17" s="91" t="s">
        <v>106</v>
      </c>
      <c r="H17" s="91" t="s">
        <v>20</v>
      </c>
      <c r="I17" s="134">
        <v>19600510065279</v>
      </c>
      <c r="J17" s="92" t="s">
        <v>52</v>
      </c>
      <c r="K17" s="92" t="s">
        <v>145</v>
      </c>
      <c r="L17" s="117">
        <v>42614</v>
      </c>
      <c r="M17" s="91" t="s">
        <v>122</v>
      </c>
      <c r="N17" s="91" t="s">
        <v>9</v>
      </c>
      <c r="O17" s="93">
        <v>42649</v>
      </c>
      <c r="P17" s="93" t="s">
        <v>206</v>
      </c>
      <c r="Q17" s="94">
        <v>264</v>
      </c>
      <c r="R17" s="93" t="s">
        <v>99</v>
      </c>
      <c r="S17" s="91">
        <v>12922.94</v>
      </c>
      <c r="T17" s="91" t="s">
        <v>128</v>
      </c>
      <c r="U17" s="91" t="s">
        <v>105</v>
      </c>
      <c r="V17" s="125">
        <v>11.59</v>
      </c>
      <c r="W17" s="51">
        <v>1</v>
      </c>
      <c r="X17" s="51" t="s">
        <v>140</v>
      </c>
      <c r="Y17" s="51" t="s">
        <v>31</v>
      </c>
      <c r="Z17" s="129">
        <v>5.7949999999999999</v>
      </c>
      <c r="AA17" s="129">
        <v>5.7949999999999999</v>
      </c>
    </row>
    <row r="18" spans="1:27" ht="15" customHeight="1" x14ac:dyDescent="0.25">
      <c r="A18" s="51" t="s">
        <v>96</v>
      </c>
      <c r="B18" s="51" t="s">
        <v>96</v>
      </c>
      <c r="C18" s="91">
        <v>1960</v>
      </c>
      <c r="D18" s="91" t="s">
        <v>127</v>
      </c>
      <c r="E18" s="91" t="s">
        <v>20</v>
      </c>
      <c r="F18" s="91">
        <v>8243</v>
      </c>
      <c r="G18" s="91" t="s">
        <v>125</v>
      </c>
      <c r="H18" s="91" t="s">
        <v>14</v>
      </c>
      <c r="I18" s="134">
        <v>19600510062725</v>
      </c>
      <c r="J18" s="92" t="s">
        <v>52</v>
      </c>
      <c r="K18" s="92" t="s">
        <v>145</v>
      </c>
      <c r="L18" s="117">
        <v>42544</v>
      </c>
      <c r="M18" s="91" t="s">
        <v>126</v>
      </c>
      <c r="N18" s="91" t="s">
        <v>118</v>
      </c>
      <c r="O18" s="93">
        <v>42648</v>
      </c>
      <c r="P18" s="93" t="s">
        <v>206</v>
      </c>
      <c r="Q18" s="94">
        <v>265</v>
      </c>
      <c r="R18" s="93" t="s">
        <v>99</v>
      </c>
      <c r="S18" s="91">
        <v>49463.35</v>
      </c>
      <c r="T18" s="91" t="s">
        <v>128</v>
      </c>
      <c r="U18" s="91" t="s">
        <v>101</v>
      </c>
      <c r="V18" s="125">
        <v>44.37</v>
      </c>
      <c r="W18" s="51">
        <v>1</v>
      </c>
      <c r="X18" s="51" t="s">
        <v>13</v>
      </c>
      <c r="Y18" s="51" t="s">
        <v>31</v>
      </c>
      <c r="Z18" s="129">
        <v>22.184999999999999</v>
      </c>
      <c r="AA18" s="129">
        <v>22.184999999999999</v>
      </c>
    </row>
    <row r="19" spans="1:27" ht="15" customHeight="1" x14ac:dyDescent="0.25">
      <c r="A19" s="51" t="s">
        <v>96</v>
      </c>
      <c r="B19" s="51" t="s">
        <v>96</v>
      </c>
      <c r="C19" s="91">
        <v>1960</v>
      </c>
      <c r="D19" s="91" t="s">
        <v>127</v>
      </c>
      <c r="E19" s="91" t="s">
        <v>20</v>
      </c>
      <c r="F19" s="91">
        <v>8243</v>
      </c>
      <c r="G19" s="91" t="s">
        <v>125</v>
      </c>
      <c r="H19" s="91" t="s">
        <v>14</v>
      </c>
      <c r="I19" s="134">
        <v>19600510062729</v>
      </c>
      <c r="J19" s="92" t="s">
        <v>52</v>
      </c>
      <c r="K19" s="92" t="s">
        <v>145</v>
      </c>
      <c r="L19" s="117">
        <v>42544</v>
      </c>
      <c r="M19" s="91" t="s">
        <v>126</v>
      </c>
      <c r="N19" s="91" t="s">
        <v>118</v>
      </c>
      <c r="O19" s="93">
        <v>42648</v>
      </c>
      <c r="P19" s="93" t="s">
        <v>206</v>
      </c>
      <c r="Q19" s="94">
        <v>265</v>
      </c>
      <c r="R19" s="93" t="s">
        <v>99</v>
      </c>
      <c r="S19" s="91">
        <v>53941.79</v>
      </c>
      <c r="T19" s="91" t="s">
        <v>128</v>
      </c>
      <c r="U19" s="91" t="s">
        <v>101</v>
      </c>
      <c r="V19" s="125">
        <v>48.39</v>
      </c>
      <c r="W19" s="51">
        <v>1</v>
      </c>
      <c r="X19" s="51" t="s">
        <v>13</v>
      </c>
      <c r="Y19" s="51" t="s">
        <v>31</v>
      </c>
      <c r="Z19" s="129">
        <v>24.195</v>
      </c>
      <c r="AA19" s="129">
        <v>24.195</v>
      </c>
    </row>
    <row r="20" spans="1:27" ht="15" customHeight="1" x14ac:dyDescent="0.25">
      <c r="A20" s="51" t="s">
        <v>102</v>
      </c>
      <c r="B20" s="51" t="s">
        <v>262</v>
      </c>
      <c r="C20" s="91">
        <v>1960</v>
      </c>
      <c r="D20" s="91" t="s">
        <v>127</v>
      </c>
      <c r="E20" s="91" t="s">
        <v>20</v>
      </c>
      <c r="F20" s="91">
        <v>199</v>
      </c>
      <c r="G20" s="91" t="s">
        <v>124</v>
      </c>
      <c r="H20" s="91" t="s">
        <v>20</v>
      </c>
      <c r="I20" s="134" t="s">
        <v>245</v>
      </c>
      <c r="J20" s="92" t="s">
        <v>52</v>
      </c>
      <c r="K20" s="92" t="s">
        <v>145</v>
      </c>
      <c r="L20" s="117">
        <v>42579</v>
      </c>
      <c r="M20" s="91" t="s">
        <v>121</v>
      </c>
      <c r="N20" s="91" t="s">
        <v>9</v>
      </c>
      <c r="O20" s="93">
        <v>42649</v>
      </c>
      <c r="P20" s="93" t="s">
        <v>206</v>
      </c>
      <c r="Q20" s="94">
        <v>264</v>
      </c>
      <c r="R20" s="93" t="s">
        <v>99</v>
      </c>
      <c r="S20" s="91">
        <v>12573.88</v>
      </c>
      <c r="T20" s="91" t="s">
        <v>128</v>
      </c>
      <c r="U20" s="91" t="s">
        <v>105</v>
      </c>
      <c r="V20" s="125">
        <v>11.28</v>
      </c>
      <c r="W20" s="51">
        <v>1</v>
      </c>
      <c r="X20" s="51" t="s">
        <v>138</v>
      </c>
      <c r="Y20" s="51" t="s">
        <v>31</v>
      </c>
      <c r="Z20" s="129">
        <v>5.64</v>
      </c>
      <c r="AA20" s="129">
        <v>5.64</v>
      </c>
    </row>
    <row r="21" spans="1:27" ht="15" customHeight="1" x14ac:dyDescent="0.25">
      <c r="A21" s="51" t="s">
        <v>96</v>
      </c>
      <c r="B21" s="51" t="s">
        <v>96</v>
      </c>
      <c r="C21" s="91">
        <v>1960</v>
      </c>
      <c r="D21" s="91" t="s">
        <v>127</v>
      </c>
      <c r="E21" s="91" t="s">
        <v>20</v>
      </c>
      <c r="F21" s="91">
        <v>8243</v>
      </c>
      <c r="G21" s="91" t="s">
        <v>125</v>
      </c>
      <c r="H21" s="91" t="s">
        <v>14</v>
      </c>
      <c r="I21" s="134">
        <v>19600510066778</v>
      </c>
      <c r="J21" s="92" t="s">
        <v>52</v>
      </c>
      <c r="K21" s="92" t="s">
        <v>145</v>
      </c>
      <c r="L21" s="117">
        <v>42646</v>
      </c>
      <c r="M21" s="91" t="s">
        <v>98</v>
      </c>
      <c r="N21" s="91" t="s">
        <v>9</v>
      </c>
      <c r="O21" s="93">
        <v>42708</v>
      </c>
      <c r="P21" s="93" t="s">
        <v>261</v>
      </c>
      <c r="Q21" s="94">
        <v>205</v>
      </c>
      <c r="R21" s="93" t="s">
        <v>99</v>
      </c>
      <c r="S21" s="91">
        <v>28998.11</v>
      </c>
      <c r="T21" s="91" t="s">
        <v>128</v>
      </c>
      <c r="U21" s="91" t="s">
        <v>101</v>
      </c>
      <c r="V21" s="125">
        <v>26.01</v>
      </c>
      <c r="W21" s="51">
        <v>1</v>
      </c>
      <c r="X21" s="51" t="s">
        <v>135</v>
      </c>
      <c r="Y21" s="51" t="s">
        <v>30</v>
      </c>
      <c r="Z21" s="129">
        <v>26.01</v>
      </c>
      <c r="AA21" s="129">
        <v>0</v>
      </c>
    </row>
    <row r="22" spans="1:27" ht="15" customHeight="1" x14ac:dyDescent="0.25">
      <c r="A22" s="51"/>
      <c r="B22" s="51"/>
      <c r="C22" s="91"/>
      <c r="D22" s="91"/>
      <c r="E22" s="91"/>
      <c r="F22" s="91"/>
      <c r="G22" s="91"/>
      <c r="H22" s="91"/>
      <c r="I22" s="134"/>
      <c r="J22" s="92"/>
      <c r="K22" s="92"/>
      <c r="L22" s="117"/>
      <c r="M22" s="91"/>
      <c r="N22" s="91"/>
      <c r="O22" s="93"/>
      <c r="P22" s="93"/>
      <c r="Q22" s="94"/>
      <c r="R22" s="93"/>
      <c r="S22" s="91"/>
      <c r="T22" s="91"/>
      <c r="U22" s="91"/>
      <c r="V22" s="125"/>
      <c r="W22" s="51"/>
      <c r="X22" s="51"/>
      <c r="Y22" s="51"/>
      <c r="Z22" s="129"/>
      <c r="AA22" s="129"/>
    </row>
    <row r="23" spans="1:27" ht="15" customHeight="1" x14ac:dyDescent="0.25">
      <c r="A23" s="51" t="s">
        <v>102</v>
      </c>
      <c r="B23" s="51" t="s">
        <v>277</v>
      </c>
      <c r="C23" s="91">
        <v>132</v>
      </c>
      <c r="D23" s="91" t="s">
        <v>189</v>
      </c>
      <c r="E23" s="91" t="s">
        <v>20</v>
      </c>
      <c r="F23" s="91">
        <v>199</v>
      </c>
      <c r="G23" s="91" t="s">
        <v>124</v>
      </c>
      <c r="H23" s="91" t="s">
        <v>20</v>
      </c>
      <c r="I23" s="134">
        <v>1320130002422</v>
      </c>
      <c r="J23" s="92" t="s">
        <v>41</v>
      </c>
      <c r="K23" s="92" t="s">
        <v>204</v>
      </c>
      <c r="L23" s="117">
        <v>42640</v>
      </c>
      <c r="M23" s="91" t="s">
        <v>98</v>
      </c>
      <c r="N23" s="91" t="s">
        <v>9</v>
      </c>
      <c r="O23" s="93">
        <v>42709</v>
      </c>
      <c r="P23" s="93" t="s">
        <v>261</v>
      </c>
      <c r="Q23" s="94">
        <v>204</v>
      </c>
      <c r="R23" s="93" t="s">
        <v>99</v>
      </c>
      <c r="S23" s="91">
        <v>1604.44</v>
      </c>
      <c r="T23" s="91" t="s">
        <v>128</v>
      </c>
      <c r="U23" s="91" t="s">
        <v>105</v>
      </c>
      <c r="V23" s="125">
        <v>1.44</v>
      </c>
      <c r="W23" s="51">
        <v>1</v>
      </c>
      <c r="X23" s="51" t="s">
        <v>135</v>
      </c>
      <c r="Y23" s="51" t="s">
        <v>30</v>
      </c>
      <c r="Z23" s="129">
        <v>1.44</v>
      </c>
      <c r="AA23" s="129">
        <v>0</v>
      </c>
    </row>
    <row r="24" spans="1:27" ht="15" customHeight="1" x14ac:dyDescent="0.25">
      <c r="A24" s="51" t="s">
        <v>96</v>
      </c>
      <c r="B24" s="51" t="s">
        <v>96</v>
      </c>
      <c r="C24" s="91">
        <v>132</v>
      </c>
      <c r="D24" s="91" t="s">
        <v>189</v>
      </c>
      <c r="E24" s="91" t="s">
        <v>20</v>
      </c>
      <c r="F24" s="91">
        <v>199</v>
      </c>
      <c r="G24" s="91" t="s">
        <v>124</v>
      </c>
      <c r="H24" s="91" t="s">
        <v>20</v>
      </c>
      <c r="I24" s="134">
        <v>1320130002423</v>
      </c>
      <c r="J24" s="92" t="s">
        <v>41</v>
      </c>
      <c r="K24" s="92" t="s">
        <v>204</v>
      </c>
      <c r="L24" s="117">
        <v>42640</v>
      </c>
      <c r="M24" s="91" t="s">
        <v>98</v>
      </c>
      <c r="N24" s="91" t="s">
        <v>9</v>
      </c>
      <c r="O24" s="93">
        <v>42709</v>
      </c>
      <c r="P24" s="93" t="s">
        <v>261</v>
      </c>
      <c r="Q24" s="94">
        <v>204</v>
      </c>
      <c r="R24" s="93" t="s">
        <v>99</v>
      </c>
      <c r="S24" s="91">
        <v>2452.42</v>
      </c>
      <c r="T24" s="91" t="s">
        <v>128</v>
      </c>
      <c r="U24" s="91" t="s">
        <v>105</v>
      </c>
      <c r="V24" s="125">
        <v>2.2000000000000002</v>
      </c>
      <c r="W24" s="51">
        <v>1</v>
      </c>
      <c r="X24" s="51" t="s">
        <v>135</v>
      </c>
      <c r="Y24" s="51" t="s">
        <v>30</v>
      </c>
      <c r="Z24" s="129">
        <v>2.2000000000000002</v>
      </c>
      <c r="AA24" s="129">
        <v>0</v>
      </c>
    </row>
    <row r="25" spans="1:27" ht="15" customHeight="1" x14ac:dyDescent="0.25">
      <c r="A25" s="51" t="s">
        <v>96</v>
      </c>
      <c r="B25" s="51" t="s">
        <v>96</v>
      </c>
      <c r="C25" s="91">
        <v>132</v>
      </c>
      <c r="D25" s="91" t="s">
        <v>189</v>
      </c>
      <c r="E25" s="91" t="s">
        <v>20</v>
      </c>
      <c r="F25" s="91">
        <v>199</v>
      </c>
      <c r="G25" s="91" t="s">
        <v>124</v>
      </c>
      <c r="H25" s="91" t="s">
        <v>20</v>
      </c>
      <c r="I25" s="134">
        <v>1320130002424</v>
      </c>
      <c r="J25" s="92" t="s">
        <v>41</v>
      </c>
      <c r="K25" s="92" t="s">
        <v>204</v>
      </c>
      <c r="L25" s="117">
        <v>42640</v>
      </c>
      <c r="M25" s="91" t="s">
        <v>98</v>
      </c>
      <c r="N25" s="91" t="s">
        <v>9</v>
      </c>
      <c r="O25" s="93">
        <v>42709</v>
      </c>
      <c r="P25" s="93" t="s">
        <v>261</v>
      </c>
      <c r="Q25" s="94">
        <v>204</v>
      </c>
      <c r="R25" s="93" t="s">
        <v>99</v>
      </c>
      <c r="S25" s="91">
        <v>26078.82</v>
      </c>
      <c r="T25" s="91" t="s">
        <v>128</v>
      </c>
      <c r="U25" s="91" t="s">
        <v>105</v>
      </c>
      <c r="V25" s="125">
        <v>23.4</v>
      </c>
      <c r="W25" s="51">
        <v>1</v>
      </c>
      <c r="X25" s="51" t="s">
        <v>135</v>
      </c>
      <c r="Y25" s="51" t="s">
        <v>30</v>
      </c>
      <c r="Z25" s="129">
        <v>23.4</v>
      </c>
      <c r="AA25" s="129">
        <v>0</v>
      </c>
    </row>
    <row r="26" spans="1:27" x14ac:dyDescent="0.25">
      <c r="A26" s="51" t="s">
        <v>102</v>
      </c>
      <c r="B26" s="51" t="s">
        <v>466</v>
      </c>
      <c r="C26" s="91">
        <v>132</v>
      </c>
      <c r="D26" s="91" t="s">
        <v>189</v>
      </c>
      <c r="E26" s="91" t="s">
        <v>20</v>
      </c>
      <c r="F26" s="91">
        <v>199</v>
      </c>
      <c r="G26" s="91" t="s">
        <v>124</v>
      </c>
      <c r="H26" s="91" t="s">
        <v>20</v>
      </c>
      <c r="I26" s="134">
        <v>1320130002425</v>
      </c>
      <c r="J26" s="92" t="s">
        <v>41</v>
      </c>
      <c r="K26" s="92" t="s">
        <v>204</v>
      </c>
      <c r="L26" s="117">
        <v>42640</v>
      </c>
      <c r="M26" s="91" t="s">
        <v>98</v>
      </c>
      <c r="N26" s="91" t="s">
        <v>9</v>
      </c>
      <c r="O26" s="93">
        <v>42709</v>
      </c>
      <c r="P26" s="93" t="s">
        <v>261</v>
      </c>
      <c r="Q26" s="94">
        <v>204</v>
      </c>
      <c r="R26" s="93" t="s">
        <v>99</v>
      </c>
      <c r="S26" s="91">
        <v>16839.669999999998</v>
      </c>
      <c r="T26" s="91" t="s">
        <v>128</v>
      </c>
      <c r="U26" s="91" t="s">
        <v>105</v>
      </c>
      <c r="V26" s="125">
        <v>15.11</v>
      </c>
      <c r="W26" s="51">
        <v>1</v>
      </c>
      <c r="X26" s="51" t="s">
        <v>135</v>
      </c>
      <c r="Y26" s="51" t="s">
        <v>30</v>
      </c>
      <c r="Z26" s="129">
        <v>15.11</v>
      </c>
      <c r="AA26" s="129">
        <v>0</v>
      </c>
    </row>
    <row r="27" spans="1:27" ht="15" customHeight="1" x14ac:dyDescent="0.25">
      <c r="A27" s="51" t="s">
        <v>96</v>
      </c>
      <c r="B27" s="51" t="s">
        <v>96</v>
      </c>
      <c r="C27" s="91">
        <v>132</v>
      </c>
      <c r="D27" s="91" t="s">
        <v>189</v>
      </c>
      <c r="E27" s="91" t="s">
        <v>20</v>
      </c>
      <c r="F27" s="91">
        <v>199</v>
      </c>
      <c r="G27" s="91" t="s">
        <v>124</v>
      </c>
      <c r="H27" s="91" t="s">
        <v>20</v>
      </c>
      <c r="I27" s="134">
        <v>1320130002426</v>
      </c>
      <c r="J27" s="92" t="s">
        <v>41</v>
      </c>
      <c r="K27" s="92" t="s">
        <v>204</v>
      </c>
      <c r="L27" s="117">
        <v>42640</v>
      </c>
      <c r="M27" s="91" t="s">
        <v>98</v>
      </c>
      <c r="N27" s="91" t="s">
        <v>9</v>
      </c>
      <c r="O27" s="93">
        <v>42709</v>
      </c>
      <c r="P27" s="93" t="s">
        <v>261</v>
      </c>
      <c r="Q27" s="94">
        <v>204</v>
      </c>
      <c r="R27" s="93" t="s">
        <v>99</v>
      </c>
      <c r="S27" s="91">
        <v>53160.65</v>
      </c>
      <c r="T27" s="91" t="s">
        <v>128</v>
      </c>
      <c r="U27" s="91" t="s">
        <v>105</v>
      </c>
      <c r="V27" s="125">
        <v>47.69</v>
      </c>
      <c r="W27" s="51">
        <v>1</v>
      </c>
      <c r="X27" s="51" t="s">
        <v>135</v>
      </c>
      <c r="Y27" s="51" t="s">
        <v>30</v>
      </c>
      <c r="Z27" s="129">
        <v>47.69</v>
      </c>
      <c r="AA27" s="129">
        <v>0</v>
      </c>
    </row>
  </sheetData>
  <sortState ref="A2:AB25">
    <sortCondition ref="D2:D25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A5"/>
  <sheetViews>
    <sheetView showGridLines="0" workbookViewId="0">
      <pane xSplit="2" ySplit="1" topLeftCell="D2" activePane="bottomRight" state="frozen"/>
      <selection activeCell="D2" sqref="D2"/>
      <selection pane="topRight" activeCell="D2" sqref="D2"/>
      <selection pane="bottomLeft" activeCell="D2" sqref="D2"/>
      <selection pane="bottomRight"/>
    </sheetView>
  </sheetViews>
  <sheetFormatPr defaultRowHeight="15" outlineLevelCol="2" x14ac:dyDescent="0.25"/>
  <cols>
    <col min="1" max="1" width="11.140625" style="135" bestFit="1" customWidth="1"/>
    <col min="2" max="2" width="16.85546875" style="135" bestFit="1" customWidth="1"/>
    <col min="3" max="3" width="13.5703125" style="135" hidden="1" customWidth="1" outlineLevel="1"/>
    <col min="4" max="4" width="57.42578125" style="135" bestFit="1" customWidth="1" collapsed="1"/>
    <col min="5" max="5" width="21" style="135" bestFit="1" customWidth="1"/>
    <col min="6" max="6" width="11.28515625" style="135" hidden="1" customWidth="1" outlineLevel="1"/>
    <col min="7" max="7" width="57.42578125" style="135" bestFit="1" customWidth="1" collapsed="1"/>
    <col min="8" max="8" width="18.85546875" style="135" bestFit="1" customWidth="1"/>
    <col min="9" max="9" width="20.85546875" style="133" bestFit="1" customWidth="1"/>
    <col min="10" max="10" width="21.5703125" style="135" bestFit="1" customWidth="1"/>
    <col min="11" max="11" width="45.7109375" style="135" bestFit="1" customWidth="1"/>
    <col min="12" max="12" width="19.42578125" style="118" bestFit="1" customWidth="1"/>
    <col min="13" max="13" width="39.140625" style="135" bestFit="1" customWidth="1"/>
    <col min="14" max="14" width="32.5703125" style="135" bestFit="1" customWidth="1"/>
    <col min="15" max="15" width="15.85546875" style="135" hidden="1" customWidth="1" outlineLevel="1"/>
    <col min="16" max="16" width="16.5703125" style="135" hidden="1" customWidth="1" outlineLevel="1"/>
    <col min="17" max="17" width="9.140625" style="82" hidden="1" customWidth="1" outlineLevel="1"/>
    <col min="18" max="18" width="14.85546875" style="135" hidden="1" customWidth="1" outlineLevel="1"/>
    <col min="19" max="19" width="7.140625" style="135" hidden="1" customWidth="1" outlineLevel="1"/>
    <col min="20" max="20" width="10.28515625" style="135" hidden="1" customWidth="1" outlineLevel="1"/>
    <col min="21" max="21" width="8.7109375" style="135" hidden="1" customWidth="1" outlineLevel="1"/>
    <col min="22" max="22" width="8.28515625" style="126" customWidth="1" collapsed="1"/>
    <col min="23" max="23" width="11.5703125" style="135" hidden="1" customWidth="1" outlineLevel="1"/>
    <col min="24" max="24" width="11.85546875" style="135" hidden="1" customWidth="1" outlineLevel="2"/>
    <col min="25" max="25" width="23.85546875" style="135" bestFit="1" customWidth="1" collapsed="1"/>
    <col min="26" max="26" width="8.42578125" style="126" bestFit="1" customWidth="1"/>
    <col min="27" max="27" width="14.85546875" style="126" bestFit="1" customWidth="1"/>
    <col min="28" max="16384" width="9.140625" style="135"/>
  </cols>
  <sheetData>
    <row r="1" spans="1:27" ht="36" x14ac:dyDescent="0.25">
      <c r="A1" s="47" t="s">
        <v>96</v>
      </c>
      <c r="B1" s="47" t="s">
        <v>69</v>
      </c>
      <c r="C1" s="48" t="s">
        <v>70</v>
      </c>
      <c r="D1" s="48" t="s">
        <v>71</v>
      </c>
      <c r="E1" s="48" t="s">
        <v>73</v>
      </c>
      <c r="F1" s="48" t="s">
        <v>74</v>
      </c>
      <c r="G1" s="48" t="s">
        <v>75</v>
      </c>
      <c r="H1" s="48" t="s">
        <v>77</v>
      </c>
      <c r="I1" s="131" t="s">
        <v>78</v>
      </c>
      <c r="J1" s="47" t="s">
        <v>29</v>
      </c>
      <c r="K1" s="47" t="s">
        <v>79</v>
      </c>
      <c r="L1" s="116" t="s">
        <v>81</v>
      </c>
      <c r="M1" s="48" t="s">
        <v>82</v>
      </c>
      <c r="N1" s="48" t="s">
        <v>83</v>
      </c>
      <c r="O1" s="48" t="s">
        <v>84</v>
      </c>
      <c r="P1" s="48" t="s">
        <v>85</v>
      </c>
      <c r="Q1" s="50" t="s">
        <v>86</v>
      </c>
      <c r="R1" s="48" t="s">
        <v>87</v>
      </c>
      <c r="S1" s="48" t="s">
        <v>88</v>
      </c>
      <c r="T1" s="48" t="s">
        <v>89</v>
      </c>
      <c r="U1" s="48" t="s">
        <v>90</v>
      </c>
      <c r="V1" s="124" t="s">
        <v>91</v>
      </c>
      <c r="W1" s="48" t="s">
        <v>92</v>
      </c>
      <c r="X1" s="47" t="s">
        <v>93</v>
      </c>
      <c r="Y1" s="47" t="s">
        <v>65</v>
      </c>
      <c r="Z1" s="130" t="s">
        <v>94</v>
      </c>
      <c r="AA1" s="130" t="s">
        <v>95</v>
      </c>
    </row>
    <row r="2" spans="1:27" ht="15" customHeight="1" x14ac:dyDescent="0.25">
      <c r="A2" s="51" t="s">
        <v>96</v>
      </c>
      <c r="B2" s="51" t="s">
        <v>96</v>
      </c>
      <c r="C2" s="91">
        <v>260</v>
      </c>
      <c r="D2" s="91" t="s">
        <v>114</v>
      </c>
      <c r="E2" s="91" t="s">
        <v>17</v>
      </c>
      <c r="F2" s="91">
        <v>95</v>
      </c>
      <c r="G2" s="91" t="s">
        <v>110</v>
      </c>
      <c r="H2" s="91" t="s">
        <v>18</v>
      </c>
      <c r="I2" s="134">
        <v>260013008109</v>
      </c>
      <c r="J2" s="92" t="s">
        <v>56</v>
      </c>
      <c r="K2" s="92" t="s">
        <v>269</v>
      </c>
      <c r="L2" s="117">
        <v>42646</v>
      </c>
      <c r="M2" s="91" t="s">
        <v>109</v>
      </c>
      <c r="N2" s="91" t="s">
        <v>10</v>
      </c>
      <c r="O2" s="93">
        <v>42709</v>
      </c>
      <c r="P2" s="93" t="s">
        <v>261</v>
      </c>
      <c r="Q2" s="94">
        <v>204</v>
      </c>
      <c r="R2" s="93" t="s">
        <v>99</v>
      </c>
      <c r="S2" s="91">
        <v>45011.25</v>
      </c>
      <c r="T2" s="91" t="s">
        <v>116</v>
      </c>
      <c r="U2" s="91" t="s">
        <v>101</v>
      </c>
      <c r="V2" s="125">
        <v>51.26</v>
      </c>
      <c r="W2" s="51">
        <v>1</v>
      </c>
      <c r="X2" s="51" t="s">
        <v>133</v>
      </c>
      <c r="Y2" s="51" t="s">
        <v>32</v>
      </c>
      <c r="Z2" s="129">
        <v>12.815</v>
      </c>
      <c r="AA2" s="129">
        <v>38.445</v>
      </c>
    </row>
    <row r="3" spans="1:27" ht="15" customHeight="1" x14ac:dyDescent="0.25">
      <c r="A3" s="51" t="s">
        <v>96</v>
      </c>
      <c r="B3" s="51" t="s">
        <v>96</v>
      </c>
      <c r="C3" s="91">
        <v>260</v>
      </c>
      <c r="D3" s="91" t="s">
        <v>114</v>
      </c>
      <c r="E3" s="91" t="s">
        <v>17</v>
      </c>
      <c r="F3" s="91">
        <v>95</v>
      </c>
      <c r="G3" s="91" t="s">
        <v>110</v>
      </c>
      <c r="H3" s="91" t="s">
        <v>18</v>
      </c>
      <c r="I3" s="134">
        <v>260013008121</v>
      </c>
      <c r="J3" s="92" t="s">
        <v>56</v>
      </c>
      <c r="K3" s="92" t="s">
        <v>270</v>
      </c>
      <c r="L3" s="117">
        <v>42646</v>
      </c>
      <c r="M3" s="91" t="s">
        <v>104</v>
      </c>
      <c r="N3" s="91" t="s">
        <v>9</v>
      </c>
      <c r="O3" s="93">
        <v>42709</v>
      </c>
      <c r="P3" s="93" t="s">
        <v>261</v>
      </c>
      <c r="Q3" s="94">
        <v>204</v>
      </c>
      <c r="R3" s="93" t="s">
        <v>99</v>
      </c>
      <c r="S3" s="91">
        <v>11151.4</v>
      </c>
      <c r="T3" s="91" t="s">
        <v>116</v>
      </c>
      <c r="U3" s="91" t="s">
        <v>101</v>
      </c>
      <c r="V3" s="125">
        <v>12.7</v>
      </c>
      <c r="W3" s="51">
        <v>1</v>
      </c>
      <c r="X3" s="51" t="s">
        <v>134</v>
      </c>
      <c r="Y3" s="51" t="s">
        <v>31</v>
      </c>
      <c r="Z3" s="129">
        <v>6.35</v>
      </c>
      <c r="AA3" s="129">
        <v>6.35</v>
      </c>
    </row>
    <row r="4" spans="1:27" ht="15" customHeight="1" x14ac:dyDescent="0.25">
      <c r="A4" s="51"/>
      <c r="B4" s="51"/>
      <c r="C4" s="91"/>
      <c r="D4" s="91"/>
      <c r="E4" s="91"/>
      <c r="F4" s="91"/>
      <c r="G4" s="91"/>
      <c r="H4" s="91"/>
      <c r="I4" s="134"/>
      <c r="J4" s="92"/>
      <c r="K4" s="92"/>
      <c r="L4" s="117"/>
      <c r="M4" s="91"/>
      <c r="N4" s="91"/>
      <c r="O4" s="93"/>
      <c r="P4" s="93"/>
      <c r="Q4" s="94"/>
      <c r="R4" s="93"/>
      <c r="S4" s="91"/>
      <c r="T4" s="91"/>
      <c r="U4" s="91"/>
      <c r="V4" s="125"/>
      <c r="W4" s="51"/>
      <c r="X4" s="51"/>
      <c r="Y4" s="51"/>
      <c r="Z4" s="129"/>
      <c r="AA4" s="129"/>
    </row>
    <row r="5" spans="1:27" x14ac:dyDescent="0.25">
      <c r="A5" s="51" t="s">
        <v>96</v>
      </c>
      <c r="B5" s="51" t="s">
        <v>96</v>
      </c>
      <c r="C5" s="91">
        <v>1985</v>
      </c>
      <c r="D5" s="91" t="s">
        <v>129</v>
      </c>
      <c r="E5" s="91" t="s">
        <v>17</v>
      </c>
      <c r="F5" s="91">
        <v>260</v>
      </c>
      <c r="G5" s="91" t="s">
        <v>114</v>
      </c>
      <c r="H5" s="91" t="s">
        <v>17</v>
      </c>
      <c r="I5" s="134">
        <v>198504300000002</v>
      </c>
      <c r="J5" s="92" t="s">
        <v>52</v>
      </c>
      <c r="K5" s="92" t="s">
        <v>146</v>
      </c>
      <c r="L5" s="117">
        <v>42430</v>
      </c>
      <c r="M5" s="91" t="s">
        <v>117</v>
      </c>
      <c r="N5" s="91" t="s">
        <v>118</v>
      </c>
      <c r="O5" s="93">
        <v>42495</v>
      </c>
      <c r="P5" s="93" t="s">
        <v>207</v>
      </c>
      <c r="Q5" s="94">
        <v>418</v>
      </c>
      <c r="R5" s="93" t="s">
        <v>252</v>
      </c>
      <c r="S5" s="91">
        <v>35637.199999999997</v>
      </c>
      <c r="T5" s="91" t="s">
        <v>130</v>
      </c>
      <c r="U5" s="91" t="s">
        <v>105</v>
      </c>
      <c r="V5" s="125">
        <v>2.4500000000000002</v>
      </c>
      <c r="W5" s="51">
        <v>1</v>
      </c>
      <c r="X5" s="51" t="s">
        <v>13</v>
      </c>
      <c r="Y5" s="51" t="s">
        <v>31</v>
      </c>
      <c r="Z5" s="129">
        <v>1.2250000000000001</v>
      </c>
      <c r="AA5" s="129">
        <v>1.2250000000000001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4"/>
  </sheetPr>
  <dimension ref="A1:AA120"/>
  <sheetViews>
    <sheetView showGridLines="0" workbookViewId="0">
      <pane xSplit="2" ySplit="1" topLeftCell="C2" activePane="bottomRight" state="frozen"/>
      <selection activeCell="I11" sqref="I11"/>
      <selection pane="topRight" activeCell="I11" sqref="I11"/>
      <selection pane="bottomLeft" activeCell="I11" sqref="I11"/>
      <selection pane="bottomRight" activeCell="C2" sqref="C2"/>
    </sheetView>
  </sheetViews>
  <sheetFormatPr defaultRowHeight="15" outlineLevelCol="2" x14ac:dyDescent="0.25"/>
  <cols>
    <col min="1" max="1" width="11.140625" bestFit="1" customWidth="1"/>
    <col min="2" max="2" width="16.85546875" bestFit="1" customWidth="1"/>
    <col min="3" max="3" width="13.5703125" customWidth="1" outlineLevel="1"/>
    <col min="4" max="4" width="57.42578125" bestFit="1" customWidth="1"/>
    <col min="5" max="5" width="21" bestFit="1" customWidth="1"/>
    <col min="6" max="6" width="11.28515625" customWidth="1" outlineLevel="1"/>
    <col min="7" max="7" width="57.42578125" bestFit="1" customWidth="1"/>
    <col min="8" max="8" width="18.85546875" bestFit="1" customWidth="1"/>
    <col min="9" max="9" width="20.85546875" style="133" bestFit="1" customWidth="1"/>
    <col min="10" max="10" width="21.5703125" bestFit="1" customWidth="1"/>
    <col min="11" max="11" width="45.7109375" bestFit="1" customWidth="1"/>
    <col min="12" max="12" width="19.42578125" style="118" bestFit="1" customWidth="1"/>
    <col min="13" max="13" width="39.140625" bestFit="1" customWidth="1"/>
    <col min="14" max="14" width="32.5703125" bestFit="1" customWidth="1"/>
    <col min="15" max="15" width="15.85546875" customWidth="1" outlineLevel="1"/>
    <col min="16" max="16" width="16.5703125" customWidth="1" outlineLevel="1"/>
    <col min="17" max="17" width="9.140625" style="82" customWidth="1" outlineLevel="1"/>
    <col min="18" max="18" width="14.85546875" customWidth="1" outlineLevel="1"/>
    <col min="19" max="19" width="7.140625" customWidth="1" outlineLevel="1"/>
    <col min="20" max="20" width="10.28515625" customWidth="1" outlineLevel="1"/>
    <col min="21" max="21" width="8.7109375" customWidth="1" outlineLevel="1"/>
    <col min="22" max="22" width="8.28515625" style="126" customWidth="1"/>
    <col min="23" max="23" width="11.5703125" customWidth="1" outlineLevel="1"/>
    <col min="24" max="24" width="11.85546875" customWidth="1" outlineLevel="2"/>
    <col min="25" max="25" width="23.85546875" bestFit="1" customWidth="1"/>
    <col min="26" max="26" width="8.42578125" style="126" bestFit="1" customWidth="1"/>
    <col min="27" max="27" width="14.85546875" style="126" bestFit="1" customWidth="1"/>
  </cols>
  <sheetData>
    <row r="1" spans="1:27" ht="36" x14ac:dyDescent="0.25">
      <c r="A1" s="47" t="s">
        <v>96</v>
      </c>
      <c r="B1" s="47" t="s">
        <v>69</v>
      </c>
      <c r="C1" s="48" t="s">
        <v>70</v>
      </c>
      <c r="D1" s="48" t="s">
        <v>71</v>
      </c>
      <c r="E1" s="48" t="s">
        <v>73</v>
      </c>
      <c r="F1" s="48" t="s">
        <v>74</v>
      </c>
      <c r="G1" s="48" t="s">
        <v>75</v>
      </c>
      <c r="H1" s="48" t="s">
        <v>77</v>
      </c>
      <c r="I1" s="131" t="s">
        <v>78</v>
      </c>
      <c r="J1" s="47" t="s">
        <v>29</v>
      </c>
      <c r="K1" s="47" t="s">
        <v>79</v>
      </c>
      <c r="L1" s="116" t="s">
        <v>81</v>
      </c>
      <c r="M1" s="48" t="s">
        <v>82</v>
      </c>
      <c r="N1" s="48" t="s">
        <v>83</v>
      </c>
      <c r="O1" s="48" t="s">
        <v>84</v>
      </c>
      <c r="P1" s="48" t="s">
        <v>85</v>
      </c>
      <c r="Q1" s="50" t="s">
        <v>86</v>
      </c>
      <c r="R1" s="48" t="s">
        <v>87</v>
      </c>
      <c r="S1" s="48" t="s">
        <v>88</v>
      </c>
      <c r="T1" s="48" t="s">
        <v>89</v>
      </c>
      <c r="U1" s="48" t="s">
        <v>90</v>
      </c>
      <c r="V1" s="124" t="s">
        <v>91</v>
      </c>
      <c r="W1" s="48" t="s">
        <v>92</v>
      </c>
      <c r="X1" s="47" t="s">
        <v>93</v>
      </c>
      <c r="Y1" s="47" t="s">
        <v>65</v>
      </c>
      <c r="Z1" s="130" t="s">
        <v>94</v>
      </c>
      <c r="AA1" s="130" t="s">
        <v>95</v>
      </c>
    </row>
    <row r="2" spans="1:27" ht="15" customHeight="1" x14ac:dyDescent="0.25">
      <c r="A2" s="51" t="str">
        <f t="shared" ref="A2" si="0">+IF(B2="Added","Added","Unresolved")</f>
        <v>Unresolved</v>
      </c>
      <c r="B2" s="51" t="str">
        <f>+INDEX(DATA_PRIOR!$B:$B,MATCH(I2,DATA_PRIOR!$I:$I,0),0)</f>
        <v>Unresolved (Aug)</v>
      </c>
      <c r="C2" s="91">
        <v>8520</v>
      </c>
      <c r="D2" s="91" t="s">
        <v>186</v>
      </c>
      <c r="E2" s="91" t="s">
        <v>15</v>
      </c>
      <c r="F2" s="91">
        <v>95</v>
      </c>
      <c r="G2" s="91" t="s">
        <v>110</v>
      </c>
      <c r="H2" s="91" t="s">
        <v>18</v>
      </c>
      <c r="I2" s="134" t="s">
        <v>111</v>
      </c>
      <c r="J2" s="92" t="s">
        <v>52</v>
      </c>
      <c r="K2" s="92" t="s">
        <v>132</v>
      </c>
      <c r="L2" s="117">
        <v>41452</v>
      </c>
      <c r="M2" s="136" t="s">
        <v>109</v>
      </c>
      <c r="N2" s="136" t="s">
        <v>10</v>
      </c>
      <c r="O2" s="137">
        <v>42433</v>
      </c>
      <c r="P2" s="137" t="s">
        <v>205</v>
      </c>
      <c r="Q2" s="138">
        <v>480</v>
      </c>
      <c r="R2" s="137" t="s">
        <v>252</v>
      </c>
      <c r="S2" s="136">
        <v>-6183.5</v>
      </c>
      <c r="T2" s="136" t="s">
        <v>100</v>
      </c>
      <c r="U2" s="136" t="s">
        <v>101</v>
      </c>
      <c r="V2" s="136">
        <v>-6.18</v>
      </c>
      <c r="W2" s="51">
        <v>1</v>
      </c>
      <c r="X2" s="51" t="str">
        <f t="shared" ref="X2:X20" si="1">IF(OR(LEFT(M2,1)="6",LEFT(M2,1)="7"),"6/7",LEFT(M2,1))</f>
        <v>8</v>
      </c>
      <c r="Y2" s="51" t="str">
        <f>VLOOKUP(X2,Sheet6.!$B$3:$C$9,2,0)</f>
        <v>Client 75% / Supplier 25%</v>
      </c>
      <c r="Z2" s="129">
        <f>+$V2*VLOOKUP($X2,Sheet6.!$B$3:$E$9,3,0)</f>
        <v>-1.5449999999999999</v>
      </c>
      <c r="AA2" s="129">
        <f>+$V2*VLOOKUP($X2,Sheet6.!$B$3:$E$9,4,0)</f>
        <v>-4.6349999999999998</v>
      </c>
    </row>
    <row r="3" spans="1:27" ht="15" hidden="1" customHeight="1" x14ac:dyDescent="0.25">
      <c r="A3" s="51" t="str">
        <f t="shared" ref="A3:A66" si="2">+IF(B3="Added","Added","Unresolved")</f>
        <v>Added</v>
      </c>
      <c r="B3" s="51" t="s">
        <v>96</v>
      </c>
      <c r="C3" s="91">
        <v>413</v>
      </c>
      <c r="D3" s="91" t="s">
        <v>188</v>
      </c>
      <c r="E3" s="91" t="s">
        <v>22</v>
      </c>
      <c r="F3" s="91">
        <v>1350</v>
      </c>
      <c r="G3" s="91" t="s">
        <v>115</v>
      </c>
      <c r="H3" s="91" t="s">
        <v>19</v>
      </c>
      <c r="I3" s="134">
        <v>4130110158156</v>
      </c>
      <c r="J3" s="92" t="s">
        <v>39</v>
      </c>
      <c r="K3" s="92" t="s">
        <v>218</v>
      </c>
      <c r="L3" s="117">
        <v>42642</v>
      </c>
      <c r="M3" s="136" t="s">
        <v>117</v>
      </c>
      <c r="N3" s="136" t="s">
        <v>118</v>
      </c>
      <c r="O3" s="137">
        <v>42706</v>
      </c>
      <c r="P3" s="137" t="s">
        <v>261</v>
      </c>
      <c r="Q3" s="138">
        <v>207</v>
      </c>
      <c r="R3" s="137" t="s">
        <v>99</v>
      </c>
      <c r="S3" s="136">
        <v>27968</v>
      </c>
      <c r="T3" s="136" t="s">
        <v>100</v>
      </c>
      <c r="U3" s="136" t="s">
        <v>101</v>
      </c>
      <c r="V3" s="136">
        <v>27.97</v>
      </c>
      <c r="W3" s="51">
        <v>1</v>
      </c>
      <c r="X3" s="51" t="str">
        <f t="shared" si="1"/>
        <v>6/7</v>
      </c>
      <c r="Y3" s="51" t="str">
        <f>VLOOKUP(X3,Sheet6.!$B$3:$C$9,2,0)</f>
        <v>50% / 50%</v>
      </c>
      <c r="Z3" s="129">
        <f>+$V3*VLOOKUP($X3,Sheet6.!$B$3:$E$9,3,0)</f>
        <v>13.984999999999999</v>
      </c>
      <c r="AA3" s="129">
        <f>+$V3*VLOOKUP($X3,Sheet6.!$B$3:$E$9,4,0)</f>
        <v>13.984999999999999</v>
      </c>
    </row>
    <row r="4" spans="1:27" ht="15" hidden="1" customHeight="1" x14ac:dyDescent="0.25">
      <c r="A4" s="51" t="str">
        <f t="shared" si="2"/>
        <v>Unresolved</v>
      </c>
      <c r="B4" s="51" t="s">
        <v>466</v>
      </c>
      <c r="C4" s="91">
        <v>413</v>
      </c>
      <c r="D4" s="91" t="s">
        <v>188</v>
      </c>
      <c r="E4" s="91" t="s">
        <v>22</v>
      </c>
      <c r="F4" s="91">
        <v>1350</v>
      </c>
      <c r="G4" s="91" t="s">
        <v>115</v>
      </c>
      <c r="H4" s="91" t="s">
        <v>19</v>
      </c>
      <c r="I4" s="134">
        <v>4130110158423</v>
      </c>
      <c r="J4" s="92" t="s">
        <v>39</v>
      </c>
      <c r="K4" s="92" t="s">
        <v>218</v>
      </c>
      <c r="L4" s="117">
        <v>42642</v>
      </c>
      <c r="M4" s="136" t="s">
        <v>117</v>
      </c>
      <c r="N4" s="136" t="s">
        <v>118</v>
      </c>
      <c r="O4" s="137">
        <v>42706</v>
      </c>
      <c r="P4" s="137" t="s">
        <v>261</v>
      </c>
      <c r="Q4" s="138">
        <v>207</v>
      </c>
      <c r="R4" s="137" t="s">
        <v>99</v>
      </c>
      <c r="S4" s="136">
        <v>11440</v>
      </c>
      <c r="T4" s="136" t="s">
        <v>100</v>
      </c>
      <c r="U4" s="136" t="s">
        <v>101</v>
      </c>
      <c r="V4" s="136">
        <v>11.44</v>
      </c>
      <c r="W4" s="51">
        <v>1</v>
      </c>
      <c r="X4" s="51" t="str">
        <f t="shared" si="1"/>
        <v>6/7</v>
      </c>
      <c r="Y4" s="51" t="str">
        <f>VLOOKUP(X4,Sheet6.!$B$3:$C$9,2,0)</f>
        <v>50% / 50%</v>
      </c>
      <c r="Z4" s="129">
        <f>+$V4*VLOOKUP($X4,Sheet6.!$B$3:$E$9,3,0)</f>
        <v>5.72</v>
      </c>
      <c r="AA4" s="129">
        <f>+$V4*VLOOKUP($X4,Sheet6.!$B$3:$E$9,4,0)</f>
        <v>5.72</v>
      </c>
    </row>
    <row r="5" spans="1:27" ht="15" hidden="1" customHeight="1" x14ac:dyDescent="0.25">
      <c r="A5" s="51" t="str">
        <f t="shared" si="2"/>
        <v>Unresolved</v>
      </c>
      <c r="B5" s="51" t="s">
        <v>466</v>
      </c>
      <c r="C5" s="91">
        <v>429</v>
      </c>
      <c r="D5" s="91" t="s">
        <v>231</v>
      </c>
      <c r="E5" s="91" t="s">
        <v>22</v>
      </c>
      <c r="F5" s="91">
        <v>1350</v>
      </c>
      <c r="G5" s="91" t="s">
        <v>115</v>
      </c>
      <c r="H5" s="91" t="s">
        <v>19</v>
      </c>
      <c r="I5" s="134">
        <v>80802767</v>
      </c>
      <c r="J5" s="92" t="s">
        <v>58</v>
      </c>
      <c r="K5" s="92" t="s">
        <v>266</v>
      </c>
      <c r="L5" s="117">
        <v>42647</v>
      </c>
      <c r="M5" s="136" t="s">
        <v>98</v>
      </c>
      <c r="N5" s="136" t="s">
        <v>9</v>
      </c>
      <c r="O5" s="137">
        <v>42706</v>
      </c>
      <c r="P5" s="137" t="s">
        <v>261</v>
      </c>
      <c r="Q5" s="138">
        <v>207</v>
      </c>
      <c r="R5" s="137" t="s">
        <v>99</v>
      </c>
      <c r="S5" s="136">
        <v>17600</v>
      </c>
      <c r="T5" s="136" t="s">
        <v>100</v>
      </c>
      <c r="U5" s="136" t="s">
        <v>101</v>
      </c>
      <c r="V5" s="136">
        <v>17.600000000000001</v>
      </c>
      <c r="W5" s="51">
        <v>1</v>
      </c>
      <c r="X5" s="51" t="str">
        <f t="shared" si="1"/>
        <v>1</v>
      </c>
      <c r="Y5" s="51" t="str">
        <f>VLOOKUP(X5,Sheet6.!$B$3:$C$9,2,0)</f>
        <v>Supplier 100%</v>
      </c>
      <c r="Z5" s="129">
        <f>+$V5*VLOOKUP($X5,Sheet6.!$B$3:$E$9,3,0)</f>
        <v>17.600000000000001</v>
      </c>
      <c r="AA5" s="129">
        <f>+$V5*VLOOKUP($X5,Sheet6.!$B$3:$E$9,4,0)</f>
        <v>0</v>
      </c>
    </row>
    <row r="6" spans="1:27" ht="15" hidden="1" customHeight="1" x14ac:dyDescent="0.25">
      <c r="A6" s="51" t="str">
        <f t="shared" si="2"/>
        <v>Unresolved</v>
      </c>
      <c r="B6" s="51" t="s">
        <v>466</v>
      </c>
      <c r="C6" s="91">
        <v>429</v>
      </c>
      <c r="D6" s="91" t="s">
        <v>231</v>
      </c>
      <c r="E6" s="91" t="s">
        <v>22</v>
      </c>
      <c r="F6" s="91">
        <v>1350</v>
      </c>
      <c r="G6" s="91" t="s">
        <v>115</v>
      </c>
      <c r="H6" s="91" t="s">
        <v>19</v>
      </c>
      <c r="I6" s="134">
        <v>80802790</v>
      </c>
      <c r="J6" s="92" t="s">
        <v>58</v>
      </c>
      <c r="K6" s="92" t="s">
        <v>266</v>
      </c>
      <c r="L6" s="117">
        <v>42647</v>
      </c>
      <c r="M6" s="136" t="s">
        <v>98</v>
      </c>
      <c r="N6" s="136" t="s">
        <v>9</v>
      </c>
      <c r="O6" s="137">
        <v>42706</v>
      </c>
      <c r="P6" s="137" t="s">
        <v>261</v>
      </c>
      <c r="Q6" s="138">
        <v>207</v>
      </c>
      <c r="R6" s="137" t="s">
        <v>99</v>
      </c>
      <c r="S6" s="136">
        <v>12800</v>
      </c>
      <c r="T6" s="136" t="s">
        <v>100</v>
      </c>
      <c r="U6" s="136" t="s">
        <v>101</v>
      </c>
      <c r="V6" s="136">
        <v>12.8</v>
      </c>
      <c r="W6" s="51">
        <v>1</v>
      </c>
      <c r="X6" s="51" t="str">
        <f t="shared" si="1"/>
        <v>1</v>
      </c>
      <c r="Y6" s="51" t="str">
        <f>VLOOKUP(X6,Sheet6.!$B$3:$C$9,2,0)</f>
        <v>Supplier 100%</v>
      </c>
      <c r="Z6" s="129">
        <f>+$V6*VLOOKUP($X6,Sheet6.!$B$3:$E$9,3,0)</f>
        <v>12.8</v>
      </c>
      <c r="AA6" s="129">
        <f>+$V6*VLOOKUP($X6,Sheet6.!$B$3:$E$9,4,0)</f>
        <v>0</v>
      </c>
    </row>
    <row r="7" spans="1:27" ht="15" hidden="1" customHeight="1" x14ac:dyDescent="0.25">
      <c r="A7" s="51" t="str">
        <f t="shared" si="2"/>
        <v>Unresolved</v>
      </c>
      <c r="B7" s="51" t="s">
        <v>466</v>
      </c>
      <c r="C7" s="91">
        <v>429</v>
      </c>
      <c r="D7" s="91" t="s">
        <v>231</v>
      </c>
      <c r="E7" s="91" t="s">
        <v>22</v>
      </c>
      <c r="F7" s="91">
        <v>1350</v>
      </c>
      <c r="G7" s="91" t="s">
        <v>115</v>
      </c>
      <c r="H7" s="91" t="s">
        <v>19</v>
      </c>
      <c r="I7" s="134">
        <v>80802867</v>
      </c>
      <c r="J7" s="92" t="s">
        <v>58</v>
      </c>
      <c r="K7" s="92" t="s">
        <v>266</v>
      </c>
      <c r="L7" s="117">
        <v>42647</v>
      </c>
      <c r="M7" s="136" t="s">
        <v>98</v>
      </c>
      <c r="N7" s="136" t="s">
        <v>9</v>
      </c>
      <c r="O7" s="137">
        <v>42706</v>
      </c>
      <c r="P7" s="137" t="s">
        <v>261</v>
      </c>
      <c r="Q7" s="138">
        <v>207</v>
      </c>
      <c r="R7" s="137" t="s">
        <v>99</v>
      </c>
      <c r="S7" s="136">
        <v>18400</v>
      </c>
      <c r="T7" s="136" t="s">
        <v>100</v>
      </c>
      <c r="U7" s="136" t="s">
        <v>101</v>
      </c>
      <c r="V7" s="136">
        <v>18.399999999999999</v>
      </c>
      <c r="W7" s="51">
        <v>1</v>
      </c>
      <c r="X7" s="51" t="str">
        <f t="shared" si="1"/>
        <v>1</v>
      </c>
      <c r="Y7" s="51" t="str">
        <f>VLOOKUP(X7,Sheet6.!$B$3:$C$9,2,0)</f>
        <v>Supplier 100%</v>
      </c>
      <c r="Z7" s="129">
        <f>+$V7*VLOOKUP($X7,Sheet6.!$B$3:$E$9,3,0)</f>
        <v>18.399999999999999</v>
      </c>
      <c r="AA7" s="129">
        <f>+$V7*VLOOKUP($X7,Sheet6.!$B$3:$E$9,4,0)</f>
        <v>0</v>
      </c>
    </row>
    <row r="8" spans="1:27" ht="15" hidden="1" customHeight="1" x14ac:dyDescent="0.25">
      <c r="A8" s="51" t="str">
        <f t="shared" si="2"/>
        <v>Unresolved</v>
      </c>
      <c r="B8" s="51" t="s">
        <v>466</v>
      </c>
      <c r="C8" s="91">
        <v>3019</v>
      </c>
      <c r="D8" s="91" t="s">
        <v>267</v>
      </c>
      <c r="E8" s="91" t="s">
        <v>21</v>
      </c>
      <c r="F8" s="91">
        <v>8113</v>
      </c>
      <c r="G8" s="91" t="s">
        <v>268</v>
      </c>
      <c r="H8" s="91" t="s">
        <v>20</v>
      </c>
      <c r="I8" s="134">
        <v>30190110007798</v>
      </c>
      <c r="J8" s="92" t="s">
        <v>58</v>
      </c>
      <c r="K8" s="92" t="s">
        <v>198</v>
      </c>
      <c r="L8" s="117">
        <v>42697</v>
      </c>
      <c r="M8" s="136" t="s">
        <v>98</v>
      </c>
      <c r="N8" s="136" t="s">
        <v>9</v>
      </c>
      <c r="O8" s="137">
        <v>42706</v>
      </c>
      <c r="P8" s="137" t="s">
        <v>261</v>
      </c>
      <c r="Q8" s="138">
        <v>207</v>
      </c>
      <c r="R8" s="137" t="s">
        <v>99</v>
      </c>
      <c r="S8" s="136">
        <v>4363.16</v>
      </c>
      <c r="T8" s="136" t="s">
        <v>100</v>
      </c>
      <c r="U8" s="136" t="s">
        <v>101</v>
      </c>
      <c r="V8" s="136">
        <v>4.3600000000000003</v>
      </c>
      <c r="W8" s="51">
        <v>1</v>
      </c>
      <c r="X8" s="51" t="str">
        <f t="shared" si="1"/>
        <v>1</v>
      </c>
      <c r="Y8" s="51" t="str">
        <f>VLOOKUP(X8,Sheet6.!$B$3:$C$9,2,0)</f>
        <v>Supplier 100%</v>
      </c>
      <c r="Z8" s="129">
        <f>+$V8*VLOOKUP($X8,Sheet6.!$B$3:$E$9,3,0)</f>
        <v>4.3600000000000003</v>
      </c>
      <c r="AA8" s="129">
        <f>+$V8*VLOOKUP($X8,Sheet6.!$B$3:$E$9,4,0)</f>
        <v>0</v>
      </c>
    </row>
    <row r="9" spans="1:27" ht="15" hidden="1" customHeight="1" x14ac:dyDescent="0.25">
      <c r="A9" s="51" t="str">
        <f t="shared" si="2"/>
        <v>Unresolved</v>
      </c>
      <c r="B9" s="51" t="s">
        <v>466</v>
      </c>
      <c r="C9" s="91">
        <v>635</v>
      </c>
      <c r="D9" s="91" t="s">
        <v>187</v>
      </c>
      <c r="E9" s="91" t="s">
        <v>21</v>
      </c>
      <c r="F9" s="91">
        <v>1350</v>
      </c>
      <c r="G9" s="91" t="s">
        <v>115</v>
      </c>
      <c r="H9" s="91" t="s">
        <v>19</v>
      </c>
      <c r="I9" s="134">
        <v>63503300004708</v>
      </c>
      <c r="J9" s="92" t="s">
        <v>39</v>
      </c>
      <c r="K9" s="92" t="s">
        <v>217</v>
      </c>
      <c r="L9" s="117">
        <v>42543</v>
      </c>
      <c r="M9" s="136" t="s">
        <v>117</v>
      </c>
      <c r="N9" s="136" t="s">
        <v>118</v>
      </c>
      <c r="O9" s="137">
        <v>42618</v>
      </c>
      <c r="P9" s="137" t="s">
        <v>206</v>
      </c>
      <c r="Q9" s="138">
        <v>295</v>
      </c>
      <c r="R9" s="137" t="s">
        <v>99</v>
      </c>
      <c r="S9" s="136">
        <v>12129.08</v>
      </c>
      <c r="T9" s="136" t="s">
        <v>100</v>
      </c>
      <c r="U9" s="136" t="s">
        <v>101</v>
      </c>
      <c r="V9" s="136">
        <v>12.13</v>
      </c>
      <c r="W9" s="51">
        <v>1</v>
      </c>
      <c r="X9" s="51" t="str">
        <f t="shared" si="1"/>
        <v>6/7</v>
      </c>
      <c r="Y9" s="51" t="str">
        <f>VLOOKUP(X9,Sheet6.!$B$3:$C$9,2,0)</f>
        <v>50% / 50%</v>
      </c>
      <c r="Z9" s="129">
        <f>+$V9*VLOOKUP($X9,Sheet6.!$B$3:$E$9,3,0)</f>
        <v>6.0650000000000004</v>
      </c>
      <c r="AA9" s="129">
        <f>+$V9*VLOOKUP($X9,Sheet6.!$B$3:$E$9,4,0)</f>
        <v>6.0650000000000004</v>
      </c>
    </row>
    <row r="10" spans="1:27" ht="15" hidden="1" customHeight="1" x14ac:dyDescent="0.25">
      <c r="A10" s="51" t="str">
        <f t="shared" si="2"/>
        <v>Unresolved</v>
      </c>
      <c r="B10" s="51" t="s">
        <v>466</v>
      </c>
      <c r="C10" s="91">
        <v>693</v>
      </c>
      <c r="D10" s="91" t="s">
        <v>190</v>
      </c>
      <c r="E10" s="91" t="s">
        <v>21</v>
      </c>
      <c r="F10" s="91">
        <v>95</v>
      </c>
      <c r="G10" s="91" t="s">
        <v>110</v>
      </c>
      <c r="H10" s="91" t="s">
        <v>18</v>
      </c>
      <c r="I10" s="134">
        <v>69308300001418</v>
      </c>
      <c r="J10" s="92" t="s">
        <v>43</v>
      </c>
      <c r="K10" s="92" t="s">
        <v>246</v>
      </c>
      <c r="L10" s="117">
        <v>42636</v>
      </c>
      <c r="M10" s="136" t="s">
        <v>122</v>
      </c>
      <c r="N10" s="136" t="s">
        <v>9</v>
      </c>
      <c r="O10" s="137">
        <v>42706</v>
      </c>
      <c r="P10" s="137" t="s">
        <v>261</v>
      </c>
      <c r="Q10" s="138">
        <v>207</v>
      </c>
      <c r="R10" s="137" t="s">
        <v>99</v>
      </c>
      <c r="S10" s="136">
        <v>-6191.64</v>
      </c>
      <c r="T10" s="136" t="s">
        <v>100</v>
      </c>
      <c r="U10" s="136" t="s">
        <v>101</v>
      </c>
      <c r="V10" s="136">
        <v>-6.19</v>
      </c>
      <c r="W10" s="51">
        <v>1</v>
      </c>
      <c r="X10" s="51" t="str">
        <f t="shared" si="1"/>
        <v>4</v>
      </c>
      <c r="Y10" s="51" t="str">
        <f>VLOOKUP(X10,Sheet6.!$B$3:$C$9,2,0)</f>
        <v>50% / 50%</v>
      </c>
      <c r="Z10" s="129">
        <f>+$V10*VLOOKUP($X10,Sheet6.!$B$3:$E$9,3,0)</f>
        <v>-3.0950000000000002</v>
      </c>
      <c r="AA10" s="129">
        <f>+$V10*VLOOKUP($X10,Sheet6.!$B$3:$E$9,4,0)</f>
        <v>-3.0950000000000002</v>
      </c>
    </row>
    <row r="11" spans="1:27" ht="15" hidden="1" customHeight="1" x14ac:dyDescent="0.25">
      <c r="A11" s="51" t="str">
        <f t="shared" si="2"/>
        <v>Unresolved</v>
      </c>
      <c r="B11" s="51" t="s">
        <v>466</v>
      </c>
      <c r="C11" s="91">
        <v>95</v>
      </c>
      <c r="D11" s="91" t="s">
        <v>110</v>
      </c>
      <c r="E11" s="91" t="s">
        <v>18</v>
      </c>
      <c r="F11" s="91">
        <v>8520</v>
      </c>
      <c r="G11" s="91" t="s">
        <v>186</v>
      </c>
      <c r="H11" s="91" t="s">
        <v>15</v>
      </c>
      <c r="I11" s="134" t="s">
        <v>226</v>
      </c>
      <c r="J11" s="92" t="s">
        <v>45</v>
      </c>
      <c r="K11" s="92" t="s">
        <v>136</v>
      </c>
      <c r="L11" s="117">
        <v>42649</v>
      </c>
      <c r="M11" s="136" t="s">
        <v>121</v>
      </c>
      <c r="N11" s="136" t="s">
        <v>9</v>
      </c>
      <c r="O11" s="137">
        <v>42649</v>
      </c>
      <c r="P11" s="137" t="s">
        <v>206</v>
      </c>
      <c r="Q11" s="138">
        <v>264</v>
      </c>
      <c r="R11" s="137" t="s">
        <v>99</v>
      </c>
      <c r="S11" s="136">
        <v>108349.32</v>
      </c>
      <c r="T11" s="136" t="s">
        <v>100</v>
      </c>
      <c r="U11" s="136" t="s">
        <v>101</v>
      </c>
      <c r="V11" s="136">
        <v>108.35</v>
      </c>
      <c r="W11" s="51">
        <v>1</v>
      </c>
      <c r="X11" s="51" t="str">
        <f t="shared" si="1"/>
        <v>3</v>
      </c>
      <c r="Y11" s="51" t="str">
        <f>VLOOKUP(X11,Sheet6.!$B$3:$C$9,2,0)</f>
        <v>50% / 50%</v>
      </c>
      <c r="Z11" s="129">
        <f>+$V11*VLOOKUP($X11,Sheet6.!$B$3:$E$9,3,0)</f>
        <v>54.174999999999997</v>
      </c>
      <c r="AA11" s="129">
        <f>+$V11*VLOOKUP($X11,Sheet6.!$B$3:$E$9,4,0)</f>
        <v>54.174999999999997</v>
      </c>
    </row>
    <row r="12" spans="1:27" ht="15" hidden="1" customHeight="1" x14ac:dyDescent="0.25">
      <c r="A12" s="51" t="str">
        <f t="shared" si="2"/>
        <v>Unresolved</v>
      </c>
      <c r="B12" s="51" t="s">
        <v>466</v>
      </c>
      <c r="C12" s="91">
        <v>95</v>
      </c>
      <c r="D12" s="91" t="s">
        <v>110</v>
      </c>
      <c r="E12" s="91" t="s">
        <v>18</v>
      </c>
      <c r="F12" s="91">
        <v>8520</v>
      </c>
      <c r="G12" s="91" t="s">
        <v>186</v>
      </c>
      <c r="H12" s="91" t="s">
        <v>15</v>
      </c>
      <c r="I12" s="134" t="s">
        <v>227</v>
      </c>
      <c r="J12" s="92" t="s">
        <v>45</v>
      </c>
      <c r="K12" s="92" t="s">
        <v>136</v>
      </c>
      <c r="L12" s="117">
        <v>42649</v>
      </c>
      <c r="M12" s="136" t="s">
        <v>121</v>
      </c>
      <c r="N12" s="136" t="s">
        <v>9</v>
      </c>
      <c r="O12" s="137">
        <v>42649</v>
      </c>
      <c r="P12" s="137" t="s">
        <v>206</v>
      </c>
      <c r="Q12" s="138">
        <v>264</v>
      </c>
      <c r="R12" s="137" t="s">
        <v>99</v>
      </c>
      <c r="S12" s="136">
        <v>152869.15</v>
      </c>
      <c r="T12" s="136" t="s">
        <v>100</v>
      </c>
      <c r="U12" s="136" t="s">
        <v>101</v>
      </c>
      <c r="V12" s="136">
        <v>152.87</v>
      </c>
      <c r="W12" s="51">
        <v>1</v>
      </c>
      <c r="X12" s="51" t="str">
        <f t="shared" si="1"/>
        <v>3</v>
      </c>
      <c r="Y12" s="51" t="str">
        <f>VLOOKUP(X12,Sheet6.!$B$3:$C$9,2,0)</f>
        <v>50% / 50%</v>
      </c>
      <c r="Z12" s="129">
        <f>+$V12*VLOOKUP($X12,Sheet6.!$B$3:$E$9,3,0)</f>
        <v>76.435000000000002</v>
      </c>
      <c r="AA12" s="129">
        <f>+$V12*VLOOKUP($X12,Sheet6.!$B$3:$E$9,4,0)</f>
        <v>76.435000000000002</v>
      </c>
    </row>
    <row r="13" spans="1:27" ht="15" hidden="1" customHeight="1" x14ac:dyDescent="0.25">
      <c r="A13" s="51" t="str">
        <f t="shared" si="2"/>
        <v>Unresolved</v>
      </c>
      <c r="B13" s="51" t="s">
        <v>466</v>
      </c>
      <c r="C13" s="91">
        <v>635</v>
      </c>
      <c r="D13" s="91" t="s">
        <v>187</v>
      </c>
      <c r="E13" s="91" t="s">
        <v>21</v>
      </c>
      <c r="F13" s="91">
        <v>692</v>
      </c>
      <c r="G13" s="91" t="s">
        <v>174</v>
      </c>
      <c r="H13" s="91" t="s">
        <v>21</v>
      </c>
      <c r="I13" s="134">
        <v>63503300004994</v>
      </c>
      <c r="J13" s="92" t="s">
        <v>56</v>
      </c>
      <c r="K13" s="92" t="s">
        <v>247</v>
      </c>
      <c r="L13" s="117">
        <v>42614</v>
      </c>
      <c r="M13" s="136" t="s">
        <v>109</v>
      </c>
      <c r="N13" s="136" t="s">
        <v>10</v>
      </c>
      <c r="O13" s="137">
        <v>42648</v>
      </c>
      <c r="P13" s="137" t="s">
        <v>206</v>
      </c>
      <c r="Q13" s="138">
        <v>265</v>
      </c>
      <c r="R13" s="137" t="s">
        <v>99</v>
      </c>
      <c r="S13" s="136">
        <v>-13288.7</v>
      </c>
      <c r="T13" s="136" t="s">
        <v>100</v>
      </c>
      <c r="U13" s="136" t="s">
        <v>105</v>
      </c>
      <c r="V13" s="136">
        <v>-13.29</v>
      </c>
      <c r="W13" s="51">
        <v>1</v>
      </c>
      <c r="X13" s="51" t="str">
        <f t="shared" si="1"/>
        <v>8</v>
      </c>
      <c r="Y13" s="51" t="str">
        <f>VLOOKUP(X13,Sheet6.!$B$3:$C$9,2,0)</f>
        <v>Client 75% / Supplier 25%</v>
      </c>
      <c r="Z13" s="129">
        <f>+$V13*VLOOKUP($X13,Sheet6.!$B$3:$E$9,3,0)</f>
        <v>-3.3224999999999998</v>
      </c>
      <c r="AA13" s="129">
        <f>+$V13*VLOOKUP($X13,Sheet6.!$B$3:$E$9,4,0)</f>
        <v>-9.9674999999999994</v>
      </c>
    </row>
    <row r="14" spans="1:27" ht="15" hidden="1" customHeight="1" x14ac:dyDescent="0.25">
      <c r="A14" s="51" t="str">
        <f t="shared" si="2"/>
        <v>Added</v>
      </c>
      <c r="B14" s="51" t="s">
        <v>96</v>
      </c>
      <c r="C14" s="91">
        <v>8243</v>
      </c>
      <c r="D14" s="91" t="s">
        <v>125</v>
      </c>
      <c r="E14" s="91" t="s">
        <v>14</v>
      </c>
      <c r="F14" s="91">
        <v>95</v>
      </c>
      <c r="G14" s="91" t="s">
        <v>110</v>
      </c>
      <c r="H14" s="91" t="s">
        <v>18</v>
      </c>
      <c r="I14" s="134">
        <v>82430169003337</v>
      </c>
      <c r="J14" s="92" t="s">
        <v>56</v>
      </c>
      <c r="K14" s="92" t="s">
        <v>461</v>
      </c>
      <c r="L14" s="117">
        <v>42677</v>
      </c>
      <c r="M14" s="136" t="s">
        <v>122</v>
      </c>
      <c r="N14" s="136" t="s">
        <v>9</v>
      </c>
      <c r="O14" s="137">
        <v>42732</v>
      </c>
      <c r="P14" s="137" t="s">
        <v>261</v>
      </c>
      <c r="Q14" s="138">
        <v>181</v>
      </c>
      <c r="R14" s="137" t="s">
        <v>99</v>
      </c>
      <c r="S14" s="136">
        <v>18840</v>
      </c>
      <c r="T14" s="136" t="s">
        <v>100</v>
      </c>
      <c r="U14" s="136" t="s">
        <v>101</v>
      </c>
      <c r="V14" s="136">
        <v>18.84</v>
      </c>
      <c r="W14" s="51">
        <v>1</v>
      </c>
      <c r="X14" s="51" t="str">
        <f t="shared" si="1"/>
        <v>4</v>
      </c>
      <c r="Y14" s="51" t="str">
        <f>VLOOKUP(X14,Sheet6.!$B$3:$C$9,2,0)</f>
        <v>50% / 50%</v>
      </c>
      <c r="Z14" s="129">
        <f>+$V14*VLOOKUP($X14,Sheet6.!$B$3:$E$9,3,0)</f>
        <v>9.42</v>
      </c>
      <c r="AA14" s="129">
        <f>+$V14*VLOOKUP($X14,Sheet6.!$B$3:$E$9,4,0)</f>
        <v>9.42</v>
      </c>
    </row>
    <row r="15" spans="1:27" hidden="1" x14ac:dyDescent="0.25">
      <c r="A15" s="51" t="str">
        <f t="shared" si="2"/>
        <v>Added</v>
      </c>
      <c r="B15" s="51" t="s">
        <v>96</v>
      </c>
      <c r="C15" s="91">
        <v>260</v>
      </c>
      <c r="D15" s="91" t="s">
        <v>114</v>
      </c>
      <c r="E15" s="91" t="s">
        <v>17</v>
      </c>
      <c r="F15" s="91">
        <v>95</v>
      </c>
      <c r="G15" s="91" t="s">
        <v>110</v>
      </c>
      <c r="H15" s="91" t="s">
        <v>18</v>
      </c>
      <c r="I15" s="134">
        <v>260013008109</v>
      </c>
      <c r="J15" s="92" t="s">
        <v>56</v>
      </c>
      <c r="K15" s="92" t="s">
        <v>269</v>
      </c>
      <c r="L15" s="117">
        <v>42646</v>
      </c>
      <c r="M15" s="136" t="s">
        <v>109</v>
      </c>
      <c r="N15" s="136" t="s">
        <v>10</v>
      </c>
      <c r="O15" s="137">
        <v>42709</v>
      </c>
      <c r="P15" s="137" t="s">
        <v>261</v>
      </c>
      <c r="Q15" s="138">
        <v>204</v>
      </c>
      <c r="R15" s="137" t="s">
        <v>99</v>
      </c>
      <c r="S15" s="136">
        <v>45011.25</v>
      </c>
      <c r="T15" s="136" t="s">
        <v>116</v>
      </c>
      <c r="U15" s="136" t="s">
        <v>101</v>
      </c>
      <c r="V15" s="136">
        <v>51.26</v>
      </c>
      <c r="W15" s="51">
        <v>1</v>
      </c>
      <c r="X15" s="51" t="str">
        <f t="shared" si="1"/>
        <v>8</v>
      </c>
      <c r="Y15" s="51" t="str">
        <f>VLOOKUP(X15,Sheet6.!$B$3:$C$9,2,0)</f>
        <v>Client 75% / Supplier 25%</v>
      </c>
      <c r="Z15" s="129">
        <f>+$V15*VLOOKUP($X15,Sheet6.!$B$3:$E$9,3,0)</f>
        <v>12.815</v>
      </c>
      <c r="AA15" s="129">
        <f>+$V15*VLOOKUP($X15,Sheet6.!$B$3:$E$9,4,0)</f>
        <v>38.445</v>
      </c>
    </row>
    <row r="16" spans="1:27" ht="15" hidden="1" customHeight="1" x14ac:dyDescent="0.25">
      <c r="A16" s="51" t="str">
        <f t="shared" si="2"/>
        <v>Added</v>
      </c>
      <c r="B16" s="51" t="s">
        <v>96</v>
      </c>
      <c r="C16" s="91">
        <v>260</v>
      </c>
      <c r="D16" s="91" t="s">
        <v>114</v>
      </c>
      <c r="E16" s="91" t="s">
        <v>17</v>
      </c>
      <c r="F16" s="91">
        <v>95</v>
      </c>
      <c r="G16" s="91" t="s">
        <v>110</v>
      </c>
      <c r="H16" s="91" t="s">
        <v>18</v>
      </c>
      <c r="I16" s="134">
        <v>260013008121</v>
      </c>
      <c r="J16" s="92" t="s">
        <v>56</v>
      </c>
      <c r="K16" s="92" t="s">
        <v>270</v>
      </c>
      <c r="L16" s="117">
        <v>42646</v>
      </c>
      <c r="M16" s="136" t="s">
        <v>104</v>
      </c>
      <c r="N16" s="136" t="s">
        <v>9</v>
      </c>
      <c r="O16" s="137">
        <v>42709</v>
      </c>
      <c r="P16" s="137" t="s">
        <v>261</v>
      </c>
      <c r="Q16" s="138">
        <v>204</v>
      </c>
      <c r="R16" s="137" t="s">
        <v>99</v>
      </c>
      <c r="S16" s="136">
        <v>11151.4</v>
      </c>
      <c r="T16" s="136" t="s">
        <v>116</v>
      </c>
      <c r="U16" s="136" t="s">
        <v>101</v>
      </c>
      <c r="V16" s="136">
        <v>12.7</v>
      </c>
      <c r="W16" s="51">
        <v>1</v>
      </c>
      <c r="X16" s="51" t="str">
        <f t="shared" si="1"/>
        <v>2</v>
      </c>
      <c r="Y16" s="51" t="str">
        <f>VLOOKUP(X16,Sheet6.!$B$3:$C$9,2,0)</f>
        <v>50% / 50%</v>
      </c>
      <c r="Z16" s="129">
        <f>+$V16*VLOOKUP($X16,Sheet6.!$B$3:$E$9,3,0)</f>
        <v>6.35</v>
      </c>
      <c r="AA16" s="129">
        <f>+$V16*VLOOKUP($X16,Sheet6.!$B$3:$E$9,4,0)</f>
        <v>6.35</v>
      </c>
    </row>
    <row r="17" spans="1:27" hidden="1" x14ac:dyDescent="0.25">
      <c r="A17" s="51" t="str">
        <f t="shared" si="2"/>
        <v>Added</v>
      </c>
      <c r="B17" s="51" t="s">
        <v>96</v>
      </c>
      <c r="C17" s="91">
        <v>8520</v>
      </c>
      <c r="D17" s="91" t="s">
        <v>186</v>
      </c>
      <c r="E17" s="91" t="s">
        <v>15</v>
      </c>
      <c r="F17" s="91">
        <v>199</v>
      </c>
      <c r="G17" s="91" t="s">
        <v>124</v>
      </c>
      <c r="H17" s="91" t="s">
        <v>20</v>
      </c>
      <c r="I17" s="134">
        <v>85200330013495</v>
      </c>
      <c r="J17" s="92" t="s">
        <v>56</v>
      </c>
      <c r="K17" s="92" t="s">
        <v>200</v>
      </c>
      <c r="L17" s="117">
        <v>42584</v>
      </c>
      <c r="M17" s="136" t="s">
        <v>109</v>
      </c>
      <c r="N17" s="136" t="s">
        <v>10</v>
      </c>
      <c r="O17" s="137">
        <v>42618</v>
      </c>
      <c r="P17" s="137" t="s">
        <v>206</v>
      </c>
      <c r="Q17" s="138">
        <v>295</v>
      </c>
      <c r="R17" s="137" t="s">
        <v>99</v>
      </c>
      <c r="S17" s="136">
        <v>386956.25</v>
      </c>
      <c r="T17" s="136" t="s">
        <v>119</v>
      </c>
      <c r="U17" s="136" t="s">
        <v>101</v>
      </c>
      <c r="V17" s="136">
        <v>5.38</v>
      </c>
      <c r="W17" s="51">
        <v>1</v>
      </c>
      <c r="X17" s="51" t="str">
        <f t="shared" si="1"/>
        <v>8</v>
      </c>
      <c r="Y17" s="51" t="str">
        <f>VLOOKUP(X17,Sheet6.!$B$3:$C$9,2,0)</f>
        <v>Client 75% / Supplier 25%</v>
      </c>
      <c r="Z17" s="129">
        <f>+$V17*VLOOKUP($X17,Sheet6.!$B$3:$E$9,3,0)</f>
        <v>1.345</v>
      </c>
      <c r="AA17" s="129">
        <f>+$V17*VLOOKUP($X17,Sheet6.!$B$3:$E$9,4,0)</f>
        <v>4.0350000000000001</v>
      </c>
    </row>
    <row r="18" spans="1:27" hidden="1" x14ac:dyDescent="0.25">
      <c r="A18" s="51" t="str">
        <f t="shared" si="2"/>
        <v>Added</v>
      </c>
      <c r="B18" s="51" t="s">
        <v>96</v>
      </c>
      <c r="C18" s="91">
        <v>8520</v>
      </c>
      <c r="D18" s="91" t="s">
        <v>186</v>
      </c>
      <c r="E18" s="91" t="s">
        <v>15</v>
      </c>
      <c r="F18" s="91">
        <v>199</v>
      </c>
      <c r="G18" s="91" t="s">
        <v>124</v>
      </c>
      <c r="H18" s="91" t="s">
        <v>20</v>
      </c>
      <c r="I18" s="134">
        <v>85200710012386</v>
      </c>
      <c r="J18" s="92" t="s">
        <v>47</v>
      </c>
      <c r="K18" s="92" t="s">
        <v>142</v>
      </c>
      <c r="L18" s="117">
        <v>42584</v>
      </c>
      <c r="M18" s="136" t="s">
        <v>109</v>
      </c>
      <c r="N18" s="136" t="s">
        <v>10</v>
      </c>
      <c r="O18" s="137">
        <v>42618</v>
      </c>
      <c r="P18" s="137" t="s">
        <v>206</v>
      </c>
      <c r="Q18" s="138">
        <v>295</v>
      </c>
      <c r="R18" s="137" t="s">
        <v>99</v>
      </c>
      <c r="S18" s="136">
        <v>311508.09000000003</v>
      </c>
      <c r="T18" s="136" t="s">
        <v>119</v>
      </c>
      <c r="U18" s="136" t="s">
        <v>101</v>
      </c>
      <c r="V18" s="136">
        <v>4.33</v>
      </c>
      <c r="W18" s="51">
        <v>1</v>
      </c>
      <c r="X18" s="51" t="str">
        <f t="shared" si="1"/>
        <v>8</v>
      </c>
      <c r="Y18" s="51" t="str">
        <f>VLOOKUP(X18,Sheet6.!$B$3:$C$9,2,0)</f>
        <v>Client 75% / Supplier 25%</v>
      </c>
      <c r="Z18" s="129">
        <f>+$V18*VLOOKUP($X18,Sheet6.!$B$3:$E$9,3,0)</f>
        <v>1.0825</v>
      </c>
      <c r="AA18" s="129">
        <f>+$V18*VLOOKUP($X18,Sheet6.!$B$3:$E$9,4,0)</f>
        <v>3.2475000000000001</v>
      </c>
    </row>
    <row r="19" spans="1:27" hidden="1" x14ac:dyDescent="0.25">
      <c r="A19" s="51" t="str">
        <f t="shared" si="2"/>
        <v>Added</v>
      </c>
      <c r="B19" s="51" t="s">
        <v>96</v>
      </c>
      <c r="C19" s="91">
        <v>8520</v>
      </c>
      <c r="D19" s="91" t="s">
        <v>186</v>
      </c>
      <c r="E19" s="91" t="s">
        <v>15</v>
      </c>
      <c r="F19" s="91">
        <v>95</v>
      </c>
      <c r="G19" s="91" t="s">
        <v>110</v>
      </c>
      <c r="H19" s="91" t="s">
        <v>18</v>
      </c>
      <c r="I19" s="134">
        <v>85203830000027</v>
      </c>
      <c r="J19" s="92" t="s">
        <v>47</v>
      </c>
      <c r="K19" s="92" t="s">
        <v>462</v>
      </c>
      <c r="L19" s="117">
        <v>42677</v>
      </c>
      <c r="M19" s="136" t="s">
        <v>109</v>
      </c>
      <c r="N19" s="136" t="s">
        <v>10</v>
      </c>
      <c r="O19" s="137">
        <v>42732</v>
      </c>
      <c r="P19" s="137" t="s">
        <v>261</v>
      </c>
      <c r="Q19" s="138">
        <v>181</v>
      </c>
      <c r="R19" s="137" t="s">
        <v>99</v>
      </c>
      <c r="S19" s="136">
        <v>713907</v>
      </c>
      <c r="T19" s="136" t="s">
        <v>119</v>
      </c>
      <c r="U19" s="136" t="s">
        <v>101</v>
      </c>
      <c r="V19" s="136">
        <v>9.93</v>
      </c>
      <c r="W19" s="51">
        <v>1</v>
      </c>
      <c r="X19" s="51" t="str">
        <f t="shared" si="1"/>
        <v>8</v>
      </c>
      <c r="Y19" s="51" t="str">
        <f>VLOOKUP(X19,Sheet6.!$B$3:$C$9,2,0)</f>
        <v>Client 75% / Supplier 25%</v>
      </c>
      <c r="Z19" s="129">
        <f>+$V19*VLOOKUP($X19,Sheet6.!$B$3:$E$9,3,0)</f>
        <v>2.4824999999999999</v>
      </c>
      <c r="AA19" s="129">
        <f>+$V19*VLOOKUP($X19,Sheet6.!$B$3:$E$9,4,0)</f>
        <v>7.4474999999999998</v>
      </c>
    </row>
    <row r="20" spans="1:27" hidden="1" x14ac:dyDescent="0.25">
      <c r="A20" s="51" t="str">
        <f t="shared" si="2"/>
        <v>Added</v>
      </c>
      <c r="B20" s="51" t="s">
        <v>96</v>
      </c>
      <c r="C20" s="91">
        <v>8520</v>
      </c>
      <c r="D20" s="91" t="s">
        <v>186</v>
      </c>
      <c r="E20" s="91" t="s">
        <v>15</v>
      </c>
      <c r="F20" s="91">
        <v>199</v>
      </c>
      <c r="G20" s="91" t="s">
        <v>124</v>
      </c>
      <c r="H20" s="91" t="s">
        <v>20</v>
      </c>
      <c r="I20" s="134">
        <v>85200410038967</v>
      </c>
      <c r="J20" s="92" t="s">
        <v>41</v>
      </c>
      <c r="K20" s="92" t="s">
        <v>249</v>
      </c>
      <c r="L20" s="117">
        <v>42614</v>
      </c>
      <c r="M20" s="136" t="s">
        <v>109</v>
      </c>
      <c r="N20" s="136" t="s">
        <v>10</v>
      </c>
      <c r="O20" s="137">
        <v>42681</v>
      </c>
      <c r="P20" s="137" t="s">
        <v>261</v>
      </c>
      <c r="Q20" s="138">
        <v>232</v>
      </c>
      <c r="R20" s="137" t="s">
        <v>99</v>
      </c>
      <c r="S20" s="136">
        <v>81738</v>
      </c>
      <c r="T20" s="136" t="s">
        <v>119</v>
      </c>
      <c r="U20" s="136" t="s">
        <v>101</v>
      </c>
      <c r="V20" s="136">
        <v>1.1399999999999999</v>
      </c>
      <c r="W20" s="51">
        <v>1</v>
      </c>
      <c r="X20" s="51" t="str">
        <f t="shared" si="1"/>
        <v>8</v>
      </c>
      <c r="Y20" s="51" t="str">
        <f>VLOOKUP(X20,Sheet6.!$B$3:$C$9,2,0)</f>
        <v>Client 75% / Supplier 25%</v>
      </c>
      <c r="Z20" s="129">
        <f>+$V20*VLOOKUP($X20,Sheet6.!$B$3:$E$9,3,0)</f>
        <v>0.28499999999999998</v>
      </c>
      <c r="AA20" s="129">
        <f>+$V20*VLOOKUP($X20,Sheet6.!$B$3:$E$9,4,0)</f>
        <v>0.85499999999999998</v>
      </c>
    </row>
    <row r="21" spans="1:27" ht="15" hidden="1" customHeight="1" x14ac:dyDescent="0.25">
      <c r="A21" s="51" t="str">
        <f t="shared" si="2"/>
        <v>Unresolved</v>
      </c>
      <c r="B21" s="51" t="s">
        <v>466</v>
      </c>
      <c r="C21" s="91">
        <v>8520</v>
      </c>
      <c r="D21" s="91" t="s">
        <v>186</v>
      </c>
      <c r="E21" s="91" t="s">
        <v>15</v>
      </c>
      <c r="F21" s="91">
        <v>199</v>
      </c>
      <c r="G21" s="91" t="s">
        <v>124</v>
      </c>
      <c r="H21" s="91" t="s">
        <v>20</v>
      </c>
      <c r="I21" s="134">
        <v>85200410038968</v>
      </c>
      <c r="J21" s="92" t="s">
        <v>41</v>
      </c>
      <c r="K21" s="92" t="s">
        <v>249</v>
      </c>
      <c r="L21" s="117">
        <v>42614</v>
      </c>
      <c r="M21" s="136" t="s">
        <v>109</v>
      </c>
      <c r="N21" s="136" t="s">
        <v>10</v>
      </c>
      <c r="O21" s="137">
        <v>42681</v>
      </c>
      <c r="P21" s="137" t="s">
        <v>261</v>
      </c>
      <c r="Q21" s="138">
        <v>232</v>
      </c>
      <c r="R21" s="137" t="s">
        <v>99</v>
      </c>
      <c r="S21" s="136">
        <v>90342</v>
      </c>
      <c r="T21" s="136" t="s">
        <v>119</v>
      </c>
      <c r="U21" s="136" t="s">
        <v>101</v>
      </c>
      <c r="V21" s="136">
        <v>1.26</v>
      </c>
      <c r="W21" s="51">
        <v>1</v>
      </c>
      <c r="X21" s="51" t="str">
        <f t="shared" ref="X21:X72" si="3">IF(OR(LEFT(M21,1)="6",LEFT(M21,1)="7"),"6/7",LEFT(M21,1))</f>
        <v>8</v>
      </c>
      <c r="Y21" s="51" t="str">
        <f>VLOOKUP(X21,Sheet6.!$B$3:$C$9,2,0)</f>
        <v>Client 75% / Supplier 25%</v>
      </c>
      <c r="Z21" s="129">
        <f>+$V21*VLOOKUP($X21,Sheet6.!$B$3:$E$9,3,0)</f>
        <v>0.315</v>
      </c>
      <c r="AA21" s="129">
        <f>+$V21*VLOOKUP($X21,Sheet6.!$B$3:$E$9,4,0)</f>
        <v>0.94500000000000006</v>
      </c>
    </row>
    <row r="22" spans="1:27" ht="15" hidden="1" customHeight="1" x14ac:dyDescent="0.25">
      <c r="A22" s="51" t="str">
        <f t="shared" si="2"/>
        <v>Unresolved</v>
      </c>
      <c r="B22" s="51" t="s">
        <v>466</v>
      </c>
      <c r="C22" s="91">
        <v>8520</v>
      </c>
      <c r="D22" s="91" t="s">
        <v>186</v>
      </c>
      <c r="E22" s="91" t="s">
        <v>15</v>
      </c>
      <c r="F22" s="91">
        <v>199</v>
      </c>
      <c r="G22" s="91" t="s">
        <v>124</v>
      </c>
      <c r="H22" s="91" t="s">
        <v>20</v>
      </c>
      <c r="I22" s="134">
        <v>85200410038969</v>
      </c>
      <c r="J22" s="92" t="s">
        <v>41</v>
      </c>
      <c r="K22" s="92" t="s">
        <v>249</v>
      </c>
      <c r="L22" s="117">
        <v>42614</v>
      </c>
      <c r="M22" s="136" t="s">
        <v>109</v>
      </c>
      <c r="N22" s="136" t="s">
        <v>10</v>
      </c>
      <c r="O22" s="137">
        <v>42681</v>
      </c>
      <c r="P22" s="137" t="s">
        <v>261</v>
      </c>
      <c r="Q22" s="138">
        <v>232</v>
      </c>
      <c r="R22" s="137" t="s">
        <v>99</v>
      </c>
      <c r="S22" s="136">
        <v>94644</v>
      </c>
      <c r="T22" s="136" t="s">
        <v>119</v>
      </c>
      <c r="U22" s="136" t="s">
        <v>101</v>
      </c>
      <c r="V22" s="136">
        <v>1.32</v>
      </c>
      <c r="W22" s="51">
        <v>1</v>
      </c>
      <c r="X22" s="51" t="str">
        <f t="shared" si="3"/>
        <v>8</v>
      </c>
      <c r="Y22" s="51" t="str">
        <f>VLOOKUP(X22,Sheet6.!$B$3:$C$9,2,0)</f>
        <v>Client 75% / Supplier 25%</v>
      </c>
      <c r="Z22" s="129">
        <f>+$V22*VLOOKUP($X22,Sheet6.!$B$3:$E$9,3,0)</f>
        <v>0.33</v>
      </c>
      <c r="AA22" s="129">
        <f>+$V22*VLOOKUP($X22,Sheet6.!$B$3:$E$9,4,0)</f>
        <v>0.99</v>
      </c>
    </row>
    <row r="23" spans="1:27" ht="15" hidden="1" customHeight="1" x14ac:dyDescent="0.25">
      <c r="A23" s="51" t="str">
        <f t="shared" si="2"/>
        <v>Added</v>
      </c>
      <c r="B23" s="51" t="s">
        <v>96</v>
      </c>
      <c r="C23" s="91">
        <v>8520</v>
      </c>
      <c r="D23" s="91" t="s">
        <v>186</v>
      </c>
      <c r="E23" s="91" t="s">
        <v>15</v>
      </c>
      <c r="F23" s="91">
        <v>199</v>
      </c>
      <c r="G23" s="91" t="s">
        <v>124</v>
      </c>
      <c r="H23" s="91" t="s">
        <v>20</v>
      </c>
      <c r="I23" s="134">
        <v>85200410038970</v>
      </c>
      <c r="J23" s="92" t="s">
        <v>41</v>
      </c>
      <c r="K23" s="92" t="s">
        <v>249</v>
      </c>
      <c r="L23" s="117">
        <v>42614</v>
      </c>
      <c r="M23" s="136" t="s">
        <v>109</v>
      </c>
      <c r="N23" s="136" t="s">
        <v>10</v>
      </c>
      <c r="O23" s="137">
        <v>42681</v>
      </c>
      <c r="P23" s="137" t="s">
        <v>261</v>
      </c>
      <c r="Q23" s="138">
        <v>232</v>
      </c>
      <c r="R23" s="137" t="s">
        <v>99</v>
      </c>
      <c r="S23" s="136">
        <v>81738</v>
      </c>
      <c r="T23" s="136" t="s">
        <v>119</v>
      </c>
      <c r="U23" s="136" t="s">
        <v>101</v>
      </c>
      <c r="V23" s="136">
        <v>1.1399999999999999</v>
      </c>
      <c r="W23" s="51">
        <v>1</v>
      </c>
      <c r="X23" s="51" t="str">
        <f t="shared" si="3"/>
        <v>8</v>
      </c>
      <c r="Y23" s="51" t="str">
        <f>VLOOKUP(X23,Sheet6.!$B$3:$C$9,2,0)</f>
        <v>Client 75% / Supplier 25%</v>
      </c>
      <c r="Z23" s="129">
        <f>+$V23*VLOOKUP($X23,Sheet6.!$B$3:$E$9,3,0)</f>
        <v>0.28499999999999998</v>
      </c>
      <c r="AA23" s="129">
        <f>+$V23*VLOOKUP($X23,Sheet6.!$B$3:$E$9,4,0)</f>
        <v>0.85499999999999998</v>
      </c>
    </row>
    <row r="24" spans="1:27" ht="15" hidden="1" customHeight="1" x14ac:dyDescent="0.25">
      <c r="A24" s="51" t="str">
        <f t="shared" si="2"/>
        <v>Added</v>
      </c>
      <c r="B24" s="51" t="s">
        <v>96</v>
      </c>
      <c r="C24" s="91">
        <v>8520</v>
      </c>
      <c r="D24" s="91" t="s">
        <v>186</v>
      </c>
      <c r="E24" s="91" t="s">
        <v>15</v>
      </c>
      <c r="F24" s="91">
        <v>199</v>
      </c>
      <c r="G24" s="91" t="s">
        <v>124</v>
      </c>
      <c r="H24" s="91" t="s">
        <v>20</v>
      </c>
      <c r="I24" s="134">
        <v>85200410038971</v>
      </c>
      <c r="J24" s="92" t="s">
        <v>41</v>
      </c>
      <c r="K24" s="92" t="s">
        <v>249</v>
      </c>
      <c r="L24" s="117">
        <v>42614</v>
      </c>
      <c r="M24" s="136" t="s">
        <v>109</v>
      </c>
      <c r="N24" s="136" t="s">
        <v>10</v>
      </c>
      <c r="O24" s="137">
        <v>42681</v>
      </c>
      <c r="P24" s="137" t="s">
        <v>261</v>
      </c>
      <c r="Q24" s="138">
        <v>232</v>
      </c>
      <c r="R24" s="137" t="s">
        <v>99</v>
      </c>
      <c r="S24" s="136">
        <v>94644</v>
      </c>
      <c r="T24" s="136" t="s">
        <v>119</v>
      </c>
      <c r="U24" s="136" t="s">
        <v>101</v>
      </c>
      <c r="V24" s="136">
        <v>1.32</v>
      </c>
      <c r="W24" s="51">
        <v>1</v>
      </c>
      <c r="X24" s="51" t="str">
        <f t="shared" si="3"/>
        <v>8</v>
      </c>
      <c r="Y24" s="51" t="str">
        <f>VLOOKUP(X24,Sheet6.!$B$3:$C$9,2,0)</f>
        <v>Client 75% / Supplier 25%</v>
      </c>
      <c r="Z24" s="129">
        <f>+$V24*VLOOKUP($X24,Sheet6.!$B$3:$E$9,3,0)</f>
        <v>0.33</v>
      </c>
      <c r="AA24" s="129">
        <f>+$V24*VLOOKUP($X24,Sheet6.!$B$3:$E$9,4,0)</f>
        <v>0.99</v>
      </c>
    </row>
    <row r="25" spans="1:27" ht="15" hidden="1" customHeight="1" x14ac:dyDescent="0.25">
      <c r="A25" s="51" t="str">
        <f t="shared" si="2"/>
        <v>Added</v>
      </c>
      <c r="B25" s="51" t="s">
        <v>96</v>
      </c>
      <c r="C25" s="91">
        <v>8520</v>
      </c>
      <c r="D25" s="91" t="s">
        <v>186</v>
      </c>
      <c r="E25" s="91" t="s">
        <v>15</v>
      </c>
      <c r="F25" s="91">
        <v>199</v>
      </c>
      <c r="G25" s="91" t="s">
        <v>124</v>
      </c>
      <c r="H25" s="91" t="s">
        <v>20</v>
      </c>
      <c r="I25" s="134">
        <v>85200410038972</v>
      </c>
      <c r="J25" s="92" t="s">
        <v>41</v>
      </c>
      <c r="K25" s="92" t="s">
        <v>249</v>
      </c>
      <c r="L25" s="117">
        <v>42614</v>
      </c>
      <c r="M25" s="136" t="s">
        <v>109</v>
      </c>
      <c r="N25" s="136" t="s">
        <v>10</v>
      </c>
      <c r="O25" s="137">
        <v>42681</v>
      </c>
      <c r="P25" s="137" t="s">
        <v>261</v>
      </c>
      <c r="Q25" s="138">
        <v>232</v>
      </c>
      <c r="R25" s="137" t="s">
        <v>99</v>
      </c>
      <c r="S25" s="136">
        <v>90342</v>
      </c>
      <c r="T25" s="136" t="s">
        <v>119</v>
      </c>
      <c r="U25" s="136" t="s">
        <v>101</v>
      </c>
      <c r="V25" s="136">
        <v>1.26</v>
      </c>
      <c r="W25" s="51">
        <v>1</v>
      </c>
      <c r="X25" s="51" t="str">
        <f t="shared" si="3"/>
        <v>8</v>
      </c>
      <c r="Y25" s="51" t="str">
        <f>VLOOKUP(X25,Sheet6.!$B$3:$C$9,2,0)</f>
        <v>Client 75% / Supplier 25%</v>
      </c>
      <c r="Z25" s="129">
        <f>+$V25*VLOOKUP($X25,Sheet6.!$B$3:$E$9,3,0)</f>
        <v>0.315</v>
      </c>
      <c r="AA25" s="129">
        <f>+$V25*VLOOKUP($X25,Sheet6.!$B$3:$E$9,4,0)</f>
        <v>0.94500000000000006</v>
      </c>
    </row>
    <row r="26" spans="1:27" hidden="1" x14ac:dyDescent="0.25">
      <c r="A26" s="51" t="str">
        <f t="shared" si="2"/>
        <v>Unresolved</v>
      </c>
      <c r="B26" s="51" t="s">
        <v>466</v>
      </c>
      <c r="C26" s="91">
        <v>8520</v>
      </c>
      <c r="D26" s="91" t="s">
        <v>186</v>
      </c>
      <c r="E26" s="91" t="s">
        <v>15</v>
      </c>
      <c r="F26" s="91">
        <v>199</v>
      </c>
      <c r="G26" s="91" t="s">
        <v>124</v>
      </c>
      <c r="H26" s="91" t="s">
        <v>20</v>
      </c>
      <c r="I26" s="134">
        <v>85200410038973</v>
      </c>
      <c r="J26" s="92" t="s">
        <v>41</v>
      </c>
      <c r="K26" s="92" t="s">
        <v>249</v>
      </c>
      <c r="L26" s="117">
        <v>42614</v>
      </c>
      <c r="M26" s="136" t="s">
        <v>109</v>
      </c>
      <c r="N26" s="136" t="s">
        <v>10</v>
      </c>
      <c r="O26" s="137">
        <v>42681</v>
      </c>
      <c r="P26" s="137" t="s">
        <v>261</v>
      </c>
      <c r="Q26" s="138">
        <v>232</v>
      </c>
      <c r="R26" s="137" t="s">
        <v>99</v>
      </c>
      <c r="S26" s="136">
        <v>97990</v>
      </c>
      <c r="T26" s="136" t="s">
        <v>119</v>
      </c>
      <c r="U26" s="136" t="s">
        <v>101</v>
      </c>
      <c r="V26" s="136">
        <v>1.36</v>
      </c>
      <c r="W26" s="51">
        <v>1</v>
      </c>
      <c r="X26" s="51" t="str">
        <f t="shared" si="3"/>
        <v>8</v>
      </c>
      <c r="Y26" s="51" t="str">
        <f>VLOOKUP(X26,Sheet6.!$B$3:$C$9,2,0)</f>
        <v>Client 75% / Supplier 25%</v>
      </c>
      <c r="Z26" s="129">
        <f>+$V26*VLOOKUP($X26,Sheet6.!$B$3:$E$9,3,0)</f>
        <v>0.34</v>
      </c>
      <c r="AA26" s="129">
        <f>+$V26*VLOOKUP($X26,Sheet6.!$B$3:$E$9,4,0)</f>
        <v>1.02</v>
      </c>
    </row>
    <row r="27" spans="1:27" ht="15" hidden="1" customHeight="1" x14ac:dyDescent="0.25">
      <c r="A27" s="51" t="str">
        <f t="shared" si="2"/>
        <v>Unresolved</v>
      </c>
      <c r="B27" s="51" t="s">
        <v>466</v>
      </c>
      <c r="C27" s="91">
        <v>8520</v>
      </c>
      <c r="D27" s="91" t="s">
        <v>186</v>
      </c>
      <c r="E27" s="91" t="s">
        <v>15</v>
      </c>
      <c r="F27" s="91">
        <v>199</v>
      </c>
      <c r="G27" s="91" t="s">
        <v>124</v>
      </c>
      <c r="H27" s="91" t="s">
        <v>20</v>
      </c>
      <c r="I27" s="134">
        <v>85200410038974</v>
      </c>
      <c r="J27" s="92" t="s">
        <v>41</v>
      </c>
      <c r="K27" s="92" t="s">
        <v>249</v>
      </c>
      <c r="L27" s="117">
        <v>42614</v>
      </c>
      <c r="M27" s="136" t="s">
        <v>109</v>
      </c>
      <c r="N27" s="136" t="s">
        <v>10</v>
      </c>
      <c r="O27" s="137">
        <v>42681</v>
      </c>
      <c r="P27" s="137" t="s">
        <v>261</v>
      </c>
      <c r="Q27" s="138">
        <v>232</v>
      </c>
      <c r="R27" s="137" t="s">
        <v>99</v>
      </c>
      <c r="S27" s="136">
        <v>70389</v>
      </c>
      <c r="T27" s="136" t="s">
        <v>119</v>
      </c>
      <c r="U27" s="136" t="s">
        <v>101</v>
      </c>
      <c r="V27" s="136">
        <v>0.98</v>
      </c>
      <c r="W27" s="51">
        <v>1</v>
      </c>
      <c r="X27" s="51" t="str">
        <f t="shared" si="3"/>
        <v>8</v>
      </c>
      <c r="Y27" s="51" t="str">
        <f>VLOOKUP(X27,Sheet6.!$B$3:$C$9,2,0)</f>
        <v>Client 75% / Supplier 25%</v>
      </c>
      <c r="Z27" s="129">
        <f>+$V27*VLOOKUP($X27,Sheet6.!$B$3:$E$9,3,0)</f>
        <v>0.245</v>
      </c>
      <c r="AA27" s="129">
        <f>+$V27*VLOOKUP($X27,Sheet6.!$B$3:$E$9,4,0)</f>
        <v>0.73499999999999999</v>
      </c>
    </row>
    <row r="28" spans="1:27" ht="15" hidden="1" customHeight="1" x14ac:dyDescent="0.25">
      <c r="A28" s="51" t="str">
        <f t="shared" si="2"/>
        <v>Unresolved</v>
      </c>
      <c r="B28" s="51" t="s">
        <v>466</v>
      </c>
      <c r="C28" s="91">
        <v>8520</v>
      </c>
      <c r="D28" s="91" t="s">
        <v>186</v>
      </c>
      <c r="E28" s="91" t="s">
        <v>15</v>
      </c>
      <c r="F28" s="91">
        <v>199</v>
      </c>
      <c r="G28" s="91" t="s">
        <v>124</v>
      </c>
      <c r="H28" s="91" t="s">
        <v>20</v>
      </c>
      <c r="I28" s="134">
        <v>85200410038975</v>
      </c>
      <c r="J28" s="92" t="s">
        <v>41</v>
      </c>
      <c r="K28" s="92" t="s">
        <v>249</v>
      </c>
      <c r="L28" s="117">
        <v>42614</v>
      </c>
      <c r="M28" s="136" t="s">
        <v>109</v>
      </c>
      <c r="N28" s="136" t="s">
        <v>10</v>
      </c>
      <c r="O28" s="137">
        <v>42681</v>
      </c>
      <c r="P28" s="137" t="s">
        <v>261</v>
      </c>
      <c r="Q28" s="138">
        <v>232</v>
      </c>
      <c r="R28" s="137" t="s">
        <v>99</v>
      </c>
      <c r="S28" s="136">
        <v>140778</v>
      </c>
      <c r="T28" s="136" t="s">
        <v>119</v>
      </c>
      <c r="U28" s="136" t="s">
        <v>101</v>
      </c>
      <c r="V28" s="136">
        <v>1.96</v>
      </c>
      <c r="W28" s="51">
        <v>1</v>
      </c>
      <c r="X28" s="51" t="str">
        <f t="shared" si="3"/>
        <v>8</v>
      </c>
      <c r="Y28" s="51" t="str">
        <f>VLOOKUP(X28,Sheet6.!$B$3:$C$9,2,0)</f>
        <v>Client 75% / Supplier 25%</v>
      </c>
      <c r="Z28" s="129">
        <f>+$V28*VLOOKUP($X28,Sheet6.!$B$3:$E$9,3,0)</f>
        <v>0.49</v>
      </c>
      <c r="AA28" s="129">
        <f>+$V28*VLOOKUP($X28,Sheet6.!$B$3:$E$9,4,0)</f>
        <v>1.47</v>
      </c>
    </row>
    <row r="29" spans="1:27" ht="15" hidden="1" customHeight="1" x14ac:dyDescent="0.25">
      <c r="A29" s="51" t="str">
        <f t="shared" si="2"/>
        <v>Unresolved</v>
      </c>
      <c r="B29" s="51" t="s">
        <v>466</v>
      </c>
      <c r="C29" s="91">
        <v>8520</v>
      </c>
      <c r="D29" s="91" t="s">
        <v>186</v>
      </c>
      <c r="E29" s="91" t="s">
        <v>15</v>
      </c>
      <c r="F29" s="91">
        <v>199</v>
      </c>
      <c r="G29" s="91" t="s">
        <v>124</v>
      </c>
      <c r="H29" s="91" t="s">
        <v>20</v>
      </c>
      <c r="I29" s="134">
        <v>85200410038977</v>
      </c>
      <c r="J29" s="92" t="s">
        <v>41</v>
      </c>
      <c r="K29" s="92" t="s">
        <v>249</v>
      </c>
      <c r="L29" s="117">
        <v>42614</v>
      </c>
      <c r="M29" s="136" t="s">
        <v>109</v>
      </c>
      <c r="N29" s="136" t="s">
        <v>10</v>
      </c>
      <c r="O29" s="137">
        <v>42681</v>
      </c>
      <c r="P29" s="137" t="s">
        <v>261</v>
      </c>
      <c r="Q29" s="138">
        <v>232</v>
      </c>
      <c r="R29" s="137" t="s">
        <v>99</v>
      </c>
      <c r="S29" s="136">
        <v>127980</v>
      </c>
      <c r="T29" s="136" t="s">
        <v>119</v>
      </c>
      <c r="U29" s="136" t="s">
        <v>101</v>
      </c>
      <c r="V29" s="136">
        <v>1.78</v>
      </c>
      <c r="W29" s="51">
        <v>1</v>
      </c>
      <c r="X29" s="51" t="str">
        <f t="shared" si="3"/>
        <v>8</v>
      </c>
      <c r="Y29" s="51" t="str">
        <f>VLOOKUP(X29,Sheet6.!$B$3:$C$9,2,0)</f>
        <v>Client 75% / Supplier 25%</v>
      </c>
      <c r="Z29" s="129">
        <f>+$V29*VLOOKUP($X29,Sheet6.!$B$3:$E$9,3,0)</f>
        <v>0.44500000000000001</v>
      </c>
      <c r="AA29" s="129">
        <f>+$V29*VLOOKUP($X29,Sheet6.!$B$3:$E$9,4,0)</f>
        <v>1.335</v>
      </c>
    </row>
    <row r="30" spans="1:27" ht="15" hidden="1" customHeight="1" x14ac:dyDescent="0.25">
      <c r="A30" s="51" t="str">
        <f t="shared" si="2"/>
        <v>Unresolved</v>
      </c>
      <c r="B30" s="51" t="s">
        <v>466</v>
      </c>
      <c r="C30" s="91">
        <v>8520</v>
      </c>
      <c r="D30" s="91" t="s">
        <v>186</v>
      </c>
      <c r="E30" s="91" t="s">
        <v>15</v>
      </c>
      <c r="F30" s="91">
        <v>199</v>
      </c>
      <c r="G30" s="91" t="s">
        <v>124</v>
      </c>
      <c r="H30" s="91" t="s">
        <v>20</v>
      </c>
      <c r="I30" s="134">
        <v>85200410038978</v>
      </c>
      <c r="J30" s="92" t="s">
        <v>41</v>
      </c>
      <c r="K30" s="92" t="s">
        <v>249</v>
      </c>
      <c r="L30" s="117">
        <v>42614</v>
      </c>
      <c r="M30" s="136" t="s">
        <v>109</v>
      </c>
      <c r="N30" s="136" t="s">
        <v>10</v>
      </c>
      <c r="O30" s="137">
        <v>42681</v>
      </c>
      <c r="P30" s="137" t="s">
        <v>261</v>
      </c>
      <c r="Q30" s="138">
        <v>232</v>
      </c>
      <c r="R30" s="137" t="s">
        <v>99</v>
      </c>
      <c r="S30" s="136">
        <v>140778</v>
      </c>
      <c r="T30" s="136" t="s">
        <v>119</v>
      </c>
      <c r="U30" s="136" t="s">
        <v>101</v>
      </c>
      <c r="V30" s="136">
        <v>1.96</v>
      </c>
      <c r="W30" s="51">
        <v>1</v>
      </c>
      <c r="X30" s="51" t="str">
        <f t="shared" si="3"/>
        <v>8</v>
      </c>
      <c r="Y30" s="51" t="str">
        <f>VLOOKUP(X30,Sheet6.!$B$3:$C$9,2,0)</f>
        <v>Client 75% / Supplier 25%</v>
      </c>
      <c r="Z30" s="129">
        <f>+$V30*VLOOKUP($X30,Sheet6.!$B$3:$E$9,3,0)</f>
        <v>0.49</v>
      </c>
      <c r="AA30" s="129">
        <f>+$V30*VLOOKUP($X30,Sheet6.!$B$3:$E$9,4,0)</f>
        <v>1.47</v>
      </c>
    </row>
    <row r="31" spans="1:27" ht="15" hidden="1" customHeight="1" x14ac:dyDescent="0.25">
      <c r="A31" s="51" t="str">
        <f t="shared" si="2"/>
        <v>Unresolved</v>
      </c>
      <c r="B31" s="51" t="s">
        <v>466</v>
      </c>
      <c r="C31" s="91">
        <v>8520</v>
      </c>
      <c r="D31" s="91" t="s">
        <v>186</v>
      </c>
      <c r="E31" s="91" t="s">
        <v>15</v>
      </c>
      <c r="F31" s="91">
        <v>199</v>
      </c>
      <c r="G31" s="91" t="s">
        <v>124</v>
      </c>
      <c r="H31" s="91" t="s">
        <v>20</v>
      </c>
      <c r="I31" s="134">
        <v>85200410038979</v>
      </c>
      <c r="J31" s="92" t="s">
        <v>41</v>
      </c>
      <c r="K31" s="92" t="s">
        <v>249</v>
      </c>
      <c r="L31" s="117">
        <v>42614</v>
      </c>
      <c r="M31" s="136" t="s">
        <v>109</v>
      </c>
      <c r="N31" s="136" t="s">
        <v>10</v>
      </c>
      <c r="O31" s="137">
        <v>42681</v>
      </c>
      <c r="P31" s="137" t="s">
        <v>261</v>
      </c>
      <c r="Q31" s="138">
        <v>232</v>
      </c>
      <c r="R31" s="137" t="s">
        <v>99</v>
      </c>
      <c r="S31" s="136">
        <v>140778</v>
      </c>
      <c r="T31" s="136" t="s">
        <v>119</v>
      </c>
      <c r="U31" s="136" t="s">
        <v>101</v>
      </c>
      <c r="V31" s="136">
        <v>1.96</v>
      </c>
      <c r="W31" s="51">
        <v>1</v>
      </c>
      <c r="X31" s="51" t="str">
        <f t="shared" si="3"/>
        <v>8</v>
      </c>
      <c r="Y31" s="51" t="str">
        <f>VLOOKUP(X31,Sheet6.!$B$3:$C$9,2,0)</f>
        <v>Client 75% / Supplier 25%</v>
      </c>
      <c r="Z31" s="129">
        <f>+$V31*VLOOKUP($X31,Sheet6.!$B$3:$E$9,3,0)</f>
        <v>0.49</v>
      </c>
      <c r="AA31" s="129">
        <f>+$V31*VLOOKUP($X31,Sheet6.!$B$3:$E$9,4,0)</f>
        <v>1.47</v>
      </c>
    </row>
    <row r="32" spans="1:27" ht="15" hidden="1" customHeight="1" x14ac:dyDescent="0.25">
      <c r="A32" s="51" t="str">
        <f t="shared" si="2"/>
        <v>Unresolved</v>
      </c>
      <c r="B32" s="51" t="s">
        <v>466</v>
      </c>
      <c r="C32" s="91">
        <v>8520</v>
      </c>
      <c r="D32" s="91" t="s">
        <v>186</v>
      </c>
      <c r="E32" s="91" t="s">
        <v>15</v>
      </c>
      <c r="F32" s="91">
        <v>199</v>
      </c>
      <c r="G32" s="91" t="s">
        <v>124</v>
      </c>
      <c r="H32" s="91" t="s">
        <v>20</v>
      </c>
      <c r="I32" s="134">
        <v>85200410038980</v>
      </c>
      <c r="J32" s="92" t="s">
        <v>41</v>
      </c>
      <c r="K32" s="92" t="s">
        <v>249</v>
      </c>
      <c r="L32" s="117">
        <v>42614</v>
      </c>
      <c r="M32" s="136" t="s">
        <v>109</v>
      </c>
      <c r="N32" s="136" t="s">
        <v>10</v>
      </c>
      <c r="O32" s="137">
        <v>42681</v>
      </c>
      <c r="P32" s="137" t="s">
        <v>261</v>
      </c>
      <c r="Q32" s="138">
        <v>232</v>
      </c>
      <c r="R32" s="137" t="s">
        <v>99</v>
      </c>
      <c r="S32" s="136">
        <v>145755</v>
      </c>
      <c r="T32" s="136" t="s">
        <v>119</v>
      </c>
      <c r="U32" s="136" t="s">
        <v>101</v>
      </c>
      <c r="V32" s="136">
        <v>2.0299999999999998</v>
      </c>
      <c r="W32" s="51">
        <v>1</v>
      </c>
      <c r="X32" s="51" t="str">
        <f t="shared" si="3"/>
        <v>8</v>
      </c>
      <c r="Y32" s="51" t="str">
        <f>VLOOKUP(X32,Sheet6.!$B$3:$C$9,2,0)</f>
        <v>Client 75% / Supplier 25%</v>
      </c>
      <c r="Z32" s="129">
        <f>+$V32*VLOOKUP($X32,Sheet6.!$B$3:$E$9,3,0)</f>
        <v>0.50749999999999995</v>
      </c>
      <c r="AA32" s="129">
        <f>+$V32*VLOOKUP($X32,Sheet6.!$B$3:$E$9,4,0)</f>
        <v>1.5225</v>
      </c>
    </row>
    <row r="33" spans="1:27" hidden="1" x14ac:dyDescent="0.25">
      <c r="A33" s="51" t="str">
        <f t="shared" si="2"/>
        <v>Unresolved</v>
      </c>
      <c r="B33" s="51" t="s">
        <v>466</v>
      </c>
      <c r="C33" s="91">
        <v>8520</v>
      </c>
      <c r="D33" s="91" t="s">
        <v>186</v>
      </c>
      <c r="E33" s="91" t="s">
        <v>15</v>
      </c>
      <c r="F33" s="91">
        <v>199</v>
      </c>
      <c r="G33" s="91" t="s">
        <v>124</v>
      </c>
      <c r="H33" s="91" t="s">
        <v>20</v>
      </c>
      <c r="I33" s="134">
        <v>85200710012708</v>
      </c>
      <c r="J33" s="92" t="s">
        <v>47</v>
      </c>
      <c r="K33" s="92" t="s">
        <v>274</v>
      </c>
      <c r="L33" s="117">
        <v>42614</v>
      </c>
      <c r="M33" s="136" t="s">
        <v>109</v>
      </c>
      <c r="N33" s="136" t="s">
        <v>10</v>
      </c>
      <c r="O33" s="137">
        <v>42681</v>
      </c>
      <c r="P33" s="137" t="s">
        <v>261</v>
      </c>
      <c r="Q33" s="138">
        <v>232</v>
      </c>
      <c r="R33" s="137" t="s">
        <v>99</v>
      </c>
      <c r="S33" s="136">
        <v>59200</v>
      </c>
      <c r="T33" s="136" t="s">
        <v>119</v>
      </c>
      <c r="U33" s="136" t="s">
        <v>101</v>
      </c>
      <c r="V33" s="136">
        <v>0.82</v>
      </c>
      <c r="W33" s="51">
        <v>1</v>
      </c>
      <c r="X33" s="51" t="str">
        <f t="shared" si="3"/>
        <v>8</v>
      </c>
      <c r="Y33" s="51" t="str">
        <f>VLOOKUP(X33,Sheet6.!$B$3:$C$9,2,0)</f>
        <v>Client 75% / Supplier 25%</v>
      </c>
      <c r="Z33" s="129">
        <f>+$V33*VLOOKUP($X33,Sheet6.!$B$3:$E$9,3,0)</f>
        <v>0.20499999999999999</v>
      </c>
      <c r="AA33" s="129">
        <f>+$V33*VLOOKUP($X33,Sheet6.!$B$3:$E$9,4,0)</f>
        <v>0.61499999999999999</v>
      </c>
    </row>
    <row r="34" spans="1:27" ht="15" hidden="1" customHeight="1" x14ac:dyDescent="0.25">
      <c r="A34" s="51" t="str">
        <f t="shared" si="2"/>
        <v>Unresolved</v>
      </c>
      <c r="B34" s="51" t="s">
        <v>466</v>
      </c>
      <c r="C34" s="91">
        <v>8520</v>
      </c>
      <c r="D34" s="91" t="s">
        <v>186</v>
      </c>
      <c r="E34" s="91" t="s">
        <v>15</v>
      </c>
      <c r="F34" s="91">
        <v>9701</v>
      </c>
      <c r="G34" s="91" t="s">
        <v>173</v>
      </c>
      <c r="H34" s="91" t="s">
        <v>14</v>
      </c>
      <c r="I34" s="134">
        <v>85200710012736</v>
      </c>
      <c r="J34" s="92" t="s">
        <v>37</v>
      </c>
      <c r="K34" s="92" t="s">
        <v>199</v>
      </c>
      <c r="L34" s="117">
        <v>42614</v>
      </c>
      <c r="M34" s="136" t="s">
        <v>104</v>
      </c>
      <c r="N34" s="136" t="s">
        <v>9</v>
      </c>
      <c r="O34" s="137">
        <v>42615</v>
      </c>
      <c r="P34" s="137" t="s">
        <v>206</v>
      </c>
      <c r="Q34" s="138">
        <v>298</v>
      </c>
      <c r="R34" s="137" t="s">
        <v>99</v>
      </c>
      <c r="S34" s="136">
        <v>78615</v>
      </c>
      <c r="T34" s="136" t="s">
        <v>119</v>
      </c>
      <c r="U34" s="136" t="s">
        <v>101</v>
      </c>
      <c r="V34" s="136">
        <v>1.0900000000000001</v>
      </c>
      <c r="W34" s="51">
        <v>1</v>
      </c>
      <c r="X34" s="51" t="str">
        <f t="shared" si="3"/>
        <v>2</v>
      </c>
      <c r="Y34" s="51" t="str">
        <f>VLOOKUP(X34,Sheet6.!$B$3:$C$9,2,0)</f>
        <v>50% / 50%</v>
      </c>
      <c r="Z34" s="129">
        <f>+$V34*VLOOKUP($X34,Sheet6.!$B$3:$E$9,3,0)</f>
        <v>0.54500000000000004</v>
      </c>
      <c r="AA34" s="129">
        <f>+$V34*VLOOKUP($X34,Sheet6.!$B$3:$E$9,4,0)</f>
        <v>0.54500000000000004</v>
      </c>
    </row>
    <row r="35" spans="1:27" ht="15" hidden="1" customHeight="1" x14ac:dyDescent="0.25">
      <c r="A35" s="51" t="str">
        <f t="shared" si="2"/>
        <v>Unresolved</v>
      </c>
      <c r="B35" s="51" t="s">
        <v>466</v>
      </c>
      <c r="C35" s="91">
        <v>8520</v>
      </c>
      <c r="D35" s="91" t="s">
        <v>186</v>
      </c>
      <c r="E35" s="91" t="s">
        <v>15</v>
      </c>
      <c r="F35" s="91">
        <v>199</v>
      </c>
      <c r="G35" s="91" t="s">
        <v>124</v>
      </c>
      <c r="H35" s="91" t="s">
        <v>20</v>
      </c>
      <c r="I35" s="134">
        <v>85202010000897</v>
      </c>
      <c r="J35" s="92" t="s">
        <v>52</v>
      </c>
      <c r="K35" s="92" t="s">
        <v>132</v>
      </c>
      <c r="L35" s="117">
        <v>42614</v>
      </c>
      <c r="M35" s="136" t="s">
        <v>109</v>
      </c>
      <c r="N35" s="136" t="s">
        <v>10</v>
      </c>
      <c r="O35" s="137">
        <v>42681</v>
      </c>
      <c r="P35" s="137" t="s">
        <v>261</v>
      </c>
      <c r="Q35" s="138">
        <v>232</v>
      </c>
      <c r="R35" s="137" t="s">
        <v>99</v>
      </c>
      <c r="S35" s="136">
        <v>203300</v>
      </c>
      <c r="T35" s="136" t="s">
        <v>119</v>
      </c>
      <c r="U35" s="136" t="s">
        <v>101</v>
      </c>
      <c r="V35" s="136">
        <v>2.83</v>
      </c>
      <c r="W35" s="51">
        <v>1</v>
      </c>
      <c r="X35" s="51" t="str">
        <f t="shared" si="3"/>
        <v>8</v>
      </c>
      <c r="Y35" s="51" t="str">
        <f>VLOOKUP(X35,Sheet6.!$B$3:$C$9,2,0)</f>
        <v>Client 75% / Supplier 25%</v>
      </c>
      <c r="Z35" s="129">
        <f>+$V35*VLOOKUP($X35,Sheet6.!$B$3:$E$9,3,0)</f>
        <v>0.70750000000000002</v>
      </c>
      <c r="AA35" s="129">
        <f>+$V35*VLOOKUP($X35,Sheet6.!$B$3:$E$9,4,0)</f>
        <v>2.1225000000000001</v>
      </c>
    </row>
    <row r="36" spans="1:27" ht="15" hidden="1" customHeight="1" x14ac:dyDescent="0.25">
      <c r="A36" s="51" t="str">
        <f t="shared" si="2"/>
        <v>Unresolved</v>
      </c>
      <c r="B36" s="51" t="s">
        <v>466</v>
      </c>
      <c r="C36" s="91">
        <v>8520</v>
      </c>
      <c r="D36" s="91" t="s">
        <v>186</v>
      </c>
      <c r="E36" s="91" t="s">
        <v>15</v>
      </c>
      <c r="F36" s="91">
        <v>3011</v>
      </c>
      <c r="G36" s="91" t="s">
        <v>106</v>
      </c>
      <c r="H36" s="91" t="s">
        <v>20</v>
      </c>
      <c r="I36" s="134">
        <v>85200310084954</v>
      </c>
      <c r="J36" s="92" t="s">
        <v>54</v>
      </c>
      <c r="K36" s="92" t="s">
        <v>137</v>
      </c>
      <c r="L36" s="117">
        <v>42676</v>
      </c>
      <c r="M36" s="136" t="s">
        <v>109</v>
      </c>
      <c r="N36" s="136" t="s">
        <v>10</v>
      </c>
      <c r="O36" s="137">
        <v>42709</v>
      </c>
      <c r="P36" s="137" t="s">
        <v>261</v>
      </c>
      <c r="Q36" s="138">
        <v>204</v>
      </c>
      <c r="R36" s="137" t="s">
        <v>99</v>
      </c>
      <c r="S36" s="136">
        <v>425956</v>
      </c>
      <c r="T36" s="136" t="s">
        <v>119</v>
      </c>
      <c r="U36" s="136" t="s">
        <v>101</v>
      </c>
      <c r="V36" s="136">
        <v>5.92</v>
      </c>
      <c r="W36" s="51">
        <v>1</v>
      </c>
      <c r="X36" s="51" t="str">
        <f t="shared" si="3"/>
        <v>8</v>
      </c>
      <c r="Y36" s="51" t="str">
        <f>VLOOKUP(X36,Sheet6.!$B$3:$C$9,2,0)</f>
        <v>Client 75% / Supplier 25%</v>
      </c>
      <c r="Z36" s="129">
        <f>+$V36*VLOOKUP($X36,Sheet6.!$B$3:$E$9,3,0)</f>
        <v>1.48</v>
      </c>
      <c r="AA36" s="129">
        <f>+$V36*VLOOKUP($X36,Sheet6.!$B$3:$E$9,4,0)</f>
        <v>4.4399999999999995</v>
      </c>
    </row>
    <row r="37" spans="1:27" ht="15" hidden="1" customHeight="1" x14ac:dyDescent="0.25">
      <c r="A37" s="51" t="str">
        <f t="shared" si="2"/>
        <v>Unresolved</v>
      </c>
      <c r="B37" s="51" t="s">
        <v>466</v>
      </c>
      <c r="C37" s="91">
        <v>8520</v>
      </c>
      <c r="D37" s="91" t="s">
        <v>186</v>
      </c>
      <c r="E37" s="91" t="s">
        <v>15</v>
      </c>
      <c r="F37" s="91">
        <v>3011</v>
      </c>
      <c r="G37" s="91" t="s">
        <v>106</v>
      </c>
      <c r="H37" s="91" t="s">
        <v>20</v>
      </c>
      <c r="I37" s="134">
        <v>85200310084976</v>
      </c>
      <c r="J37" s="92" t="s">
        <v>56</v>
      </c>
      <c r="K37" s="92" t="s">
        <v>200</v>
      </c>
      <c r="L37" s="117">
        <v>42676</v>
      </c>
      <c r="M37" s="136" t="s">
        <v>98</v>
      </c>
      <c r="N37" s="136" t="s">
        <v>9</v>
      </c>
      <c r="O37" s="137">
        <v>42709</v>
      </c>
      <c r="P37" s="137" t="s">
        <v>261</v>
      </c>
      <c r="Q37" s="138">
        <v>204</v>
      </c>
      <c r="R37" s="137" t="s">
        <v>99</v>
      </c>
      <c r="S37" s="136">
        <v>647811.11</v>
      </c>
      <c r="T37" s="136" t="s">
        <v>119</v>
      </c>
      <c r="U37" s="136" t="s">
        <v>101</v>
      </c>
      <c r="V37" s="136">
        <v>9.01</v>
      </c>
      <c r="W37" s="51">
        <v>1</v>
      </c>
      <c r="X37" s="51" t="str">
        <f t="shared" si="3"/>
        <v>1</v>
      </c>
      <c r="Y37" s="51" t="str">
        <f>VLOOKUP(X37,Sheet6.!$B$3:$C$9,2,0)</f>
        <v>Supplier 100%</v>
      </c>
      <c r="Z37" s="129">
        <f>+$V37*VLOOKUP($X37,Sheet6.!$B$3:$E$9,3,0)</f>
        <v>9.01</v>
      </c>
      <c r="AA37" s="129">
        <f>+$V37*VLOOKUP($X37,Sheet6.!$B$3:$E$9,4,0)</f>
        <v>0</v>
      </c>
    </row>
    <row r="38" spans="1:27" ht="15" hidden="1" customHeight="1" x14ac:dyDescent="0.25">
      <c r="A38" s="51" t="str">
        <f t="shared" si="2"/>
        <v>Unresolved</v>
      </c>
      <c r="B38" s="51" t="s">
        <v>466</v>
      </c>
      <c r="C38" s="91">
        <v>8520</v>
      </c>
      <c r="D38" s="91" t="s">
        <v>186</v>
      </c>
      <c r="E38" s="91" t="s">
        <v>15</v>
      </c>
      <c r="F38" s="91">
        <v>787</v>
      </c>
      <c r="G38" s="91" t="s">
        <v>272</v>
      </c>
      <c r="H38" s="91" t="s">
        <v>21</v>
      </c>
      <c r="I38" s="134">
        <v>85200310085043</v>
      </c>
      <c r="J38" s="92" t="s">
        <v>39</v>
      </c>
      <c r="K38" s="92" t="s">
        <v>176</v>
      </c>
      <c r="L38" s="117">
        <v>42676</v>
      </c>
      <c r="M38" s="136" t="s">
        <v>117</v>
      </c>
      <c r="N38" s="136" t="s">
        <v>118</v>
      </c>
      <c r="O38" s="137">
        <v>42706</v>
      </c>
      <c r="P38" s="137" t="s">
        <v>261</v>
      </c>
      <c r="Q38" s="138">
        <v>207</v>
      </c>
      <c r="R38" s="137" t="s">
        <v>99</v>
      </c>
      <c r="S38" s="136">
        <v>419958</v>
      </c>
      <c r="T38" s="136" t="s">
        <v>119</v>
      </c>
      <c r="U38" s="136" t="s">
        <v>101</v>
      </c>
      <c r="V38" s="136">
        <v>5.84</v>
      </c>
      <c r="W38" s="51">
        <v>1</v>
      </c>
      <c r="X38" s="51" t="str">
        <f t="shared" si="3"/>
        <v>6/7</v>
      </c>
      <c r="Y38" s="51" t="str">
        <f>VLOOKUP(X38,Sheet6.!$B$3:$C$9,2,0)</f>
        <v>50% / 50%</v>
      </c>
      <c r="Z38" s="129">
        <f>+$V38*VLOOKUP($X38,Sheet6.!$B$3:$E$9,3,0)</f>
        <v>2.92</v>
      </c>
      <c r="AA38" s="129">
        <f>+$V38*VLOOKUP($X38,Sheet6.!$B$3:$E$9,4,0)</f>
        <v>2.92</v>
      </c>
    </row>
    <row r="39" spans="1:27" ht="15" hidden="1" customHeight="1" x14ac:dyDescent="0.25">
      <c r="A39" s="51" t="str">
        <f t="shared" si="2"/>
        <v>Unresolved</v>
      </c>
      <c r="B39" s="51" t="s">
        <v>466</v>
      </c>
      <c r="C39" s="91">
        <v>8520</v>
      </c>
      <c r="D39" s="91" t="s">
        <v>186</v>
      </c>
      <c r="E39" s="91" t="s">
        <v>15</v>
      </c>
      <c r="F39" s="91">
        <v>8420</v>
      </c>
      <c r="G39" s="91" t="s">
        <v>120</v>
      </c>
      <c r="H39" s="91" t="s">
        <v>15</v>
      </c>
      <c r="I39" s="134">
        <v>85200310085185</v>
      </c>
      <c r="J39" s="92" t="s">
        <v>54</v>
      </c>
      <c r="K39" s="92" t="s">
        <v>137</v>
      </c>
      <c r="L39" s="117">
        <v>42676</v>
      </c>
      <c r="M39" s="136" t="s">
        <v>121</v>
      </c>
      <c r="N39" s="136" t="s">
        <v>9</v>
      </c>
      <c r="O39" s="137">
        <v>42732</v>
      </c>
      <c r="P39" s="137" t="s">
        <v>261</v>
      </c>
      <c r="Q39" s="138">
        <v>181</v>
      </c>
      <c r="R39" s="137" t="s">
        <v>99</v>
      </c>
      <c r="S39" s="136">
        <v>481167</v>
      </c>
      <c r="T39" s="136" t="s">
        <v>119</v>
      </c>
      <c r="U39" s="136" t="s">
        <v>105</v>
      </c>
      <c r="V39" s="136">
        <v>6.69</v>
      </c>
      <c r="W39" s="51">
        <v>1</v>
      </c>
      <c r="X39" s="51" t="str">
        <f t="shared" si="3"/>
        <v>3</v>
      </c>
      <c r="Y39" s="51" t="str">
        <f>VLOOKUP(X39,Sheet6.!$B$3:$C$9,2,0)</f>
        <v>50% / 50%</v>
      </c>
      <c r="Z39" s="129">
        <f>+$V39*VLOOKUP($X39,Sheet6.!$B$3:$E$9,3,0)</f>
        <v>3.3450000000000002</v>
      </c>
      <c r="AA39" s="129">
        <f>+$V39*VLOOKUP($X39,Sheet6.!$B$3:$E$9,4,0)</f>
        <v>3.3450000000000002</v>
      </c>
    </row>
    <row r="40" spans="1:27" ht="15" hidden="1" customHeight="1" x14ac:dyDescent="0.25">
      <c r="A40" s="51" t="str">
        <f t="shared" si="2"/>
        <v>Unresolved</v>
      </c>
      <c r="B40" s="51" t="s">
        <v>466</v>
      </c>
      <c r="C40" s="91">
        <v>8520</v>
      </c>
      <c r="D40" s="91" t="s">
        <v>186</v>
      </c>
      <c r="E40" s="91" t="s">
        <v>15</v>
      </c>
      <c r="F40" s="91">
        <v>8420</v>
      </c>
      <c r="G40" s="91" t="s">
        <v>120</v>
      </c>
      <c r="H40" s="91" t="s">
        <v>15</v>
      </c>
      <c r="I40" s="134">
        <v>85200910002117</v>
      </c>
      <c r="J40" s="92" t="s">
        <v>54</v>
      </c>
      <c r="K40" s="92" t="s">
        <v>137</v>
      </c>
      <c r="L40" s="117">
        <v>42676</v>
      </c>
      <c r="M40" s="136" t="s">
        <v>104</v>
      </c>
      <c r="N40" s="136" t="s">
        <v>9</v>
      </c>
      <c r="O40" s="137">
        <v>42732</v>
      </c>
      <c r="P40" s="137" t="s">
        <v>261</v>
      </c>
      <c r="Q40" s="138">
        <v>181</v>
      </c>
      <c r="R40" s="137" t="s">
        <v>99</v>
      </c>
      <c r="S40" s="136">
        <v>119562.5</v>
      </c>
      <c r="T40" s="136" t="s">
        <v>119</v>
      </c>
      <c r="U40" s="136" t="s">
        <v>105</v>
      </c>
      <c r="V40" s="136">
        <v>1.66</v>
      </c>
      <c r="W40" s="51">
        <v>1</v>
      </c>
      <c r="X40" s="51" t="str">
        <f t="shared" si="3"/>
        <v>2</v>
      </c>
      <c r="Y40" s="51" t="str">
        <f>VLOOKUP(X40,Sheet6.!$B$3:$C$9,2,0)</f>
        <v>50% / 50%</v>
      </c>
      <c r="Z40" s="129">
        <f>+$V40*VLOOKUP($X40,Sheet6.!$B$3:$E$9,3,0)</f>
        <v>0.83</v>
      </c>
      <c r="AA40" s="129">
        <f>+$V40*VLOOKUP($X40,Sheet6.!$B$3:$E$9,4,0)</f>
        <v>0.83</v>
      </c>
    </row>
    <row r="41" spans="1:27" ht="15" hidden="1" customHeight="1" x14ac:dyDescent="0.25">
      <c r="A41" s="51" t="str">
        <f t="shared" si="2"/>
        <v>Unresolved</v>
      </c>
      <c r="B41" s="51" t="s">
        <v>466</v>
      </c>
      <c r="C41" s="91">
        <v>8520</v>
      </c>
      <c r="D41" s="91" t="s">
        <v>186</v>
      </c>
      <c r="E41" s="91" t="s">
        <v>15</v>
      </c>
      <c r="F41" s="91">
        <v>8420</v>
      </c>
      <c r="G41" s="91" t="s">
        <v>120</v>
      </c>
      <c r="H41" s="91" t="s">
        <v>15</v>
      </c>
      <c r="I41" s="134">
        <v>85200910002127</v>
      </c>
      <c r="J41" s="92" t="s">
        <v>54</v>
      </c>
      <c r="K41" s="92" t="s">
        <v>137</v>
      </c>
      <c r="L41" s="117">
        <v>42676</v>
      </c>
      <c r="M41" s="136" t="s">
        <v>104</v>
      </c>
      <c r="N41" s="136" t="s">
        <v>9</v>
      </c>
      <c r="O41" s="137">
        <v>42732</v>
      </c>
      <c r="P41" s="137" t="s">
        <v>261</v>
      </c>
      <c r="Q41" s="138">
        <v>181</v>
      </c>
      <c r="R41" s="137" t="s">
        <v>99</v>
      </c>
      <c r="S41" s="136">
        <v>108000</v>
      </c>
      <c r="T41" s="136" t="s">
        <v>119</v>
      </c>
      <c r="U41" s="136" t="s">
        <v>105</v>
      </c>
      <c r="V41" s="136">
        <v>1.5</v>
      </c>
      <c r="W41" s="51">
        <v>1</v>
      </c>
      <c r="X41" s="51" t="str">
        <f t="shared" si="3"/>
        <v>2</v>
      </c>
      <c r="Y41" s="51" t="str">
        <f>VLOOKUP(X41,Sheet6.!$B$3:$C$9,2,0)</f>
        <v>50% / 50%</v>
      </c>
      <c r="Z41" s="129">
        <f>+$V41*VLOOKUP($X41,Sheet6.!$B$3:$E$9,3,0)</f>
        <v>0.75</v>
      </c>
      <c r="AA41" s="129">
        <f>+$V41*VLOOKUP($X41,Sheet6.!$B$3:$E$9,4,0)</f>
        <v>0.75</v>
      </c>
    </row>
    <row r="42" spans="1:27" ht="15" hidden="1" customHeight="1" x14ac:dyDescent="0.25">
      <c r="A42" s="51" t="str">
        <f t="shared" si="2"/>
        <v>Unresolved</v>
      </c>
      <c r="B42" s="51" t="s">
        <v>466</v>
      </c>
      <c r="C42" s="91">
        <v>8520</v>
      </c>
      <c r="D42" s="91" t="s">
        <v>186</v>
      </c>
      <c r="E42" s="91" t="s">
        <v>15</v>
      </c>
      <c r="F42" s="91">
        <v>199</v>
      </c>
      <c r="G42" s="91" t="s">
        <v>124</v>
      </c>
      <c r="H42" s="91" t="s">
        <v>20</v>
      </c>
      <c r="I42" s="134">
        <v>85200710013074</v>
      </c>
      <c r="J42" s="92" t="s">
        <v>47</v>
      </c>
      <c r="K42" s="92" t="s">
        <v>142</v>
      </c>
      <c r="L42" s="117">
        <v>42676</v>
      </c>
      <c r="M42" s="136" t="s">
        <v>109</v>
      </c>
      <c r="N42" s="136" t="s">
        <v>10</v>
      </c>
      <c r="O42" s="137">
        <v>42709</v>
      </c>
      <c r="P42" s="137" t="s">
        <v>261</v>
      </c>
      <c r="Q42" s="138">
        <v>204</v>
      </c>
      <c r="R42" s="137" t="s">
        <v>99</v>
      </c>
      <c r="S42" s="136">
        <v>44400</v>
      </c>
      <c r="T42" s="136" t="s">
        <v>119</v>
      </c>
      <c r="U42" s="136" t="s">
        <v>101</v>
      </c>
      <c r="V42" s="136">
        <v>0.62</v>
      </c>
      <c r="W42" s="51">
        <v>1</v>
      </c>
      <c r="X42" s="51" t="str">
        <f t="shared" si="3"/>
        <v>8</v>
      </c>
      <c r="Y42" s="51" t="str">
        <f>VLOOKUP(X42,Sheet6.!$B$3:$C$9,2,0)</f>
        <v>Client 75% / Supplier 25%</v>
      </c>
      <c r="Z42" s="129">
        <f>+$V42*VLOOKUP($X42,Sheet6.!$B$3:$E$9,3,0)</f>
        <v>0.155</v>
      </c>
      <c r="AA42" s="129">
        <f>+$V42*VLOOKUP($X42,Sheet6.!$B$3:$E$9,4,0)</f>
        <v>0.46499999999999997</v>
      </c>
    </row>
    <row r="43" spans="1:27" ht="15" hidden="1" customHeight="1" x14ac:dyDescent="0.25">
      <c r="A43" s="51" t="str">
        <f t="shared" si="2"/>
        <v>Unresolved</v>
      </c>
      <c r="B43" s="51" t="s">
        <v>466</v>
      </c>
      <c r="C43" s="91">
        <v>8520</v>
      </c>
      <c r="D43" s="91" t="s">
        <v>186</v>
      </c>
      <c r="E43" s="91" t="s">
        <v>15</v>
      </c>
      <c r="F43" s="91">
        <v>3011</v>
      </c>
      <c r="G43" s="91" t="s">
        <v>106</v>
      </c>
      <c r="H43" s="91" t="s">
        <v>20</v>
      </c>
      <c r="I43" s="134">
        <v>85200810000428</v>
      </c>
      <c r="J43" s="92" t="s">
        <v>41</v>
      </c>
      <c r="K43" s="92" t="s">
        <v>139</v>
      </c>
      <c r="L43" s="117">
        <v>42676</v>
      </c>
      <c r="M43" s="136" t="s">
        <v>121</v>
      </c>
      <c r="N43" s="136" t="s">
        <v>9</v>
      </c>
      <c r="O43" s="137">
        <v>42709</v>
      </c>
      <c r="P43" s="137" t="s">
        <v>261</v>
      </c>
      <c r="Q43" s="138">
        <v>204</v>
      </c>
      <c r="R43" s="137" t="s">
        <v>99</v>
      </c>
      <c r="S43" s="136">
        <v>83475</v>
      </c>
      <c r="T43" s="136" t="s">
        <v>119</v>
      </c>
      <c r="U43" s="136" t="s">
        <v>101</v>
      </c>
      <c r="V43" s="136">
        <v>1.1599999999999999</v>
      </c>
      <c r="W43" s="51">
        <v>1</v>
      </c>
      <c r="X43" s="51" t="str">
        <f t="shared" si="3"/>
        <v>3</v>
      </c>
      <c r="Y43" s="51" t="str">
        <f>VLOOKUP(X43,Sheet6.!$B$3:$C$9,2,0)</f>
        <v>50% / 50%</v>
      </c>
      <c r="Z43" s="129">
        <f>+$V43*VLOOKUP($X43,Sheet6.!$B$3:$E$9,3,0)</f>
        <v>0.57999999999999996</v>
      </c>
      <c r="AA43" s="129">
        <f>+$V43*VLOOKUP($X43,Sheet6.!$B$3:$E$9,4,0)</f>
        <v>0.57999999999999996</v>
      </c>
    </row>
    <row r="44" spans="1:27" ht="15" hidden="1" customHeight="1" x14ac:dyDescent="0.25">
      <c r="A44" s="51" t="str">
        <f t="shared" si="2"/>
        <v>Unresolved</v>
      </c>
      <c r="B44" s="51" t="s">
        <v>466</v>
      </c>
      <c r="C44" s="91">
        <v>8520</v>
      </c>
      <c r="D44" s="91" t="s">
        <v>186</v>
      </c>
      <c r="E44" s="91" t="s">
        <v>15</v>
      </c>
      <c r="F44" s="91">
        <v>3011</v>
      </c>
      <c r="G44" s="91" t="s">
        <v>106</v>
      </c>
      <c r="H44" s="91" t="s">
        <v>20</v>
      </c>
      <c r="I44" s="134">
        <v>85203010001172</v>
      </c>
      <c r="J44" s="92" t="s">
        <v>41</v>
      </c>
      <c r="K44" s="92" t="s">
        <v>139</v>
      </c>
      <c r="L44" s="117">
        <v>42676</v>
      </c>
      <c r="M44" s="136" t="s">
        <v>122</v>
      </c>
      <c r="N44" s="136" t="s">
        <v>9</v>
      </c>
      <c r="O44" s="137">
        <v>42709</v>
      </c>
      <c r="P44" s="137" t="s">
        <v>261</v>
      </c>
      <c r="Q44" s="138">
        <v>204</v>
      </c>
      <c r="R44" s="137" t="s">
        <v>99</v>
      </c>
      <c r="S44" s="136">
        <v>100500.25</v>
      </c>
      <c r="T44" s="136" t="s">
        <v>119</v>
      </c>
      <c r="U44" s="136" t="s">
        <v>101</v>
      </c>
      <c r="V44" s="136">
        <v>1.4</v>
      </c>
      <c r="W44" s="51">
        <v>1</v>
      </c>
      <c r="X44" s="51" t="str">
        <f t="shared" si="3"/>
        <v>4</v>
      </c>
      <c r="Y44" s="51" t="str">
        <f>VLOOKUP(X44,Sheet6.!$B$3:$C$9,2,0)</f>
        <v>50% / 50%</v>
      </c>
      <c r="Z44" s="129">
        <f>+$V44*VLOOKUP($X44,Sheet6.!$B$3:$E$9,3,0)</f>
        <v>0.7</v>
      </c>
      <c r="AA44" s="129">
        <f>+$V44*VLOOKUP($X44,Sheet6.!$B$3:$E$9,4,0)</f>
        <v>0.7</v>
      </c>
    </row>
    <row r="45" spans="1:27" hidden="1" x14ac:dyDescent="0.25">
      <c r="A45" s="51" t="str">
        <f t="shared" si="2"/>
        <v>Unresolved</v>
      </c>
      <c r="B45" s="51" t="s">
        <v>466</v>
      </c>
      <c r="C45" s="91">
        <v>8520</v>
      </c>
      <c r="D45" s="91" t="s">
        <v>186</v>
      </c>
      <c r="E45" s="91" t="s">
        <v>15</v>
      </c>
      <c r="F45" s="91">
        <v>8420</v>
      </c>
      <c r="G45" s="91" t="s">
        <v>120</v>
      </c>
      <c r="H45" s="91" t="s">
        <v>15</v>
      </c>
      <c r="I45" s="134">
        <v>85202710000482</v>
      </c>
      <c r="J45" s="92" t="s">
        <v>54</v>
      </c>
      <c r="K45" s="92" t="s">
        <v>137</v>
      </c>
      <c r="L45" s="117">
        <v>42676</v>
      </c>
      <c r="M45" s="136" t="s">
        <v>104</v>
      </c>
      <c r="N45" s="136" t="s">
        <v>9</v>
      </c>
      <c r="O45" s="137">
        <v>42732</v>
      </c>
      <c r="P45" s="137" t="s">
        <v>261</v>
      </c>
      <c r="Q45" s="138">
        <v>181</v>
      </c>
      <c r="R45" s="137" t="s">
        <v>99</v>
      </c>
      <c r="S45" s="136">
        <v>5564</v>
      </c>
      <c r="T45" s="136" t="s">
        <v>119</v>
      </c>
      <c r="U45" s="136" t="s">
        <v>105</v>
      </c>
      <c r="V45" s="136">
        <v>0.08</v>
      </c>
      <c r="W45" s="51">
        <v>1</v>
      </c>
      <c r="X45" s="51" t="str">
        <f t="shared" si="3"/>
        <v>2</v>
      </c>
      <c r="Y45" s="51" t="str">
        <f>VLOOKUP(X45,Sheet6.!$B$3:$C$9,2,0)</f>
        <v>50% / 50%</v>
      </c>
      <c r="Z45" s="129">
        <f>+$V45*VLOOKUP($X45,Sheet6.!$B$3:$E$9,3,0)</f>
        <v>0.04</v>
      </c>
      <c r="AA45" s="129">
        <f>+$V45*VLOOKUP($X45,Sheet6.!$B$3:$E$9,4,0)</f>
        <v>0.04</v>
      </c>
    </row>
    <row r="46" spans="1:27" ht="15" hidden="1" customHeight="1" x14ac:dyDescent="0.25">
      <c r="A46" s="51" t="str">
        <f t="shared" si="2"/>
        <v>Unresolved</v>
      </c>
      <c r="B46" s="51" t="s">
        <v>466</v>
      </c>
      <c r="C46" s="91">
        <v>8520</v>
      </c>
      <c r="D46" s="91" t="s">
        <v>186</v>
      </c>
      <c r="E46" s="91" t="s">
        <v>15</v>
      </c>
      <c r="F46" s="91">
        <v>8420</v>
      </c>
      <c r="G46" s="91" t="s">
        <v>120</v>
      </c>
      <c r="H46" s="91" t="s">
        <v>15</v>
      </c>
      <c r="I46" s="134">
        <v>85202710000485</v>
      </c>
      <c r="J46" s="92" t="s">
        <v>54</v>
      </c>
      <c r="K46" s="92" t="s">
        <v>137</v>
      </c>
      <c r="L46" s="117">
        <v>42676</v>
      </c>
      <c r="M46" s="136" t="s">
        <v>104</v>
      </c>
      <c r="N46" s="136" t="s">
        <v>9</v>
      </c>
      <c r="O46" s="137">
        <v>42732</v>
      </c>
      <c r="P46" s="137" t="s">
        <v>261</v>
      </c>
      <c r="Q46" s="138">
        <v>181</v>
      </c>
      <c r="R46" s="137" t="s">
        <v>99</v>
      </c>
      <c r="S46" s="136">
        <v>360009</v>
      </c>
      <c r="T46" s="136" t="s">
        <v>119</v>
      </c>
      <c r="U46" s="136" t="s">
        <v>105</v>
      </c>
      <c r="V46" s="136">
        <v>5.01</v>
      </c>
      <c r="W46" s="51">
        <v>1</v>
      </c>
      <c r="X46" s="51" t="str">
        <f t="shared" si="3"/>
        <v>2</v>
      </c>
      <c r="Y46" s="51" t="str">
        <f>VLOOKUP(X46,Sheet6.!$B$3:$C$9,2,0)</f>
        <v>50% / 50%</v>
      </c>
      <c r="Z46" s="129">
        <f>+$V46*VLOOKUP($X46,Sheet6.!$B$3:$E$9,3,0)</f>
        <v>2.5049999999999999</v>
      </c>
      <c r="AA46" s="129">
        <f>+$V46*VLOOKUP($X46,Sheet6.!$B$3:$E$9,4,0)</f>
        <v>2.5049999999999999</v>
      </c>
    </row>
    <row r="47" spans="1:27" ht="15" hidden="1" customHeight="1" x14ac:dyDescent="0.25">
      <c r="A47" s="51" t="str">
        <f t="shared" si="2"/>
        <v>Unresolved</v>
      </c>
      <c r="B47" s="51" t="s">
        <v>466</v>
      </c>
      <c r="C47" s="91">
        <v>8520</v>
      </c>
      <c r="D47" s="91" t="s">
        <v>186</v>
      </c>
      <c r="E47" s="91" t="s">
        <v>15</v>
      </c>
      <c r="F47" s="91">
        <v>3011</v>
      </c>
      <c r="G47" s="91" t="s">
        <v>106</v>
      </c>
      <c r="H47" s="91" t="s">
        <v>20</v>
      </c>
      <c r="I47" s="134">
        <v>85200310084701</v>
      </c>
      <c r="J47" s="92" t="s">
        <v>56</v>
      </c>
      <c r="K47" s="92" t="s">
        <v>200</v>
      </c>
      <c r="L47" s="117">
        <v>42643</v>
      </c>
      <c r="M47" s="136" t="s">
        <v>98</v>
      </c>
      <c r="N47" s="136" t="s">
        <v>9</v>
      </c>
      <c r="O47" s="137">
        <v>42681</v>
      </c>
      <c r="P47" s="137" t="s">
        <v>261</v>
      </c>
      <c r="Q47" s="138">
        <v>232</v>
      </c>
      <c r="R47" s="137" t="s">
        <v>99</v>
      </c>
      <c r="S47" s="136">
        <v>264377.78000000003</v>
      </c>
      <c r="T47" s="136" t="s">
        <v>119</v>
      </c>
      <c r="U47" s="136" t="s">
        <v>101</v>
      </c>
      <c r="V47" s="136">
        <v>3.68</v>
      </c>
      <c r="W47" s="51">
        <v>1</v>
      </c>
      <c r="X47" s="51" t="str">
        <f t="shared" si="3"/>
        <v>1</v>
      </c>
      <c r="Y47" s="51" t="str">
        <f>VLOOKUP(X47,Sheet6.!$B$3:$C$9,2,0)</f>
        <v>Supplier 100%</v>
      </c>
      <c r="Z47" s="129">
        <f>+$V47*VLOOKUP($X47,Sheet6.!$B$3:$E$9,3,0)</f>
        <v>3.68</v>
      </c>
      <c r="AA47" s="129">
        <f>+$V47*VLOOKUP($X47,Sheet6.!$B$3:$E$9,4,0)</f>
        <v>0</v>
      </c>
    </row>
    <row r="48" spans="1:27" hidden="1" x14ac:dyDescent="0.25">
      <c r="A48" s="51" t="str">
        <f t="shared" si="2"/>
        <v>Unresolved</v>
      </c>
      <c r="B48" s="51" t="s">
        <v>466</v>
      </c>
      <c r="C48" s="91">
        <v>8520</v>
      </c>
      <c r="D48" s="91" t="s">
        <v>186</v>
      </c>
      <c r="E48" s="91" t="s">
        <v>15</v>
      </c>
      <c r="F48" s="91">
        <v>199</v>
      </c>
      <c r="G48" s="91" t="s">
        <v>124</v>
      </c>
      <c r="H48" s="91" t="s">
        <v>20</v>
      </c>
      <c r="I48" s="134">
        <v>85200330013723</v>
      </c>
      <c r="J48" s="92" t="s">
        <v>56</v>
      </c>
      <c r="K48" s="92" t="s">
        <v>200</v>
      </c>
      <c r="L48" s="117">
        <v>42643</v>
      </c>
      <c r="M48" s="136" t="s">
        <v>98</v>
      </c>
      <c r="N48" s="136" t="s">
        <v>9</v>
      </c>
      <c r="O48" s="137">
        <v>42709</v>
      </c>
      <c r="P48" s="137" t="s">
        <v>261</v>
      </c>
      <c r="Q48" s="138">
        <v>204</v>
      </c>
      <c r="R48" s="137" t="s">
        <v>99</v>
      </c>
      <c r="S48" s="136">
        <v>386956</v>
      </c>
      <c r="T48" s="136" t="s">
        <v>119</v>
      </c>
      <c r="U48" s="136" t="s">
        <v>101</v>
      </c>
      <c r="V48" s="136">
        <v>5.38</v>
      </c>
      <c r="W48" s="51">
        <v>1</v>
      </c>
      <c r="X48" s="51" t="str">
        <f t="shared" si="3"/>
        <v>1</v>
      </c>
      <c r="Y48" s="51" t="str">
        <f>VLOOKUP(X48,Sheet6.!$B$3:$C$9,2,0)</f>
        <v>Supplier 100%</v>
      </c>
      <c r="Z48" s="129">
        <f>+$V48*VLOOKUP($X48,Sheet6.!$B$3:$E$9,3,0)</f>
        <v>5.38</v>
      </c>
      <c r="AA48" s="129">
        <f>+$V48*VLOOKUP($X48,Sheet6.!$B$3:$E$9,4,0)</f>
        <v>0</v>
      </c>
    </row>
    <row r="49" spans="1:27" ht="15" hidden="1" customHeight="1" x14ac:dyDescent="0.25">
      <c r="A49" s="51" t="str">
        <f t="shared" si="2"/>
        <v>Unresolved</v>
      </c>
      <c r="B49" s="51" t="s">
        <v>466</v>
      </c>
      <c r="C49" s="91">
        <v>8520</v>
      </c>
      <c r="D49" s="91" t="s">
        <v>186</v>
      </c>
      <c r="E49" s="91" t="s">
        <v>15</v>
      </c>
      <c r="F49" s="91">
        <v>199</v>
      </c>
      <c r="G49" s="91" t="s">
        <v>124</v>
      </c>
      <c r="H49" s="91" t="s">
        <v>20</v>
      </c>
      <c r="I49" s="134">
        <v>85200410039726</v>
      </c>
      <c r="J49" s="92" t="s">
        <v>41</v>
      </c>
      <c r="K49" s="92" t="s">
        <v>249</v>
      </c>
      <c r="L49" s="117">
        <v>42643</v>
      </c>
      <c r="M49" s="136" t="s">
        <v>109</v>
      </c>
      <c r="N49" s="136" t="s">
        <v>10</v>
      </c>
      <c r="O49" s="137">
        <v>42709</v>
      </c>
      <c r="P49" s="137" t="s">
        <v>261</v>
      </c>
      <c r="Q49" s="138">
        <v>204</v>
      </c>
      <c r="R49" s="137" t="s">
        <v>99</v>
      </c>
      <c r="S49" s="136">
        <v>94644</v>
      </c>
      <c r="T49" s="136" t="s">
        <v>119</v>
      </c>
      <c r="U49" s="136" t="s">
        <v>101</v>
      </c>
      <c r="V49" s="136">
        <v>1.32</v>
      </c>
      <c r="W49" s="51">
        <v>1</v>
      </c>
      <c r="X49" s="51" t="str">
        <f t="shared" si="3"/>
        <v>8</v>
      </c>
      <c r="Y49" s="51" t="str">
        <f>VLOOKUP(X49,Sheet6.!$B$3:$C$9,2,0)</f>
        <v>Client 75% / Supplier 25%</v>
      </c>
      <c r="Z49" s="129">
        <f>+$V49*VLOOKUP($X49,Sheet6.!$B$3:$E$9,3,0)</f>
        <v>0.33</v>
      </c>
      <c r="AA49" s="129">
        <f>+$V49*VLOOKUP($X49,Sheet6.!$B$3:$E$9,4,0)</f>
        <v>0.99</v>
      </c>
    </row>
    <row r="50" spans="1:27" ht="15" hidden="1" customHeight="1" x14ac:dyDescent="0.25">
      <c r="A50" s="51" t="str">
        <f t="shared" si="2"/>
        <v>Unresolved</v>
      </c>
      <c r="B50" s="51" t="s">
        <v>466</v>
      </c>
      <c r="C50" s="91">
        <v>8520</v>
      </c>
      <c r="D50" s="91" t="s">
        <v>186</v>
      </c>
      <c r="E50" s="91" t="s">
        <v>15</v>
      </c>
      <c r="F50" s="91">
        <v>199</v>
      </c>
      <c r="G50" s="91" t="s">
        <v>124</v>
      </c>
      <c r="H50" s="91" t="s">
        <v>20</v>
      </c>
      <c r="I50" s="134">
        <v>85200410039727</v>
      </c>
      <c r="J50" s="92" t="s">
        <v>41</v>
      </c>
      <c r="K50" s="92" t="s">
        <v>249</v>
      </c>
      <c r="L50" s="117">
        <v>42643</v>
      </c>
      <c r="M50" s="136" t="s">
        <v>109</v>
      </c>
      <c r="N50" s="136" t="s">
        <v>10</v>
      </c>
      <c r="O50" s="137">
        <v>42709</v>
      </c>
      <c r="P50" s="137" t="s">
        <v>261</v>
      </c>
      <c r="Q50" s="138">
        <v>204</v>
      </c>
      <c r="R50" s="137" t="s">
        <v>99</v>
      </c>
      <c r="S50" s="136">
        <v>63990</v>
      </c>
      <c r="T50" s="136" t="s">
        <v>119</v>
      </c>
      <c r="U50" s="136" t="s">
        <v>101</v>
      </c>
      <c r="V50" s="136">
        <v>0.89</v>
      </c>
      <c r="W50" s="51">
        <v>1</v>
      </c>
      <c r="X50" s="51" t="str">
        <f t="shared" si="3"/>
        <v>8</v>
      </c>
      <c r="Y50" s="51" t="str">
        <f>VLOOKUP(X50,Sheet6.!$B$3:$C$9,2,0)</f>
        <v>Client 75% / Supplier 25%</v>
      </c>
      <c r="Z50" s="129">
        <f>+$V50*VLOOKUP($X50,Sheet6.!$B$3:$E$9,3,0)</f>
        <v>0.2225</v>
      </c>
      <c r="AA50" s="129">
        <f>+$V50*VLOOKUP($X50,Sheet6.!$B$3:$E$9,4,0)</f>
        <v>0.66749999999999998</v>
      </c>
    </row>
    <row r="51" spans="1:27" ht="15" hidden="1" customHeight="1" x14ac:dyDescent="0.25">
      <c r="A51" s="51" t="str">
        <f t="shared" si="2"/>
        <v>Unresolved</v>
      </c>
      <c r="B51" s="51" t="s">
        <v>466</v>
      </c>
      <c r="C51" s="91">
        <v>8520</v>
      </c>
      <c r="D51" s="91" t="s">
        <v>186</v>
      </c>
      <c r="E51" s="91" t="s">
        <v>15</v>
      </c>
      <c r="F51" s="91">
        <v>199</v>
      </c>
      <c r="G51" s="91" t="s">
        <v>124</v>
      </c>
      <c r="H51" s="91" t="s">
        <v>20</v>
      </c>
      <c r="I51" s="134">
        <v>85200410039872</v>
      </c>
      <c r="J51" s="92" t="s">
        <v>41</v>
      </c>
      <c r="K51" s="92" t="s">
        <v>249</v>
      </c>
      <c r="L51" s="117">
        <v>42643</v>
      </c>
      <c r="M51" s="136" t="s">
        <v>109</v>
      </c>
      <c r="N51" s="136" t="s">
        <v>10</v>
      </c>
      <c r="O51" s="137">
        <v>42709</v>
      </c>
      <c r="P51" s="137" t="s">
        <v>261</v>
      </c>
      <c r="Q51" s="138">
        <v>204</v>
      </c>
      <c r="R51" s="137" t="s">
        <v>99</v>
      </c>
      <c r="S51" s="136">
        <v>113400</v>
      </c>
      <c r="T51" s="136" t="s">
        <v>119</v>
      </c>
      <c r="U51" s="136" t="s">
        <v>101</v>
      </c>
      <c r="V51" s="136">
        <v>1.58</v>
      </c>
      <c r="W51" s="51">
        <v>1</v>
      </c>
      <c r="X51" s="51" t="str">
        <f t="shared" si="3"/>
        <v>8</v>
      </c>
      <c r="Y51" s="51" t="str">
        <f>VLOOKUP(X51,Sheet6.!$B$3:$C$9,2,0)</f>
        <v>Client 75% / Supplier 25%</v>
      </c>
      <c r="Z51" s="129">
        <f>+$V51*VLOOKUP($X51,Sheet6.!$B$3:$E$9,3,0)</f>
        <v>0.39500000000000002</v>
      </c>
      <c r="AA51" s="129">
        <f>+$V51*VLOOKUP($X51,Sheet6.!$B$3:$E$9,4,0)</f>
        <v>1.1850000000000001</v>
      </c>
    </row>
    <row r="52" spans="1:27" ht="15" hidden="1" customHeight="1" x14ac:dyDescent="0.25">
      <c r="A52" s="51" t="str">
        <f t="shared" si="2"/>
        <v>Unresolved</v>
      </c>
      <c r="B52" s="51" t="s">
        <v>466</v>
      </c>
      <c r="C52" s="91">
        <v>8520</v>
      </c>
      <c r="D52" s="91" t="s">
        <v>186</v>
      </c>
      <c r="E52" s="91" t="s">
        <v>15</v>
      </c>
      <c r="F52" s="91">
        <v>199</v>
      </c>
      <c r="G52" s="91" t="s">
        <v>124</v>
      </c>
      <c r="H52" s="91" t="s">
        <v>20</v>
      </c>
      <c r="I52" s="134">
        <v>85200410039873</v>
      </c>
      <c r="J52" s="92" t="s">
        <v>41</v>
      </c>
      <c r="K52" s="92" t="s">
        <v>249</v>
      </c>
      <c r="L52" s="117">
        <v>42643</v>
      </c>
      <c r="M52" s="136" t="s">
        <v>109</v>
      </c>
      <c r="N52" s="136" t="s">
        <v>10</v>
      </c>
      <c r="O52" s="137">
        <v>42709</v>
      </c>
      <c r="P52" s="137" t="s">
        <v>261</v>
      </c>
      <c r="Q52" s="138">
        <v>204</v>
      </c>
      <c r="R52" s="137" t="s">
        <v>99</v>
      </c>
      <c r="S52" s="136">
        <v>118800</v>
      </c>
      <c r="T52" s="136" t="s">
        <v>119</v>
      </c>
      <c r="U52" s="136" t="s">
        <v>101</v>
      </c>
      <c r="V52" s="136">
        <v>1.65</v>
      </c>
      <c r="W52" s="51">
        <v>1</v>
      </c>
      <c r="X52" s="51" t="str">
        <f t="shared" si="3"/>
        <v>8</v>
      </c>
      <c r="Y52" s="51" t="str">
        <f>VLOOKUP(X52,Sheet6.!$B$3:$C$9,2,0)</f>
        <v>Client 75% / Supplier 25%</v>
      </c>
      <c r="Z52" s="129">
        <f>+$V52*VLOOKUP($X52,Sheet6.!$B$3:$E$9,3,0)</f>
        <v>0.41249999999999998</v>
      </c>
      <c r="AA52" s="129">
        <f>+$V52*VLOOKUP($X52,Sheet6.!$B$3:$E$9,4,0)</f>
        <v>1.2374999999999998</v>
      </c>
    </row>
    <row r="53" spans="1:27" ht="15" hidden="1" customHeight="1" x14ac:dyDescent="0.25">
      <c r="A53" s="51" t="str">
        <f t="shared" si="2"/>
        <v>Unresolved</v>
      </c>
      <c r="B53" s="51" t="s">
        <v>466</v>
      </c>
      <c r="C53" s="91">
        <v>8520</v>
      </c>
      <c r="D53" s="91" t="s">
        <v>186</v>
      </c>
      <c r="E53" s="91" t="s">
        <v>15</v>
      </c>
      <c r="F53" s="91">
        <v>199</v>
      </c>
      <c r="G53" s="91" t="s">
        <v>124</v>
      </c>
      <c r="H53" s="91" t="s">
        <v>20</v>
      </c>
      <c r="I53" s="134">
        <v>85200410039874</v>
      </c>
      <c r="J53" s="92" t="s">
        <v>41</v>
      </c>
      <c r="K53" s="92" t="s">
        <v>249</v>
      </c>
      <c r="L53" s="117">
        <v>42643</v>
      </c>
      <c r="M53" s="136" t="s">
        <v>109</v>
      </c>
      <c r="N53" s="136" t="s">
        <v>10</v>
      </c>
      <c r="O53" s="137">
        <v>42709</v>
      </c>
      <c r="P53" s="137" t="s">
        <v>261</v>
      </c>
      <c r="Q53" s="138">
        <v>204</v>
      </c>
      <c r="R53" s="137" t="s">
        <v>99</v>
      </c>
      <c r="S53" s="136">
        <v>108000</v>
      </c>
      <c r="T53" s="136" t="s">
        <v>119</v>
      </c>
      <c r="U53" s="136" t="s">
        <v>101</v>
      </c>
      <c r="V53" s="136">
        <v>1.5</v>
      </c>
      <c r="W53" s="51">
        <v>1</v>
      </c>
      <c r="X53" s="51" t="str">
        <f t="shared" si="3"/>
        <v>8</v>
      </c>
      <c r="Y53" s="51" t="str">
        <f>VLOOKUP(X53,Sheet6.!$B$3:$C$9,2,0)</f>
        <v>Client 75% / Supplier 25%</v>
      </c>
      <c r="Z53" s="129">
        <f>+$V53*VLOOKUP($X53,Sheet6.!$B$3:$E$9,3,0)</f>
        <v>0.375</v>
      </c>
      <c r="AA53" s="129">
        <f>+$V53*VLOOKUP($X53,Sheet6.!$B$3:$E$9,4,0)</f>
        <v>1.125</v>
      </c>
    </row>
    <row r="54" spans="1:27" ht="15" hidden="1" customHeight="1" x14ac:dyDescent="0.25">
      <c r="A54" s="51" t="str">
        <f t="shared" si="2"/>
        <v>Unresolved</v>
      </c>
      <c r="B54" s="51" t="s">
        <v>466</v>
      </c>
      <c r="C54" s="91">
        <v>8520</v>
      </c>
      <c r="D54" s="91" t="s">
        <v>186</v>
      </c>
      <c r="E54" s="91" t="s">
        <v>15</v>
      </c>
      <c r="F54" s="91">
        <v>199</v>
      </c>
      <c r="G54" s="91" t="s">
        <v>124</v>
      </c>
      <c r="H54" s="91" t="s">
        <v>20</v>
      </c>
      <c r="I54" s="134">
        <v>85200410039875</v>
      </c>
      <c r="J54" s="92" t="s">
        <v>41</v>
      </c>
      <c r="K54" s="92" t="s">
        <v>249</v>
      </c>
      <c r="L54" s="117">
        <v>42643</v>
      </c>
      <c r="M54" s="136" t="s">
        <v>109</v>
      </c>
      <c r="N54" s="136" t="s">
        <v>10</v>
      </c>
      <c r="O54" s="137">
        <v>42709</v>
      </c>
      <c r="P54" s="137" t="s">
        <v>261</v>
      </c>
      <c r="Q54" s="138">
        <v>204</v>
      </c>
      <c r="R54" s="137" t="s">
        <v>99</v>
      </c>
      <c r="S54" s="136">
        <v>118800</v>
      </c>
      <c r="T54" s="136" t="s">
        <v>119</v>
      </c>
      <c r="U54" s="136" t="s">
        <v>101</v>
      </c>
      <c r="V54" s="136">
        <v>1.65</v>
      </c>
      <c r="W54" s="51">
        <v>1</v>
      </c>
      <c r="X54" s="51" t="str">
        <f t="shared" si="3"/>
        <v>8</v>
      </c>
      <c r="Y54" s="51" t="str">
        <f>VLOOKUP(X54,Sheet6.!$B$3:$C$9,2,0)</f>
        <v>Client 75% / Supplier 25%</v>
      </c>
      <c r="Z54" s="129">
        <f>+$V54*VLOOKUP($X54,Sheet6.!$B$3:$E$9,3,0)</f>
        <v>0.41249999999999998</v>
      </c>
      <c r="AA54" s="129">
        <f>+$V54*VLOOKUP($X54,Sheet6.!$B$3:$E$9,4,0)</f>
        <v>1.2374999999999998</v>
      </c>
    </row>
    <row r="55" spans="1:27" ht="15" hidden="1" customHeight="1" x14ac:dyDescent="0.25">
      <c r="A55" s="51" t="str">
        <f t="shared" si="2"/>
        <v>Unresolved</v>
      </c>
      <c r="B55" s="51" t="s">
        <v>466</v>
      </c>
      <c r="C55" s="91">
        <v>8520</v>
      </c>
      <c r="D55" s="91" t="s">
        <v>186</v>
      </c>
      <c r="E55" s="91" t="s">
        <v>15</v>
      </c>
      <c r="F55" s="91">
        <v>199</v>
      </c>
      <c r="G55" s="91" t="s">
        <v>124</v>
      </c>
      <c r="H55" s="91" t="s">
        <v>20</v>
      </c>
      <c r="I55" s="134">
        <v>85200410039876</v>
      </c>
      <c r="J55" s="92" t="s">
        <v>41</v>
      </c>
      <c r="K55" s="92" t="s">
        <v>249</v>
      </c>
      <c r="L55" s="117">
        <v>42643</v>
      </c>
      <c r="M55" s="136" t="s">
        <v>109</v>
      </c>
      <c r="N55" s="136" t="s">
        <v>10</v>
      </c>
      <c r="O55" s="137">
        <v>42709</v>
      </c>
      <c r="P55" s="137" t="s">
        <v>261</v>
      </c>
      <c r="Q55" s="138">
        <v>204</v>
      </c>
      <c r="R55" s="137" t="s">
        <v>99</v>
      </c>
      <c r="S55" s="136">
        <v>43200</v>
      </c>
      <c r="T55" s="136" t="s">
        <v>119</v>
      </c>
      <c r="U55" s="136" t="s">
        <v>101</v>
      </c>
      <c r="V55" s="136">
        <v>0.6</v>
      </c>
      <c r="W55" s="51">
        <v>1</v>
      </c>
      <c r="X55" s="51" t="str">
        <f t="shared" si="3"/>
        <v>8</v>
      </c>
      <c r="Y55" s="51" t="str">
        <f>VLOOKUP(X55,Sheet6.!$B$3:$C$9,2,0)</f>
        <v>Client 75% / Supplier 25%</v>
      </c>
      <c r="Z55" s="129">
        <f>+$V55*VLOOKUP($X55,Sheet6.!$B$3:$E$9,3,0)</f>
        <v>0.15</v>
      </c>
      <c r="AA55" s="129">
        <f>+$V55*VLOOKUP($X55,Sheet6.!$B$3:$E$9,4,0)</f>
        <v>0.44999999999999996</v>
      </c>
    </row>
    <row r="56" spans="1:27" ht="15" hidden="1" customHeight="1" x14ac:dyDescent="0.25">
      <c r="A56" s="51" t="str">
        <f t="shared" si="2"/>
        <v>Unresolved</v>
      </c>
      <c r="B56" s="51" t="s">
        <v>466</v>
      </c>
      <c r="C56" s="91">
        <v>8520</v>
      </c>
      <c r="D56" s="91" t="s">
        <v>186</v>
      </c>
      <c r="E56" s="91" t="s">
        <v>15</v>
      </c>
      <c r="F56" s="91">
        <v>199</v>
      </c>
      <c r="G56" s="91" t="s">
        <v>124</v>
      </c>
      <c r="H56" s="91" t="s">
        <v>20</v>
      </c>
      <c r="I56" s="134">
        <v>85200410039877</v>
      </c>
      <c r="J56" s="92" t="s">
        <v>41</v>
      </c>
      <c r="K56" s="92" t="s">
        <v>249</v>
      </c>
      <c r="L56" s="117">
        <v>42643</v>
      </c>
      <c r="M56" s="136" t="s">
        <v>109</v>
      </c>
      <c r="N56" s="136" t="s">
        <v>10</v>
      </c>
      <c r="O56" s="137">
        <v>42709</v>
      </c>
      <c r="P56" s="137" t="s">
        <v>261</v>
      </c>
      <c r="Q56" s="138">
        <v>204</v>
      </c>
      <c r="R56" s="137" t="s">
        <v>99</v>
      </c>
      <c r="S56" s="136">
        <v>59400</v>
      </c>
      <c r="T56" s="136" t="s">
        <v>119</v>
      </c>
      <c r="U56" s="136" t="s">
        <v>101</v>
      </c>
      <c r="V56" s="136">
        <v>0.83</v>
      </c>
      <c r="W56" s="51">
        <v>1</v>
      </c>
      <c r="X56" s="51" t="str">
        <f t="shared" si="3"/>
        <v>8</v>
      </c>
      <c r="Y56" s="51" t="str">
        <f>VLOOKUP(X56,Sheet6.!$B$3:$C$9,2,0)</f>
        <v>Client 75% / Supplier 25%</v>
      </c>
      <c r="Z56" s="129">
        <f>+$V56*VLOOKUP($X56,Sheet6.!$B$3:$E$9,3,0)</f>
        <v>0.20749999999999999</v>
      </c>
      <c r="AA56" s="129">
        <f>+$V56*VLOOKUP($X56,Sheet6.!$B$3:$E$9,4,0)</f>
        <v>0.62249999999999994</v>
      </c>
    </row>
    <row r="57" spans="1:27" ht="15" hidden="1" customHeight="1" x14ac:dyDescent="0.25">
      <c r="A57" s="51" t="str">
        <f t="shared" si="2"/>
        <v>Unresolved</v>
      </c>
      <c r="B57" s="51" t="s">
        <v>466</v>
      </c>
      <c r="C57" s="91">
        <v>8520</v>
      </c>
      <c r="D57" s="91" t="s">
        <v>186</v>
      </c>
      <c r="E57" s="91" t="s">
        <v>15</v>
      </c>
      <c r="F57" s="91">
        <v>199</v>
      </c>
      <c r="G57" s="91" t="s">
        <v>124</v>
      </c>
      <c r="H57" s="91" t="s">
        <v>20</v>
      </c>
      <c r="I57" s="134">
        <v>85200410039878</v>
      </c>
      <c r="J57" s="92" t="s">
        <v>41</v>
      </c>
      <c r="K57" s="92" t="s">
        <v>249</v>
      </c>
      <c r="L57" s="117">
        <v>42643</v>
      </c>
      <c r="M57" s="136" t="s">
        <v>109</v>
      </c>
      <c r="N57" s="136" t="s">
        <v>10</v>
      </c>
      <c r="O57" s="137">
        <v>42709</v>
      </c>
      <c r="P57" s="137" t="s">
        <v>261</v>
      </c>
      <c r="Q57" s="138">
        <v>204</v>
      </c>
      <c r="R57" s="137" t="s">
        <v>99</v>
      </c>
      <c r="S57" s="136">
        <v>108000</v>
      </c>
      <c r="T57" s="136" t="s">
        <v>119</v>
      </c>
      <c r="U57" s="136" t="s">
        <v>101</v>
      </c>
      <c r="V57" s="136">
        <v>1.5</v>
      </c>
      <c r="W57" s="51">
        <v>1</v>
      </c>
      <c r="X57" s="51" t="str">
        <f t="shared" si="3"/>
        <v>8</v>
      </c>
      <c r="Y57" s="51" t="str">
        <f>VLOOKUP(X57,Sheet6.!$B$3:$C$9,2,0)</f>
        <v>Client 75% / Supplier 25%</v>
      </c>
      <c r="Z57" s="129">
        <f>+$V57*VLOOKUP($X57,Sheet6.!$B$3:$E$9,3,0)</f>
        <v>0.375</v>
      </c>
      <c r="AA57" s="129">
        <f>+$V57*VLOOKUP($X57,Sheet6.!$B$3:$E$9,4,0)</f>
        <v>1.125</v>
      </c>
    </row>
    <row r="58" spans="1:27" ht="15" hidden="1" customHeight="1" x14ac:dyDescent="0.25">
      <c r="A58" s="51" t="str">
        <f t="shared" si="2"/>
        <v>Unresolved</v>
      </c>
      <c r="B58" s="51" t="s">
        <v>466</v>
      </c>
      <c r="C58" s="91">
        <v>8520</v>
      </c>
      <c r="D58" s="91" t="s">
        <v>186</v>
      </c>
      <c r="E58" s="91" t="s">
        <v>15</v>
      </c>
      <c r="F58" s="91">
        <v>199</v>
      </c>
      <c r="G58" s="91" t="s">
        <v>124</v>
      </c>
      <c r="H58" s="91" t="s">
        <v>20</v>
      </c>
      <c r="I58" s="134">
        <v>85200410039879</v>
      </c>
      <c r="J58" s="92" t="s">
        <v>41</v>
      </c>
      <c r="K58" s="92" t="s">
        <v>249</v>
      </c>
      <c r="L58" s="117">
        <v>42643</v>
      </c>
      <c r="M58" s="136" t="s">
        <v>109</v>
      </c>
      <c r="N58" s="136" t="s">
        <v>10</v>
      </c>
      <c r="O58" s="137">
        <v>42709</v>
      </c>
      <c r="P58" s="137" t="s">
        <v>261</v>
      </c>
      <c r="Q58" s="138">
        <v>204</v>
      </c>
      <c r="R58" s="137" t="s">
        <v>99</v>
      </c>
      <c r="S58" s="136">
        <v>108000</v>
      </c>
      <c r="T58" s="136" t="s">
        <v>119</v>
      </c>
      <c r="U58" s="136" t="s">
        <v>101</v>
      </c>
      <c r="V58" s="136">
        <v>1.5</v>
      </c>
      <c r="W58" s="51">
        <v>1</v>
      </c>
      <c r="X58" s="51" t="str">
        <f t="shared" si="3"/>
        <v>8</v>
      </c>
      <c r="Y58" s="51" t="str">
        <f>VLOOKUP(X58,Sheet6.!$B$3:$C$9,2,0)</f>
        <v>Client 75% / Supplier 25%</v>
      </c>
      <c r="Z58" s="129">
        <f>+$V58*VLOOKUP($X58,Sheet6.!$B$3:$E$9,3,0)</f>
        <v>0.375</v>
      </c>
      <c r="AA58" s="129">
        <f>+$V58*VLOOKUP($X58,Sheet6.!$B$3:$E$9,4,0)</f>
        <v>1.125</v>
      </c>
    </row>
    <row r="59" spans="1:27" ht="15" hidden="1" customHeight="1" x14ac:dyDescent="0.25">
      <c r="A59" s="51" t="str">
        <f t="shared" si="2"/>
        <v>Unresolved</v>
      </c>
      <c r="B59" s="51" t="s">
        <v>466</v>
      </c>
      <c r="C59" s="91">
        <v>8520</v>
      </c>
      <c r="D59" s="91" t="s">
        <v>186</v>
      </c>
      <c r="E59" s="91" t="s">
        <v>15</v>
      </c>
      <c r="F59" s="91">
        <v>199</v>
      </c>
      <c r="G59" s="91" t="s">
        <v>124</v>
      </c>
      <c r="H59" s="91" t="s">
        <v>20</v>
      </c>
      <c r="I59" s="134">
        <v>85200410039880</v>
      </c>
      <c r="J59" s="92" t="s">
        <v>41</v>
      </c>
      <c r="K59" s="92" t="s">
        <v>249</v>
      </c>
      <c r="L59" s="117">
        <v>42643</v>
      </c>
      <c r="M59" s="136" t="s">
        <v>109</v>
      </c>
      <c r="N59" s="136" t="s">
        <v>10</v>
      </c>
      <c r="O59" s="137">
        <v>42709</v>
      </c>
      <c r="P59" s="137" t="s">
        <v>261</v>
      </c>
      <c r="Q59" s="138">
        <v>204</v>
      </c>
      <c r="R59" s="137" t="s">
        <v>99</v>
      </c>
      <c r="S59" s="136">
        <v>118800</v>
      </c>
      <c r="T59" s="136" t="s">
        <v>119</v>
      </c>
      <c r="U59" s="136" t="s">
        <v>101</v>
      </c>
      <c r="V59" s="136">
        <v>1.65</v>
      </c>
      <c r="W59" s="51">
        <v>1</v>
      </c>
      <c r="X59" s="51" t="str">
        <f t="shared" si="3"/>
        <v>8</v>
      </c>
      <c r="Y59" s="51" t="str">
        <f>VLOOKUP(X59,Sheet6.!$B$3:$C$9,2,0)</f>
        <v>Client 75% / Supplier 25%</v>
      </c>
      <c r="Z59" s="129">
        <f>+$V59*VLOOKUP($X59,Sheet6.!$B$3:$E$9,3,0)</f>
        <v>0.41249999999999998</v>
      </c>
      <c r="AA59" s="129">
        <f>+$V59*VLOOKUP($X59,Sheet6.!$B$3:$E$9,4,0)</f>
        <v>1.2374999999999998</v>
      </c>
    </row>
    <row r="60" spans="1:27" ht="15" hidden="1" customHeight="1" x14ac:dyDescent="0.25">
      <c r="A60" s="51" t="str">
        <f t="shared" si="2"/>
        <v>Unresolved</v>
      </c>
      <c r="B60" s="51" t="s">
        <v>466</v>
      </c>
      <c r="C60" s="91">
        <v>8520</v>
      </c>
      <c r="D60" s="91" t="s">
        <v>186</v>
      </c>
      <c r="E60" s="91" t="s">
        <v>15</v>
      </c>
      <c r="F60" s="91">
        <v>199</v>
      </c>
      <c r="G60" s="91" t="s">
        <v>124</v>
      </c>
      <c r="H60" s="91" t="s">
        <v>20</v>
      </c>
      <c r="I60" s="134">
        <v>85200410039881</v>
      </c>
      <c r="J60" s="92" t="s">
        <v>41</v>
      </c>
      <c r="K60" s="92" t="s">
        <v>249</v>
      </c>
      <c r="L60" s="117">
        <v>42643</v>
      </c>
      <c r="M60" s="136" t="s">
        <v>109</v>
      </c>
      <c r="N60" s="136" t="s">
        <v>10</v>
      </c>
      <c r="O60" s="137">
        <v>42709</v>
      </c>
      <c r="P60" s="137" t="s">
        <v>261</v>
      </c>
      <c r="Q60" s="138">
        <v>204</v>
      </c>
      <c r="R60" s="137" t="s">
        <v>99</v>
      </c>
      <c r="S60" s="136">
        <v>97200</v>
      </c>
      <c r="T60" s="136" t="s">
        <v>119</v>
      </c>
      <c r="U60" s="136" t="s">
        <v>101</v>
      </c>
      <c r="V60" s="136">
        <v>1.35</v>
      </c>
      <c r="W60" s="51">
        <v>1</v>
      </c>
      <c r="X60" s="51" t="str">
        <f t="shared" si="3"/>
        <v>8</v>
      </c>
      <c r="Y60" s="51" t="str">
        <f>VLOOKUP(X60,Sheet6.!$B$3:$C$9,2,0)</f>
        <v>Client 75% / Supplier 25%</v>
      </c>
      <c r="Z60" s="129">
        <f>+$V60*VLOOKUP($X60,Sheet6.!$B$3:$E$9,3,0)</f>
        <v>0.33750000000000002</v>
      </c>
      <c r="AA60" s="129">
        <f>+$V60*VLOOKUP($X60,Sheet6.!$B$3:$E$9,4,0)</f>
        <v>1.0125000000000002</v>
      </c>
    </row>
    <row r="61" spans="1:27" ht="15" hidden="1" customHeight="1" x14ac:dyDescent="0.25">
      <c r="A61" s="51" t="str">
        <f t="shared" si="2"/>
        <v>Unresolved</v>
      </c>
      <c r="B61" s="51" t="s">
        <v>466</v>
      </c>
      <c r="C61" s="91">
        <v>8520</v>
      </c>
      <c r="D61" s="91" t="s">
        <v>186</v>
      </c>
      <c r="E61" s="91" t="s">
        <v>15</v>
      </c>
      <c r="F61" s="91">
        <v>199</v>
      </c>
      <c r="G61" s="91" t="s">
        <v>124</v>
      </c>
      <c r="H61" s="91" t="s">
        <v>20</v>
      </c>
      <c r="I61" s="134">
        <v>85200410039882</v>
      </c>
      <c r="J61" s="92" t="s">
        <v>41</v>
      </c>
      <c r="K61" s="92" t="s">
        <v>249</v>
      </c>
      <c r="L61" s="117">
        <v>42643</v>
      </c>
      <c r="M61" s="136" t="s">
        <v>109</v>
      </c>
      <c r="N61" s="136" t="s">
        <v>10</v>
      </c>
      <c r="O61" s="137">
        <v>42709</v>
      </c>
      <c r="P61" s="137" t="s">
        <v>261</v>
      </c>
      <c r="Q61" s="138">
        <v>204</v>
      </c>
      <c r="R61" s="137" t="s">
        <v>99</v>
      </c>
      <c r="S61" s="136">
        <v>108000</v>
      </c>
      <c r="T61" s="136" t="s">
        <v>119</v>
      </c>
      <c r="U61" s="136" t="s">
        <v>101</v>
      </c>
      <c r="V61" s="136">
        <v>1.5</v>
      </c>
      <c r="W61" s="51">
        <v>1</v>
      </c>
      <c r="X61" s="51" t="str">
        <f t="shared" si="3"/>
        <v>8</v>
      </c>
      <c r="Y61" s="51" t="str">
        <f>VLOOKUP(X61,Sheet6.!$B$3:$C$9,2,0)</f>
        <v>Client 75% / Supplier 25%</v>
      </c>
      <c r="Z61" s="129">
        <f>+$V61*VLOOKUP($X61,Sheet6.!$B$3:$E$9,3,0)</f>
        <v>0.375</v>
      </c>
      <c r="AA61" s="129">
        <f>+$V61*VLOOKUP($X61,Sheet6.!$B$3:$E$9,4,0)</f>
        <v>1.125</v>
      </c>
    </row>
    <row r="62" spans="1:27" ht="15" hidden="1" customHeight="1" x14ac:dyDescent="0.25">
      <c r="A62" s="51" t="str">
        <f t="shared" si="2"/>
        <v>Unresolved</v>
      </c>
      <c r="B62" s="51" t="s">
        <v>466</v>
      </c>
      <c r="C62" s="91">
        <v>8520</v>
      </c>
      <c r="D62" s="91" t="s">
        <v>186</v>
      </c>
      <c r="E62" s="91" t="s">
        <v>15</v>
      </c>
      <c r="F62" s="91">
        <v>199</v>
      </c>
      <c r="G62" s="91" t="s">
        <v>124</v>
      </c>
      <c r="H62" s="91" t="s">
        <v>20</v>
      </c>
      <c r="I62" s="134">
        <v>85200410039883</v>
      </c>
      <c r="J62" s="92" t="s">
        <v>41</v>
      </c>
      <c r="K62" s="92" t="s">
        <v>249</v>
      </c>
      <c r="L62" s="117">
        <v>42643</v>
      </c>
      <c r="M62" s="136" t="s">
        <v>109</v>
      </c>
      <c r="N62" s="136" t="s">
        <v>10</v>
      </c>
      <c r="O62" s="137">
        <v>42709</v>
      </c>
      <c r="P62" s="137" t="s">
        <v>261</v>
      </c>
      <c r="Q62" s="138">
        <v>204</v>
      </c>
      <c r="R62" s="137" t="s">
        <v>99</v>
      </c>
      <c r="S62" s="136">
        <v>59400</v>
      </c>
      <c r="T62" s="136" t="s">
        <v>119</v>
      </c>
      <c r="U62" s="136" t="s">
        <v>101</v>
      </c>
      <c r="V62" s="136">
        <v>0.83</v>
      </c>
      <c r="W62" s="51">
        <v>1</v>
      </c>
      <c r="X62" s="51" t="str">
        <f t="shared" si="3"/>
        <v>8</v>
      </c>
      <c r="Y62" s="51" t="str">
        <f>VLOOKUP(X62,Sheet6.!$B$3:$C$9,2,0)</f>
        <v>Client 75% / Supplier 25%</v>
      </c>
      <c r="Z62" s="129">
        <f>+$V62*VLOOKUP($X62,Sheet6.!$B$3:$E$9,3,0)</f>
        <v>0.20749999999999999</v>
      </c>
      <c r="AA62" s="129">
        <f>+$V62*VLOOKUP($X62,Sheet6.!$B$3:$E$9,4,0)</f>
        <v>0.62249999999999994</v>
      </c>
    </row>
    <row r="63" spans="1:27" ht="15" hidden="1" customHeight="1" x14ac:dyDescent="0.25">
      <c r="A63" s="51" t="str">
        <f t="shared" si="2"/>
        <v>Unresolved</v>
      </c>
      <c r="B63" s="51" t="s">
        <v>466</v>
      </c>
      <c r="C63" s="91">
        <v>8520</v>
      </c>
      <c r="D63" s="91" t="s">
        <v>186</v>
      </c>
      <c r="E63" s="91" t="s">
        <v>15</v>
      </c>
      <c r="F63" s="91">
        <v>199</v>
      </c>
      <c r="G63" s="91" t="s">
        <v>124</v>
      </c>
      <c r="H63" s="91" t="s">
        <v>20</v>
      </c>
      <c r="I63" s="134">
        <v>85200410039938</v>
      </c>
      <c r="J63" s="92" t="s">
        <v>54</v>
      </c>
      <c r="K63" s="92" t="s">
        <v>137</v>
      </c>
      <c r="L63" s="117">
        <v>42643</v>
      </c>
      <c r="M63" s="136" t="s">
        <v>122</v>
      </c>
      <c r="N63" s="136" t="s">
        <v>9</v>
      </c>
      <c r="O63" s="137">
        <v>42709</v>
      </c>
      <c r="P63" s="137" t="s">
        <v>261</v>
      </c>
      <c r="Q63" s="138">
        <v>204</v>
      </c>
      <c r="R63" s="137" t="s">
        <v>99</v>
      </c>
      <c r="S63" s="136">
        <v>337572</v>
      </c>
      <c r="T63" s="136" t="s">
        <v>119</v>
      </c>
      <c r="U63" s="136" t="s">
        <v>101</v>
      </c>
      <c r="V63" s="136">
        <v>4.6900000000000004</v>
      </c>
      <c r="W63" s="51">
        <v>1</v>
      </c>
      <c r="X63" s="51" t="str">
        <f t="shared" si="3"/>
        <v>4</v>
      </c>
      <c r="Y63" s="51" t="str">
        <f>VLOOKUP(X63,Sheet6.!$B$3:$C$9,2,0)</f>
        <v>50% / 50%</v>
      </c>
      <c r="Z63" s="129">
        <f>+$V63*VLOOKUP($X63,Sheet6.!$B$3:$E$9,3,0)</f>
        <v>2.3450000000000002</v>
      </c>
      <c r="AA63" s="129">
        <f>+$V63*VLOOKUP($X63,Sheet6.!$B$3:$E$9,4,0)</f>
        <v>2.3450000000000002</v>
      </c>
    </row>
    <row r="64" spans="1:27" ht="15" customHeight="1" x14ac:dyDescent="0.25">
      <c r="A64" s="51" t="str">
        <f t="shared" si="2"/>
        <v>Unresolved</v>
      </c>
      <c r="B64" s="51" t="s">
        <v>277</v>
      </c>
      <c r="C64" s="91">
        <v>8520</v>
      </c>
      <c r="D64" s="91" t="s">
        <v>186</v>
      </c>
      <c r="E64" s="91" t="s">
        <v>15</v>
      </c>
      <c r="F64" s="91">
        <v>199</v>
      </c>
      <c r="G64" s="91" t="s">
        <v>124</v>
      </c>
      <c r="H64" s="91" t="s">
        <v>20</v>
      </c>
      <c r="I64" s="134">
        <v>85200410040068</v>
      </c>
      <c r="J64" s="92" t="s">
        <v>41</v>
      </c>
      <c r="K64" s="92" t="s">
        <v>249</v>
      </c>
      <c r="L64" s="117">
        <v>42643</v>
      </c>
      <c r="M64" s="136" t="s">
        <v>109</v>
      </c>
      <c r="N64" s="136" t="s">
        <v>10</v>
      </c>
      <c r="O64" s="137">
        <v>42709</v>
      </c>
      <c r="P64" s="137" t="s">
        <v>261</v>
      </c>
      <c r="Q64" s="138">
        <v>204</v>
      </c>
      <c r="R64" s="137" t="s">
        <v>99</v>
      </c>
      <c r="S64" s="136">
        <v>48000</v>
      </c>
      <c r="T64" s="136" t="s">
        <v>119</v>
      </c>
      <c r="U64" s="136" t="s">
        <v>101</v>
      </c>
      <c r="V64" s="136">
        <v>0.67</v>
      </c>
      <c r="W64" s="51">
        <v>1</v>
      </c>
      <c r="X64" s="51" t="str">
        <f t="shared" si="3"/>
        <v>8</v>
      </c>
      <c r="Y64" s="51" t="str">
        <f>VLOOKUP(X64,Sheet6.!$B$3:$C$9,2,0)</f>
        <v>Client 75% / Supplier 25%</v>
      </c>
      <c r="Z64" s="129">
        <f>+$V64*VLOOKUP($X64,Sheet6.!$B$3:$E$9,3,0)</f>
        <v>0.16750000000000001</v>
      </c>
      <c r="AA64" s="129">
        <f>+$V64*VLOOKUP($X64,Sheet6.!$B$3:$E$9,4,0)</f>
        <v>0.50250000000000006</v>
      </c>
    </row>
    <row r="65" spans="1:27" ht="15" hidden="1" customHeight="1" x14ac:dyDescent="0.25">
      <c r="A65" s="51" t="str">
        <f t="shared" si="2"/>
        <v>Unresolved</v>
      </c>
      <c r="B65" s="51" t="s">
        <v>466</v>
      </c>
      <c r="C65" s="91">
        <v>8520</v>
      </c>
      <c r="D65" s="91" t="s">
        <v>186</v>
      </c>
      <c r="E65" s="91" t="s">
        <v>15</v>
      </c>
      <c r="F65" s="91">
        <v>199</v>
      </c>
      <c r="G65" s="91" t="s">
        <v>124</v>
      </c>
      <c r="H65" s="91" t="s">
        <v>20</v>
      </c>
      <c r="I65" s="134">
        <v>85200410040069</v>
      </c>
      <c r="J65" s="92" t="s">
        <v>41</v>
      </c>
      <c r="K65" s="92" t="s">
        <v>249</v>
      </c>
      <c r="L65" s="117">
        <v>42643</v>
      </c>
      <c r="M65" s="136" t="s">
        <v>109</v>
      </c>
      <c r="N65" s="136" t="s">
        <v>10</v>
      </c>
      <c r="O65" s="137">
        <v>42709</v>
      </c>
      <c r="P65" s="137" t="s">
        <v>261</v>
      </c>
      <c r="Q65" s="138">
        <v>204</v>
      </c>
      <c r="R65" s="137" t="s">
        <v>99</v>
      </c>
      <c r="S65" s="136">
        <v>91200</v>
      </c>
      <c r="T65" s="136" t="s">
        <v>119</v>
      </c>
      <c r="U65" s="136" t="s">
        <v>101</v>
      </c>
      <c r="V65" s="136">
        <v>1.27</v>
      </c>
      <c r="W65" s="51">
        <v>1</v>
      </c>
      <c r="X65" s="51" t="str">
        <f t="shared" si="3"/>
        <v>8</v>
      </c>
      <c r="Y65" s="51" t="str">
        <f>VLOOKUP(X65,Sheet6.!$B$3:$C$9,2,0)</f>
        <v>Client 75% / Supplier 25%</v>
      </c>
      <c r="Z65" s="129">
        <f>+$V65*VLOOKUP($X65,Sheet6.!$B$3:$E$9,3,0)</f>
        <v>0.3175</v>
      </c>
      <c r="AA65" s="129">
        <f>+$V65*VLOOKUP($X65,Sheet6.!$B$3:$E$9,4,0)</f>
        <v>0.95250000000000001</v>
      </c>
    </row>
    <row r="66" spans="1:27" ht="15" hidden="1" customHeight="1" x14ac:dyDescent="0.25">
      <c r="A66" s="51" t="str">
        <f t="shared" si="2"/>
        <v>Unresolved</v>
      </c>
      <c r="B66" s="51" t="s">
        <v>466</v>
      </c>
      <c r="C66" s="91">
        <v>8520</v>
      </c>
      <c r="D66" s="91" t="s">
        <v>186</v>
      </c>
      <c r="E66" s="91" t="s">
        <v>15</v>
      </c>
      <c r="F66" s="91">
        <v>199</v>
      </c>
      <c r="G66" s="91" t="s">
        <v>124</v>
      </c>
      <c r="H66" s="91" t="s">
        <v>20</v>
      </c>
      <c r="I66" s="134">
        <v>85200410040070</v>
      </c>
      <c r="J66" s="92" t="s">
        <v>41</v>
      </c>
      <c r="K66" s="92" t="s">
        <v>249</v>
      </c>
      <c r="L66" s="117">
        <v>42643</v>
      </c>
      <c r="M66" s="136" t="s">
        <v>109</v>
      </c>
      <c r="N66" s="136" t="s">
        <v>10</v>
      </c>
      <c r="O66" s="137">
        <v>42709</v>
      </c>
      <c r="P66" s="137" t="s">
        <v>261</v>
      </c>
      <c r="Q66" s="138">
        <v>204</v>
      </c>
      <c r="R66" s="137" t="s">
        <v>99</v>
      </c>
      <c r="S66" s="136">
        <v>100800</v>
      </c>
      <c r="T66" s="136" t="s">
        <v>119</v>
      </c>
      <c r="U66" s="136" t="s">
        <v>101</v>
      </c>
      <c r="V66" s="136">
        <v>1.4</v>
      </c>
      <c r="W66" s="51">
        <v>1</v>
      </c>
      <c r="X66" s="51" t="str">
        <f t="shared" si="3"/>
        <v>8</v>
      </c>
      <c r="Y66" s="51" t="str">
        <f>VLOOKUP(X66,Sheet6.!$B$3:$C$9,2,0)</f>
        <v>Client 75% / Supplier 25%</v>
      </c>
      <c r="Z66" s="129">
        <f>+$V66*VLOOKUP($X66,Sheet6.!$B$3:$E$9,3,0)</f>
        <v>0.35</v>
      </c>
      <c r="AA66" s="129">
        <f>+$V66*VLOOKUP($X66,Sheet6.!$B$3:$E$9,4,0)</f>
        <v>1.0499999999999998</v>
      </c>
    </row>
    <row r="67" spans="1:27" ht="15" customHeight="1" x14ac:dyDescent="0.25">
      <c r="A67" s="51" t="str">
        <f t="shared" ref="A67:A120" si="4">+IF(B67="Added","Added","Unresolved")</f>
        <v>Unresolved</v>
      </c>
      <c r="B67" s="51" t="s">
        <v>277</v>
      </c>
      <c r="C67" s="91">
        <v>8520</v>
      </c>
      <c r="D67" s="91" t="s">
        <v>186</v>
      </c>
      <c r="E67" s="91" t="s">
        <v>15</v>
      </c>
      <c r="F67" s="91">
        <v>199</v>
      </c>
      <c r="G67" s="91" t="s">
        <v>124</v>
      </c>
      <c r="H67" s="91" t="s">
        <v>20</v>
      </c>
      <c r="I67" s="134">
        <v>85200410040071</v>
      </c>
      <c r="J67" s="92" t="s">
        <v>41</v>
      </c>
      <c r="K67" s="92" t="s">
        <v>249</v>
      </c>
      <c r="L67" s="117">
        <v>42643</v>
      </c>
      <c r="M67" s="136" t="s">
        <v>109</v>
      </c>
      <c r="N67" s="136" t="s">
        <v>10</v>
      </c>
      <c r="O67" s="137">
        <v>42709</v>
      </c>
      <c r="P67" s="137" t="s">
        <v>261</v>
      </c>
      <c r="Q67" s="138">
        <v>204</v>
      </c>
      <c r="R67" s="137" t="s">
        <v>99</v>
      </c>
      <c r="S67" s="136">
        <v>100800</v>
      </c>
      <c r="T67" s="136" t="s">
        <v>119</v>
      </c>
      <c r="U67" s="136" t="s">
        <v>101</v>
      </c>
      <c r="V67" s="136">
        <v>1.4</v>
      </c>
      <c r="W67" s="51">
        <v>1</v>
      </c>
      <c r="X67" s="51" t="str">
        <f t="shared" si="3"/>
        <v>8</v>
      </c>
      <c r="Y67" s="51" t="str">
        <f>VLOOKUP(X67,Sheet6.!$B$3:$C$9,2,0)</f>
        <v>Client 75% / Supplier 25%</v>
      </c>
      <c r="Z67" s="129">
        <f>+$V67*VLOOKUP($X67,Sheet6.!$B$3:$E$9,3,0)</f>
        <v>0.35</v>
      </c>
      <c r="AA67" s="129">
        <f>+$V67*VLOOKUP($X67,Sheet6.!$B$3:$E$9,4,0)</f>
        <v>1.0499999999999998</v>
      </c>
    </row>
    <row r="68" spans="1:27" x14ac:dyDescent="0.25">
      <c r="A68" s="51" t="str">
        <f t="shared" si="4"/>
        <v>Unresolved</v>
      </c>
      <c r="B68" s="51" t="s">
        <v>277</v>
      </c>
      <c r="C68" s="91">
        <v>8520</v>
      </c>
      <c r="D68" s="91" t="s">
        <v>186</v>
      </c>
      <c r="E68" s="91" t="s">
        <v>15</v>
      </c>
      <c r="F68" s="91">
        <v>199</v>
      </c>
      <c r="G68" s="91" t="s">
        <v>124</v>
      </c>
      <c r="H68" s="91" t="s">
        <v>20</v>
      </c>
      <c r="I68" s="134">
        <v>85200410040072</v>
      </c>
      <c r="J68" s="92" t="s">
        <v>41</v>
      </c>
      <c r="K68" s="92" t="s">
        <v>249</v>
      </c>
      <c r="L68" s="117">
        <v>42643</v>
      </c>
      <c r="M68" s="136" t="s">
        <v>109</v>
      </c>
      <c r="N68" s="136" t="s">
        <v>10</v>
      </c>
      <c r="O68" s="137">
        <v>42709</v>
      </c>
      <c r="P68" s="137" t="s">
        <v>261</v>
      </c>
      <c r="Q68" s="138">
        <v>204</v>
      </c>
      <c r="R68" s="137" t="s">
        <v>99</v>
      </c>
      <c r="S68" s="136">
        <v>86400</v>
      </c>
      <c r="T68" s="136" t="s">
        <v>119</v>
      </c>
      <c r="U68" s="136" t="s">
        <v>101</v>
      </c>
      <c r="V68" s="136">
        <v>1.2</v>
      </c>
      <c r="W68" s="51">
        <v>1</v>
      </c>
      <c r="X68" s="51" t="str">
        <f t="shared" si="3"/>
        <v>8</v>
      </c>
      <c r="Y68" s="51" t="str">
        <f>VLOOKUP(X68,Sheet6.!$B$3:$C$9,2,0)</f>
        <v>Client 75% / Supplier 25%</v>
      </c>
      <c r="Z68" s="129">
        <f>+$V68*VLOOKUP($X68,Sheet6.!$B$3:$E$9,3,0)</f>
        <v>0.3</v>
      </c>
      <c r="AA68" s="129">
        <f>+$V68*VLOOKUP($X68,Sheet6.!$B$3:$E$9,4,0)</f>
        <v>0.89999999999999991</v>
      </c>
    </row>
    <row r="69" spans="1:27" ht="15" hidden="1" customHeight="1" x14ac:dyDescent="0.25">
      <c r="A69" s="51" t="str">
        <f t="shared" si="4"/>
        <v>Unresolved</v>
      </c>
      <c r="B69" s="51" t="s">
        <v>466</v>
      </c>
      <c r="C69" s="91">
        <v>8520</v>
      </c>
      <c r="D69" s="91" t="s">
        <v>186</v>
      </c>
      <c r="E69" s="91" t="s">
        <v>15</v>
      </c>
      <c r="F69" s="91">
        <v>199</v>
      </c>
      <c r="G69" s="91" t="s">
        <v>124</v>
      </c>
      <c r="H69" s="91" t="s">
        <v>20</v>
      </c>
      <c r="I69" s="134">
        <v>85200410040073</v>
      </c>
      <c r="J69" s="92" t="s">
        <v>41</v>
      </c>
      <c r="K69" s="92" t="s">
        <v>249</v>
      </c>
      <c r="L69" s="117">
        <v>42643</v>
      </c>
      <c r="M69" s="136" t="s">
        <v>109</v>
      </c>
      <c r="N69" s="136" t="s">
        <v>10</v>
      </c>
      <c r="O69" s="137">
        <v>42709</v>
      </c>
      <c r="P69" s="137" t="s">
        <v>261</v>
      </c>
      <c r="Q69" s="138">
        <v>204</v>
      </c>
      <c r="R69" s="137" t="s">
        <v>99</v>
      </c>
      <c r="S69" s="136">
        <v>91200</v>
      </c>
      <c r="T69" s="136" t="s">
        <v>119</v>
      </c>
      <c r="U69" s="136" t="s">
        <v>101</v>
      </c>
      <c r="V69" s="136">
        <v>1.27</v>
      </c>
      <c r="W69" s="51">
        <v>1</v>
      </c>
      <c r="X69" s="51" t="str">
        <f t="shared" si="3"/>
        <v>8</v>
      </c>
      <c r="Y69" s="51" t="str">
        <f>VLOOKUP(X69,Sheet6.!$B$3:$C$9,2,0)</f>
        <v>Client 75% / Supplier 25%</v>
      </c>
      <c r="Z69" s="129">
        <f>+$V69*VLOOKUP($X69,Sheet6.!$B$3:$E$9,3,0)</f>
        <v>0.3175</v>
      </c>
      <c r="AA69" s="129">
        <f>+$V69*VLOOKUP($X69,Sheet6.!$B$3:$E$9,4,0)</f>
        <v>0.95250000000000001</v>
      </c>
    </row>
    <row r="70" spans="1:27" x14ac:dyDescent="0.25">
      <c r="A70" s="51" t="str">
        <f t="shared" si="4"/>
        <v>Unresolved</v>
      </c>
      <c r="B70" s="51" t="s">
        <v>277</v>
      </c>
      <c r="C70" s="91">
        <v>8520</v>
      </c>
      <c r="D70" s="91" t="s">
        <v>186</v>
      </c>
      <c r="E70" s="91" t="s">
        <v>15</v>
      </c>
      <c r="F70" s="91">
        <v>199</v>
      </c>
      <c r="G70" s="91" t="s">
        <v>124</v>
      </c>
      <c r="H70" s="91" t="s">
        <v>20</v>
      </c>
      <c r="I70" s="134">
        <v>85200410040074</v>
      </c>
      <c r="J70" s="92" t="s">
        <v>41</v>
      </c>
      <c r="K70" s="92" t="s">
        <v>249</v>
      </c>
      <c r="L70" s="117">
        <v>42643</v>
      </c>
      <c r="M70" s="136" t="s">
        <v>109</v>
      </c>
      <c r="N70" s="136" t="s">
        <v>10</v>
      </c>
      <c r="O70" s="137">
        <v>42709</v>
      </c>
      <c r="P70" s="137" t="s">
        <v>261</v>
      </c>
      <c r="Q70" s="138">
        <v>204</v>
      </c>
      <c r="R70" s="137" t="s">
        <v>99</v>
      </c>
      <c r="S70" s="136">
        <v>110400</v>
      </c>
      <c r="T70" s="136" t="s">
        <v>119</v>
      </c>
      <c r="U70" s="136" t="s">
        <v>101</v>
      </c>
      <c r="V70" s="136">
        <v>1.54</v>
      </c>
      <c r="W70" s="51">
        <v>1</v>
      </c>
      <c r="X70" s="51" t="str">
        <f t="shared" si="3"/>
        <v>8</v>
      </c>
      <c r="Y70" s="51" t="str">
        <f>VLOOKUP(X70,Sheet6.!$B$3:$C$9,2,0)</f>
        <v>Client 75% / Supplier 25%</v>
      </c>
      <c r="Z70" s="129">
        <f>+$V70*VLOOKUP($X70,Sheet6.!$B$3:$E$9,3,0)</f>
        <v>0.38500000000000001</v>
      </c>
      <c r="AA70" s="129">
        <f>+$V70*VLOOKUP($X70,Sheet6.!$B$3:$E$9,4,0)</f>
        <v>1.155</v>
      </c>
    </row>
    <row r="71" spans="1:27" x14ac:dyDescent="0.25">
      <c r="A71" s="51" t="str">
        <f t="shared" si="4"/>
        <v>Unresolved</v>
      </c>
      <c r="B71" s="51" t="s">
        <v>277</v>
      </c>
      <c r="C71" s="91">
        <v>8520</v>
      </c>
      <c r="D71" s="91" t="s">
        <v>186</v>
      </c>
      <c r="E71" s="91" t="s">
        <v>15</v>
      </c>
      <c r="F71" s="91">
        <v>199</v>
      </c>
      <c r="G71" s="91" t="s">
        <v>124</v>
      </c>
      <c r="H71" s="91" t="s">
        <v>20</v>
      </c>
      <c r="I71" s="134">
        <v>85200410040075</v>
      </c>
      <c r="J71" s="92" t="s">
        <v>41</v>
      </c>
      <c r="K71" s="92" t="s">
        <v>249</v>
      </c>
      <c r="L71" s="117">
        <v>42643</v>
      </c>
      <c r="M71" s="136" t="s">
        <v>109</v>
      </c>
      <c r="N71" s="136" t="s">
        <v>10</v>
      </c>
      <c r="O71" s="137">
        <v>42709</v>
      </c>
      <c r="P71" s="137" t="s">
        <v>261</v>
      </c>
      <c r="Q71" s="138">
        <v>204</v>
      </c>
      <c r="R71" s="137" t="s">
        <v>99</v>
      </c>
      <c r="S71" s="136">
        <v>91200</v>
      </c>
      <c r="T71" s="136" t="s">
        <v>119</v>
      </c>
      <c r="U71" s="136" t="s">
        <v>101</v>
      </c>
      <c r="V71" s="136">
        <v>1.27</v>
      </c>
      <c r="W71" s="51">
        <v>1</v>
      </c>
      <c r="X71" s="51" t="str">
        <f t="shared" si="3"/>
        <v>8</v>
      </c>
      <c r="Y71" s="51" t="str">
        <f>VLOOKUP(X71,Sheet6.!$B$3:$C$9,2,0)</f>
        <v>Client 75% / Supplier 25%</v>
      </c>
      <c r="Z71" s="129">
        <f>+$V71*VLOOKUP($X71,Sheet6.!$B$3:$E$9,3,0)</f>
        <v>0.3175</v>
      </c>
      <c r="AA71" s="129">
        <f>+$V71*VLOOKUP($X71,Sheet6.!$B$3:$E$9,4,0)</f>
        <v>0.95250000000000001</v>
      </c>
    </row>
    <row r="72" spans="1:27" ht="15" hidden="1" customHeight="1" x14ac:dyDescent="0.25">
      <c r="A72" s="51" t="str">
        <f t="shared" si="4"/>
        <v>Unresolved</v>
      </c>
      <c r="B72" s="51" t="s">
        <v>466</v>
      </c>
      <c r="C72" s="91">
        <v>8520</v>
      </c>
      <c r="D72" s="91" t="s">
        <v>186</v>
      </c>
      <c r="E72" s="91" t="s">
        <v>15</v>
      </c>
      <c r="F72" s="91">
        <v>199</v>
      </c>
      <c r="G72" s="91" t="s">
        <v>124</v>
      </c>
      <c r="H72" s="91" t="s">
        <v>20</v>
      </c>
      <c r="I72" s="134">
        <v>85200410040076</v>
      </c>
      <c r="J72" s="92" t="s">
        <v>41</v>
      </c>
      <c r="K72" s="92" t="s">
        <v>249</v>
      </c>
      <c r="L72" s="117">
        <v>42643</v>
      </c>
      <c r="M72" s="136" t="s">
        <v>109</v>
      </c>
      <c r="N72" s="136" t="s">
        <v>10</v>
      </c>
      <c r="O72" s="137">
        <v>42709</v>
      </c>
      <c r="P72" s="137" t="s">
        <v>261</v>
      </c>
      <c r="Q72" s="138">
        <v>204</v>
      </c>
      <c r="R72" s="137" t="s">
        <v>99</v>
      </c>
      <c r="S72" s="136">
        <v>67200</v>
      </c>
      <c r="T72" s="136" t="s">
        <v>119</v>
      </c>
      <c r="U72" s="136" t="s">
        <v>101</v>
      </c>
      <c r="V72" s="136">
        <v>0.93</v>
      </c>
      <c r="W72" s="51">
        <v>1</v>
      </c>
      <c r="X72" s="51" t="str">
        <f t="shared" si="3"/>
        <v>8</v>
      </c>
      <c r="Y72" s="51" t="str">
        <f>VLOOKUP(X72,Sheet6.!$B$3:$C$9,2,0)</f>
        <v>Client 75% / Supplier 25%</v>
      </c>
      <c r="Z72" s="129">
        <f>+$V72*VLOOKUP($X72,Sheet6.!$B$3:$E$9,3,0)</f>
        <v>0.23250000000000001</v>
      </c>
      <c r="AA72" s="129">
        <f>+$V72*VLOOKUP($X72,Sheet6.!$B$3:$E$9,4,0)</f>
        <v>0.69750000000000001</v>
      </c>
    </row>
    <row r="73" spans="1:27" ht="15" hidden="1" customHeight="1" x14ac:dyDescent="0.25">
      <c r="A73" s="51" t="str">
        <f t="shared" si="4"/>
        <v>Added</v>
      </c>
      <c r="B73" s="51" t="s">
        <v>96</v>
      </c>
      <c r="C73" s="91">
        <v>8520</v>
      </c>
      <c r="D73" s="91" t="s">
        <v>186</v>
      </c>
      <c r="E73" s="91" t="s">
        <v>15</v>
      </c>
      <c r="F73" s="91">
        <v>3011</v>
      </c>
      <c r="G73" s="91" t="s">
        <v>106</v>
      </c>
      <c r="H73" s="91" t="s">
        <v>20</v>
      </c>
      <c r="I73" s="134">
        <v>85200810000413</v>
      </c>
      <c r="J73" s="92" t="s">
        <v>41</v>
      </c>
      <c r="K73" s="92" t="s">
        <v>139</v>
      </c>
      <c r="L73" s="117">
        <v>42643</v>
      </c>
      <c r="M73" s="136" t="s">
        <v>122</v>
      </c>
      <c r="N73" s="136" t="s">
        <v>9</v>
      </c>
      <c r="O73" s="137">
        <v>42681</v>
      </c>
      <c r="P73" s="137" t="s">
        <v>261</v>
      </c>
      <c r="Q73" s="138">
        <v>232</v>
      </c>
      <c r="R73" s="137" t="s">
        <v>99</v>
      </c>
      <c r="S73" s="136">
        <v>156092.51999999999</v>
      </c>
      <c r="T73" s="136" t="s">
        <v>119</v>
      </c>
      <c r="U73" s="136" t="s">
        <v>101</v>
      </c>
      <c r="V73" s="136">
        <v>2.17</v>
      </c>
      <c r="W73" s="51">
        <v>1</v>
      </c>
      <c r="X73" s="51" t="str">
        <f t="shared" ref="X73:X120" si="5">IF(OR(LEFT(M73,1)="6",LEFT(M73,1)="7"),"6/7",LEFT(M73,1))</f>
        <v>4</v>
      </c>
      <c r="Y73" s="51" t="str">
        <f>VLOOKUP(X73,Sheet6.!$B$3:$C$9,2,0)</f>
        <v>50% / 50%</v>
      </c>
      <c r="Z73" s="129">
        <f>+$V73*VLOOKUP($X73,Sheet6.!$B$3:$E$9,3,0)</f>
        <v>1.085</v>
      </c>
      <c r="AA73" s="129">
        <f>+$V73*VLOOKUP($X73,Sheet6.!$B$3:$E$9,4,0)</f>
        <v>1.085</v>
      </c>
    </row>
    <row r="74" spans="1:27" ht="15" hidden="1" customHeight="1" x14ac:dyDescent="0.25">
      <c r="A74" s="51" t="str">
        <f t="shared" si="4"/>
        <v>Added</v>
      </c>
      <c r="B74" s="51" t="s">
        <v>96</v>
      </c>
      <c r="C74" s="91">
        <v>8520</v>
      </c>
      <c r="D74" s="91" t="s">
        <v>186</v>
      </c>
      <c r="E74" s="91" t="s">
        <v>15</v>
      </c>
      <c r="F74" s="91">
        <v>3011</v>
      </c>
      <c r="G74" s="91" t="s">
        <v>106</v>
      </c>
      <c r="H74" s="91" t="s">
        <v>20</v>
      </c>
      <c r="I74" s="134">
        <v>85203010001104</v>
      </c>
      <c r="J74" s="92" t="s">
        <v>41</v>
      </c>
      <c r="K74" s="92" t="s">
        <v>139</v>
      </c>
      <c r="L74" s="117">
        <v>42643</v>
      </c>
      <c r="M74" s="136" t="s">
        <v>122</v>
      </c>
      <c r="N74" s="136" t="s">
        <v>9</v>
      </c>
      <c r="O74" s="137">
        <v>42681</v>
      </c>
      <c r="P74" s="137" t="s">
        <v>261</v>
      </c>
      <c r="Q74" s="138">
        <v>232</v>
      </c>
      <c r="R74" s="137" t="s">
        <v>99</v>
      </c>
      <c r="S74" s="136">
        <v>150160</v>
      </c>
      <c r="T74" s="136" t="s">
        <v>119</v>
      </c>
      <c r="U74" s="136" t="s">
        <v>101</v>
      </c>
      <c r="V74" s="136">
        <v>2.09</v>
      </c>
      <c r="W74" s="51">
        <v>1</v>
      </c>
      <c r="X74" s="51" t="str">
        <f t="shared" si="5"/>
        <v>4</v>
      </c>
      <c r="Y74" s="51" t="str">
        <f>VLOOKUP(X74,Sheet6.!$B$3:$C$9,2,0)</f>
        <v>50% / 50%</v>
      </c>
      <c r="Z74" s="129">
        <f>+$V74*VLOOKUP($X74,Sheet6.!$B$3:$E$9,3,0)</f>
        <v>1.0449999999999999</v>
      </c>
      <c r="AA74" s="129">
        <f>+$V74*VLOOKUP($X74,Sheet6.!$B$3:$E$9,4,0)</f>
        <v>1.0449999999999999</v>
      </c>
    </row>
    <row r="75" spans="1:27" ht="15" hidden="1" customHeight="1" x14ac:dyDescent="0.25">
      <c r="A75" s="51" t="str">
        <f t="shared" si="4"/>
        <v>Added</v>
      </c>
      <c r="B75" s="51" t="s">
        <v>96</v>
      </c>
      <c r="C75" s="91">
        <v>8520</v>
      </c>
      <c r="D75" s="91" t="s">
        <v>186</v>
      </c>
      <c r="E75" s="91" t="s">
        <v>15</v>
      </c>
      <c r="F75" s="91">
        <v>3011</v>
      </c>
      <c r="G75" s="91" t="s">
        <v>106</v>
      </c>
      <c r="H75" s="91" t="s">
        <v>20</v>
      </c>
      <c r="I75" s="134">
        <v>85201110010268</v>
      </c>
      <c r="J75" s="92" t="s">
        <v>52</v>
      </c>
      <c r="K75" s="92" t="s">
        <v>132</v>
      </c>
      <c r="L75" s="117">
        <v>42646</v>
      </c>
      <c r="M75" s="136" t="s">
        <v>121</v>
      </c>
      <c r="N75" s="136" t="s">
        <v>9</v>
      </c>
      <c r="O75" s="137">
        <v>42681</v>
      </c>
      <c r="P75" s="137" t="s">
        <v>261</v>
      </c>
      <c r="Q75" s="138">
        <v>232</v>
      </c>
      <c r="R75" s="137" t="s">
        <v>99</v>
      </c>
      <c r="S75" s="136">
        <v>329400</v>
      </c>
      <c r="T75" s="136" t="s">
        <v>119</v>
      </c>
      <c r="U75" s="136" t="s">
        <v>101</v>
      </c>
      <c r="V75" s="136">
        <v>4.58</v>
      </c>
      <c r="W75" s="51">
        <v>1</v>
      </c>
      <c r="X75" s="51" t="str">
        <f t="shared" si="5"/>
        <v>3</v>
      </c>
      <c r="Y75" s="51" t="str">
        <f>VLOOKUP(X75,Sheet6.!$B$3:$C$9,2,0)</f>
        <v>50% / 50%</v>
      </c>
      <c r="Z75" s="129">
        <f>+$V75*VLOOKUP($X75,Sheet6.!$B$3:$E$9,3,0)</f>
        <v>2.29</v>
      </c>
      <c r="AA75" s="129">
        <f>+$V75*VLOOKUP($X75,Sheet6.!$B$3:$E$9,4,0)</f>
        <v>2.29</v>
      </c>
    </row>
    <row r="76" spans="1:27" ht="15" customHeight="1" x14ac:dyDescent="0.25">
      <c r="A76" s="51" t="str">
        <f t="shared" si="4"/>
        <v>Unresolved</v>
      </c>
      <c r="B76" s="51" t="str">
        <f>+INDEX(DATA_PRIOR!$B:$B,MATCH(I76,DATA_PRIOR!$I:$I,0),0)</f>
        <v>Unresolved (Jan)</v>
      </c>
      <c r="C76" s="91">
        <v>8520</v>
      </c>
      <c r="D76" s="91" t="s">
        <v>186</v>
      </c>
      <c r="E76" s="91" t="s">
        <v>15</v>
      </c>
      <c r="F76" s="91">
        <v>199</v>
      </c>
      <c r="G76" s="91" t="s">
        <v>124</v>
      </c>
      <c r="H76" s="91" t="s">
        <v>20</v>
      </c>
      <c r="I76" s="134" t="s">
        <v>192</v>
      </c>
      <c r="J76" s="92" t="s">
        <v>52</v>
      </c>
      <c r="K76" s="92" t="s">
        <v>132</v>
      </c>
      <c r="L76" s="117">
        <v>42579</v>
      </c>
      <c r="M76" s="136" t="s">
        <v>122</v>
      </c>
      <c r="N76" s="136" t="s">
        <v>9</v>
      </c>
      <c r="O76" s="137">
        <v>42586</v>
      </c>
      <c r="P76" s="137" t="s">
        <v>206</v>
      </c>
      <c r="Q76" s="138">
        <v>327</v>
      </c>
      <c r="R76" s="137" t="s">
        <v>99</v>
      </c>
      <c r="S76" s="136">
        <v>110285</v>
      </c>
      <c r="T76" s="136" t="s">
        <v>119</v>
      </c>
      <c r="U76" s="136" t="s">
        <v>101</v>
      </c>
      <c r="V76" s="136">
        <v>1.53</v>
      </c>
      <c r="W76" s="51">
        <v>1</v>
      </c>
      <c r="X76" s="51" t="str">
        <f t="shared" si="5"/>
        <v>4</v>
      </c>
      <c r="Y76" s="51" t="str">
        <f>VLOOKUP(X76,Sheet6.!$B$3:$C$9,2,0)</f>
        <v>50% / 50%</v>
      </c>
      <c r="Z76" s="129">
        <f>+$V76*VLOOKUP($X76,Sheet6.!$B$3:$E$9,3,0)</f>
        <v>0.76500000000000001</v>
      </c>
      <c r="AA76" s="129">
        <f>+$V76*VLOOKUP($X76,Sheet6.!$B$3:$E$9,4,0)</f>
        <v>0.76500000000000001</v>
      </c>
    </row>
    <row r="77" spans="1:27" ht="15" customHeight="1" x14ac:dyDescent="0.25">
      <c r="A77" s="51" t="str">
        <f t="shared" si="4"/>
        <v>Unresolved</v>
      </c>
      <c r="B77" s="51" t="str">
        <f>+INDEX(DATA_PRIOR!$B:$B,MATCH(I77,DATA_PRIOR!$I:$I,0),0)</f>
        <v>Unresolved (Jan)</v>
      </c>
      <c r="C77" s="91">
        <v>8520</v>
      </c>
      <c r="D77" s="91" t="s">
        <v>186</v>
      </c>
      <c r="E77" s="91" t="s">
        <v>15</v>
      </c>
      <c r="F77" s="91">
        <v>199</v>
      </c>
      <c r="G77" s="91" t="s">
        <v>124</v>
      </c>
      <c r="H77" s="91" t="s">
        <v>20</v>
      </c>
      <c r="I77" s="134" t="s">
        <v>193</v>
      </c>
      <c r="J77" s="92" t="s">
        <v>52</v>
      </c>
      <c r="K77" s="92" t="s">
        <v>132</v>
      </c>
      <c r="L77" s="117">
        <v>42579</v>
      </c>
      <c r="M77" s="136" t="s">
        <v>109</v>
      </c>
      <c r="N77" s="136" t="s">
        <v>10</v>
      </c>
      <c r="O77" s="137">
        <v>42586</v>
      </c>
      <c r="P77" s="137" t="s">
        <v>206</v>
      </c>
      <c r="Q77" s="138">
        <v>327</v>
      </c>
      <c r="R77" s="137" t="s">
        <v>99</v>
      </c>
      <c r="S77" s="136">
        <v>168945</v>
      </c>
      <c r="T77" s="136" t="s">
        <v>119</v>
      </c>
      <c r="U77" s="136" t="s">
        <v>101</v>
      </c>
      <c r="V77" s="136">
        <v>2.35</v>
      </c>
      <c r="W77" s="51">
        <v>1</v>
      </c>
      <c r="X77" s="51" t="str">
        <f t="shared" si="5"/>
        <v>8</v>
      </c>
      <c r="Y77" s="51" t="str">
        <f>VLOOKUP(X77,Sheet6.!$B$3:$C$9,2,0)</f>
        <v>Client 75% / Supplier 25%</v>
      </c>
      <c r="Z77" s="129">
        <f>+$V77*VLOOKUP($X77,Sheet6.!$B$3:$E$9,3,0)</f>
        <v>0.58750000000000002</v>
      </c>
      <c r="AA77" s="129">
        <f>+$V77*VLOOKUP($X77,Sheet6.!$B$3:$E$9,4,0)</f>
        <v>1.7625000000000002</v>
      </c>
    </row>
    <row r="78" spans="1:27" ht="15" customHeight="1" x14ac:dyDescent="0.25">
      <c r="A78" s="51" t="str">
        <f t="shared" si="4"/>
        <v>Unresolved</v>
      </c>
      <c r="B78" s="51" t="str">
        <f>+INDEX(DATA_PRIOR!$B:$B,MATCH(I78,DATA_PRIOR!$I:$I,0),0)</f>
        <v>Unresolved (Jan)</v>
      </c>
      <c r="C78" s="91">
        <v>8520</v>
      </c>
      <c r="D78" s="91" t="s">
        <v>186</v>
      </c>
      <c r="E78" s="91" t="s">
        <v>15</v>
      </c>
      <c r="F78" s="91">
        <v>199</v>
      </c>
      <c r="G78" s="91" t="s">
        <v>124</v>
      </c>
      <c r="H78" s="91" t="s">
        <v>20</v>
      </c>
      <c r="I78" s="134" t="s">
        <v>194</v>
      </c>
      <c r="J78" s="92" t="s">
        <v>52</v>
      </c>
      <c r="K78" s="92" t="s">
        <v>132</v>
      </c>
      <c r="L78" s="117">
        <v>42579</v>
      </c>
      <c r="M78" s="136" t="s">
        <v>122</v>
      </c>
      <c r="N78" s="136" t="s">
        <v>9</v>
      </c>
      <c r="O78" s="137">
        <v>42586</v>
      </c>
      <c r="P78" s="137" t="s">
        <v>206</v>
      </c>
      <c r="Q78" s="138">
        <v>327</v>
      </c>
      <c r="R78" s="137" t="s">
        <v>99</v>
      </c>
      <c r="S78" s="136">
        <v>218135</v>
      </c>
      <c r="T78" s="136" t="s">
        <v>119</v>
      </c>
      <c r="U78" s="136" t="s">
        <v>101</v>
      </c>
      <c r="V78" s="136">
        <v>3.03</v>
      </c>
      <c r="W78" s="51">
        <v>1</v>
      </c>
      <c r="X78" s="51" t="str">
        <f t="shared" si="5"/>
        <v>4</v>
      </c>
      <c r="Y78" s="51" t="str">
        <f>VLOOKUP(X78,Sheet6.!$B$3:$C$9,2,0)</f>
        <v>50% / 50%</v>
      </c>
      <c r="Z78" s="129">
        <f>+$V78*VLOOKUP($X78,Sheet6.!$B$3:$E$9,3,0)</f>
        <v>1.5149999999999999</v>
      </c>
      <c r="AA78" s="129">
        <f>+$V78*VLOOKUP($X78,Sheet6.!$B$3:$E$9,4,0)</f>
        <v>1.5149999999999999</v>
      </c>
    </row>
    <row r="79" spans="1:27" ht="15" customHeight="1" x14ac:dyDescent="0.25">
      <c r="A79" s="51" t="str">
        <f t="shared" si="4"/>
        <v>Unresolved</v>
      </c>
      <c r="B79" s="51" t="str">
        <f>+INDEX(DATA_PRIOR!$B:$B,MATCH(I79,DATA_PRIOR!$I:$I,0),0)</f>
        <v>Unresolved (Jan)</v>
      </c>
      <c r="C79" s="91">
        <v>8520</v>
      </c>
      <c r="D79" s="91" t="s">
        <v>186</v>
      </c>
      <c r="E79" s="91" t="s">
        <v>15</v>
      </c>
      <c r="F79" s="91">
        <v>199</v>
      </c>
      <c r="G79" s="91" t="s">
        <v>124</v>
      </c>
      <c r="H79" s="91" t="s">
        <v>20</v>
      </c>
      <c r="I79" s="134" t="s">
        <v>195</v>
      </c>
      <c r="J79" s="92" t="s">
        <v>52</v>
      </c>
      <c r="K79" s="92" t="s">
        <v>132</v>
      </c>
      <c r="L79" s="117">
        <v>42579</v>
      </c>
      <c r="M79" s="136" t="s">
        <v>117</v>
      </c>
      <c r="N79" s="136" t="s">
        <v>118</v>
      </c>
      <c r="O79" s="137">
        <v>42586</v>
      </c>
      <c r="P79" s="137" t="s">
        <v>206</v>
      </c>
      <c r="Q79" s="138">
        <v>327</v>
      </c>
      <c r="R79" s="137" t="s">
        <v>99</v>
      </c>
      <c r="S79" s="136">
        <v>239469</v>
      </c>
      <c r="T79" s="136" t="s">
        <v>119</v>
      </c>
      <c r="U79" s="136" t="s">
        <v>101</v>
      </c>
      <c r="V79" s="136">
        <v>3.33</v>
      </c>
      <c r="W79" s="51">
        <v>1</v>
      </c>
      <c r="X79" s="51" t="str">
        <f t="shared" si="5"/>
        <v>6/7</v>
      </c>
      <c r="Y79" s="51" t="str">
        <f>VLOOKUP(X79,Sheet6.!$B$3:$C$9,2,0)</f>
        <v>50% / 50%</v>
      </c>
      <c r="Z79" s="129">
        <f>+$V79*VLOOKUP($X79,Sheet6.!$B$3:$E$9,3,0)</f>
        <v>1.665</v>
      </c>
      <c r="AA79" s="129">
        <f>+$V79*VLOOKUP($X79,Sheet6.!$B$3:$E$9,4,0)</f>
        <v>1.665</v>
      </c>
    </row>
    <row r="80" spans="1:27" ht="15" customHeight="1" x14ac:dyDescent="0.25">
      <c r="A80" s="51" t="str">
        <f t="shared" si="4"/>
        <v>Unresolved</v>
      </c>
      <c r="B80" s="51" t="str">
        <f>+INDEX(DATA_PRIOR!$B:$B,MATCH(I80,DATA_PRIOR!$I:$I,0),0)</f>
        <v>Unresolved (Jan)</v>
      </c>
      <c r="C80" s="91">
        <v>8520</v>
      </c>
      <c r="D80" s="91" t="s">
        <v>186</v>
      </c>
      <c r="E80" s="91" t="s">
        <v>15</v>
      </c>
      <c r="F80" s="91">
        <v>199</v>
      </c>
      <c r="G80" s="91" t="s">
        <v>124</v>
      </c>
      <c r="H80" s="91" t="s">
        <v>20</v>
      </c>
      <c r="I80" s="134" t="s">
        <v>196</v>
      </c>
      <c r="J80" s="92" t="s">
        <v>52</v>
      </c>
      <c r="K80" s="92" t="s">
        <v>132</v>
      </c>
      <c r="L80" s="117">
        <v>42579</v>
      </c>
      <c r="M80" s="136" t="s">
        <v>109</v>
      </c>
      <c r="N80" s="136" t="s">
        <v>10</v>
      </c>
      <c r="O80" s="137">
        <v>42586</v>
      </c>
      <c r="P80" s="137" t="s">
        <v>206</v>
      </c>
      <c r="Q80" s="138">
        <v>327</v>
      </c>
      <c r="R80" s="137" t="s">
        <v>99</v>
      </c>
      <c r="S80" s="136">
        <v>459040</v>
      </c>
      <c r="T80" s="136" t="s">
        <v>119</v>
      </c>
      <c r="U80" s="136" t="s">
        <v>101</v>
      </c>
      <c r="V80" s="136">
        <v>6.38</v>
      </c>
      <c r="W80" s="51">
        <v>1</v>
      </c>
      <c r="X80" s="51" t="str">
        <f t="shared" si="5"/>
        <v>8</v>
      </c>
      <c r="Y80" s="51" t="str">
        <f>VLOOKUP(X80,Sheet6.!$B$3:$C$9,2,0)</f>
        <v>Client 75% / Supplier 25%</v>
      </c>
      <c r="Z80" s="129">
        <f>+$V80*VLOOKUP($X80,Sheet6.!$B$3:$E$9,3,0)</f>
        <v>1.595</v>
      </c>
      <c r="AA80" s="129">
        <f>+$V80*VLOOKUP($X80,Sheet6.!$B$3:$E$9,4,0)</f>
        <v>4.7850000000000001</v>
      </c>
    </row>
    <row r="81" spans="1:27" ht="15" hidden="1" customHeight="1" x14ac:dyDescent="0.25">
      <c r="A81" s="51" t="str">
        <f t="shared" si="4"/>
        <v>Added</v>
      </c>
      <c r="B81" s="51" t="s">
        <v>96</v>
      </c>
      <c r="C81" s="91">
        <v>8520</v>
      </c>
      <c r="D81" s="91" t="s">
        <v>186</v>
      </c>
      <c r="E81" s="91" t="s">
        <v>15</v>
      </c>
      <c r="F81" s="91">
        <v>199</v>
      </c>
      <c r="G81" s="91" t="s">
        <v>124</v>
      </c>
      <c r="H81" s="91" t="s">
        <v>20</v>
      </c>
      <c r="I81" s="134">
        <v>85201210002664</v>
      </c>
      <c r="J81" s="92" t="s">
        <v>52</v>
      </c>
      <c r="K81" s="92" t="s">
        <v>132</v>
      </c>
      <c r="L81" s="117">
        <v>42583</v>
      </c>
      <c r="M81" s="136" t="s">
        <v>109</v>
      </c>
      <c r="N81" s="136" t="s">
        <v>10</v>
      </c>
      <c r="O81" s="137">
        <v>42648</v>
      </c>
      <c r="P81" s="137" t="s">
        <v>206</v>
      </c>
      <c r="Q81" s="138">
        <v>265</v>
      </c>
      <c r="R81" s="137" t="s">
        <v>99</v>
      </c>
      <c r="S81" s="136">
        <v>316800</v>
      </c>
      <c r="T81" s="136" t="s">
        <v>119</v>
      </c>
      <c r="U81" s="136" t="s">
        <v>101</v>
      </c>
      <c r="V81" s="136">
        <v>4.41</v>
      </c>
      <c r="W81" s="51">
        <v>1</v>
      </c>
      <c r="X81" s="51" t="str">
        <f t="shared" si="5"/>
        <v>8</v>
      </c>
      <c r="Y81" s="51" t="str">
        <f>VLOOKUP(X81,Sheet6.!$B$3:$C$9,2,0)</f>
        <v>Client 75% / Supplier 25%</v>
      </c>
      <c r="Z81" s="129">
        <f>+$V81*VLOOKUP($X81,Sheet6.!$B$3:$E$9,3,0)</f>
        <v>1.1025</v>
      </c>
      <c r="AA81" s="129">
        <f>+$V81*VLOOKUP($X81,Sheet6.!$B$3:$E$9,4,0)</f>
        <v>3.3075000000000001</v>
      </c>
    </row>
    <row r="82" spans="1:27" ht="15" hidden="1" customHeight="1" x14ac:dyDescent="0.25">
      <c r="A82" s="51" t="str">
        <f t="shared" si="4"/>
        <v>Added</v>
      </c>
      <c r="B82" s="51" t="s">
        <v>96</v>
      </c>
      <c r="C82" s="91">
        <v>8520</v>
      </c>
      <c r="D82" s="91" t="s">
        <v>186</v>
      </c>
      <c r="E82" s="91" t="s">
        <v>15</v>
      </c>
      <c r="F82" s="91">
        <v>9701</v>
      </c>
      <c r="G82" s="91" t="s">
        <v>173</v>
      </c>
      <c r="H82" s="91" t="s">
        <v>14</v>
      </c>
      <c r="I82" s="134">
        <v>85200710012477</v>
      </c>
      <c r="J82" s="92" t="s">
        <v>37</v>
      </c>
      <c r="K82" s="92" t="s">
        <v>199</v>
      </c>
      <c r="L82" s="117">
        <v>42583</v>
      </c>
      <c r="M82" s="136" t="s">
        <v>104</v>
      </c>
      <c r="N82" s="136" t="s">
        <v>9</v>
      </c>
      <c r="O82" s="137">
        <v>42615</v>
      </c>
      <c r="P82" s="137" t="s">
        <v>206</v>
      </c>
      <c r="Q82" s="138">
        <v>298</v>
      </c>
      <c r="R82" s="137" t="s">
        <v>99</v>
      </c>
      <c r="S82" s="136">
        <v>-209034</v>
      </c>
      <c r="T82" s="136" t="s">
        <v>119</v>
      </c>
      <c r="U82" s="136" t="s">
        <v>101</v>
      </c>
      <c r="V82" s="136">
        <v>-2.91</v>
      </c>
      <c r="W82" s="51">
        <v>1</v>
      </c>
      <c r="X82" s="51" t="str">
        <f t="shared" si="5"/>
        <v>2</v>
      </c>
      <c r="Y82" s="51" t="str">
        <f>VLOOKUP(X82,Sheet6.!$B$3:$C$9,2,0)</f>
        <v>50% / 50%</v>
      </c>
      <c r="Z82" s="129">
        <f>+$V82*VLOOKUP($X82,Sheet6.!$B$3:$E$9,3,0)</f>
        <v>-1.4550000000000001</v>
      </c>
      <c r="AA82" s="129">
        <f>+$V82*VLOOKUP($X82,Sheet6.!$B$3:$E$9,4,0)</f>
        <v>-1.4550000000000001</v>
      </c>
    </row>
    <row r="83" spans="1:27" ht="15" hidden="1" customHeight="1" x14ac:dyDescent="0.25">
      <c r="A83" s="51" t="str">
        <f t="shared" si="4"/>
        <v>Unresolved</v>
      </c>
      <c r="B83" s="51" t="s">
        <v>466</v>
      </c>
      <c r="C83" s="91">
        <v>8520</v>
      </c>
      <c r="D83" s="91" t="s">
        <v>186</v>
      </c>
      <c r="E83" s="91" t="s">
        <v>15</v>
      </c>
      <c r="F83" s="91">
        <v>199</v>
      </c>
      <c r="G83" s="91" t="s">
        <v>124</v>
      </c>
      <c r="H83" s="91" t="s">
        <v>20</v>
      </c>
      <c r="I83" s="134">
        <v>85200710012569</v>
      </c>
      <c r="J83" s="92" t="s">
        <v>47</v>
      </c>
      <c r="K83" s="92" t="s">
        <v>142</v>
      </c>
      <c r="L83" s="117">
        <v>42583</v>
      </c>
      <c r="M83" s="136" t="s">
        <v>109</v>
      </c>
      <c r="N83" s="136" t="s">
        <v>10</v>
      </c>
      <c r="O83" s="137">
        <v>42648</v>
      </c>
      <c r="P83" s="137" t="s">
        <v>206</v>
      </c>
      <c r="Q83" s="138">
        <v>265</v>
      </c>
      <c r="R83" s="137" t="s">
        <v>99</v>
      </c>
      <c r="S83" s="136">
        <v>29600</v>
      </c>
      <c r="T83" s="136" t="s">
        <v>119</v>
      </c>
      <c r="U83" s="136" t="s">
        <v>101</v>
      </c>
      <c r="V83" s="136">
        <v>0.41</v>
      </c>
      <c r="W83" s="51">
        <v>1</v>
      </c>
      <c r="X83" s="51" t="str">
        <f t="shared" si="5"/>
        <v>8</v>
      </c>
      <c r="Y83" s="51" t="str">
        <f>VLOOKUP(X83,Sheet6.!$B$3:$C$9,2,0)</f>
        <v>Client 75% / Supplier 25%</v>
      </c>
      <c r="Z83" s="129">
        <f>+$V83*VLOOKUP($X83,Sheet6.!$B$3:$E$9,3,0)</f>
        <v>0.10249999999999999</v>
      </c>
      <c r="AA83" s="129">
        <f>+$V83*VLOOKUP($X83,Sheet6.!$B$3:$E$9,4,0)</f>
        <v>0.3075</v>
      </c>
    </row>
    <row r="84" spans="1:27" ht="15" hidden="1" customHeight="1" x14ac:dyDescent="0.25">
      <c r="A84" s="51" t="str">
        <f t="shared" si="4"/>
        <v>Unresolved</v>
      </c>
      <c r="B84" s="51" t="s">
        <v>466</v>
      </c>
      <c r="C84" s="91">
        <v>8520</v>
      </c>
      <c r="D84" s="91" t="s">
        <v>186</v>
      </c>
      <c r="E84" s="91" t="s">
        <v>15</v>
      </c>
      <c r="F84" s="91">
        <v>8420</v>
      </c>
      <c r="G84" s="91" t="s">
        <v>120</v>
      </c>
      <c r="H84" s="91" t="s">
        <v>15</v>
      </c>
      <c r="I84" s="134">
        <v>85200310077649</v>
      </c>
      <c r="J84" s="92" t="s">
        <v>41</v>
      </c>
      <c r="K84" s="92" t="s">
        <v>141</v>
      </c>
      <c r="L84" s="117">
        <v>42430</v>
      </c>
      <c r="M84" s="136" t="s">
        <v>121</v>
      </c>
      <c r="N84" s="136" t="s">
        <v>9</v>
      </c>
      <c r="O84" s="137">
        <v>42495</v>
      </c>
      <c r="P84" s="137" t="s">
        <v>207</v>
      </c>
      <c r="Q84" s="138">
        <v>418</v>
      </c>
      <c r="R84" s="137" t="s">
        <v>252</v>
      </c>
      <c r="S84" s="136">
        <v>1625000</v>
      </c>
      <c r="T84" s="136" t="s">
        <v>119</v>
      </c>
      <c r="U84" s="136" t="s">
        <v>105</v>
      </c>
      <c r="V84" s="136">
        <v>22.6</v>
      </c>
      <c r="W84" s="51">
        <v>1</v>
      </c>
      <c r="X84" s="51" t="str">
        <f t="shared" si="5"/>
        <v>3</v>
      </c>
      <c r="Y84" s="51" t="str">
        <f>VLOOKUP(X84,Sheet6.!$B$3:$C$9,2,0)</f>
        <v>50% / 50%</v>
      </c>
      <c r="Z84" s="129">
        <f>+$V84*VLOOKUP($X84,Sheet6.!$B$3:$E$9,3,0)</f>
        <v>11.3</v>
      </c>
      <c r="AA84" s="129">
        <f>+$V84*VLOOKUP($X84,Sheet6.!$B$3:$E$9,4,0)</f>
        <v>11.3</v>
      </c>
    </row>
    <row r="85" spans="1:27" ht="15" hidden="1" customHeight="1" x14ac:dyDescent="0.25">
      <c r="A85" s="51" t="str">
        <f t="shared" si="4"/>
        <v>Unresolved</v>
      </c>
      <c r="B85" s="51" t="s">
        <v>466</v>
      </c>
      <c r="C85" s="91">
        <v>8520</v>
      </c>
      <c r="D85" s="91" t="s">
        <v>186</v>
      </c>
      <c r="E85" s="91" t="s">
        <v>15</v>
      </c>
      <c r="F85" s="91">
        <v>8110</v>
      </c>
      <c r="G85" s="91" t="s">
        <v>97</v>
      </c>
      <c r="H85" s="91" t="s">
        <v>25</v>
      </c>
      <c r="I85" s="134">
        <v>85200630003360</v>
      </c>
      <c r="J85" s="92" t="s">
        <v>56</v>
      </c>
      <c r="K85" s="92" t="s">
        <v>271</v>
      </c>
      <c r="L85" s="117">
        <v>42704</v>
      </c>
      <c r="M85" s="136" t="s">
        <v>98</v>
      </c>
      <c r="N85" s="136" t="s">
        <v>9</v>
      </c>
      <c r="O85" s="137">
        <v>42709</v>
      </c>
      <c r="P85" s="137" t="s">
        <v>261</v>
      </c>
      <c r="Q85" s="138">
        <v>204</v>
      </c>
      <c r="R85" s="137" t="s">
        <v>99</v>
      </c>
      <c r="S85" s="136">
        <v>52766</v>
      </c>
      <c r="T85" s="136" t="s">
        <v>119</v>
      </c>
      <c r="U85" s="136" t="s">
        <v>101</v>
      </c>
      <c r="V85" s="136">
        <v>0.73</v>
      </c>
      <c r="W85" s="51">
        <v>1</v>
      </c>
      <c r="X85" s="51" t="str">
        <f t="shared" si="5"/>
        <v>1</v>
      </c>
      <c r="Y85" s="51" t="str">
        <f>VLOOKUP(X85,Sheet6.!$B$3:$C$9,2,0)</f>
        <v>Supplier 100%</v>
      </c>
      <c r="Z85" s="129">
        <f>+$V85*VLOOKUP($X85,Sheet6.!$B$3:$E$9,3,0)</f>
        <v>0.73</v>
      </c>
      <c r="AA85" s="129">
        <f>+$V85*VLOOKUP($X85,Sheet6.!$B$3:$E$9,4,0)</f>
        <v>0</v>
      </c>
    </row>
    <row r="86" spans="1:27" ht="15" hidden="1" customHeight="1" x14ac:dyDescent="0.25">
      <c r="A86" s="51" t="str">
        <f t="shared" si="4"/>
        <v>Unresolved</v>
      </c>
      <c r="B86" s="51" t="s">
        <v>466</v>
      </c>
      <c r="C86" s="91">
        <v>8520</v>
      </c>
      <c r="D86" s="91" t="s">
        <v>186</v>
      </c>
      <c r="E86" s="91" t="s">
        <v>15</v>
      </c>
      <c r="F86" s="91">
        <v>8420</v>
      </c>
      <c r="G86" s="91" t="s">
        <v>120</v>
      </c>
      <c r="H86" s="91" t="s">
        <v>15</v>
      </c>
      <c r="I86" s="134">
        <v>85200910002135</v>
      </c>
      <c r="J86" s="92" t="s">
        <v>54</v>
      </c>
      <c r="K86" s="92" t="s">
        <v>137</v>
      </c>
      <c r="L86" s="117">
        <v>42704</v>
      </c>
      <c r="M86" s="136" t="s">
        <v>121</v>
      </c>
      <c r="N86" s="136" t="s">
        <v>9</v>
      </c>
      <c r="O86" s="137">
        <v>42732</v>
      </c>
      <c r="P86" s="137" t="s">
        <v>261</v>
      </c>
      <c r="Q86" s="138">
        <v>181</v>
      </c>
      <c r="R86" s="137" t="s">
        <v>99</v>
      </c>
      <c r="S86" s="136">
        <v>71829</v>
      </c>
      <c r="T86" s="136" t="s">
        <v>119</v>
      </c>
      <c r="U86" s="136" t="s">
        <v>105</v>
      </c>
      <c r="V86" s="136">
        <v>1</v>
      </c>
      <c r="W86" s="51">
        <v>1</v>
      </c>
      <c r="X86" s="51" t="str">
        <f t="shared" si="5"/>
        <v>3</v>
      </c>
      <c r="Y86" s="51" t="str">
        <f>VLOOKUP(X86,Sheet6.!$B$3:$C$9,2,0)</f>
        <v>50% / 50%</v>
      </c>
      <c r="Z86" s="129">
        <f>+$V86*VLOOKUP($X86,Sheet6.!$B$3:$E$9,3,0)</f>
        <v>0.5</v>
      </c>
      <c r="AA86" s="129">
        <f>+$V86*VLOOKUP($X86,Sheet6.!$B$3:$E$9,4,0)</f>
        <v>0.5</v>
      </c>
    </row>
    <row r="87" spans="1:27" ht="15" hidden="1" customHeight="1" x14ac:dyDescent="0.25">
      <c r="A87" s="51" t="str">
        <f t="shared" si="4"/>
        <v>Unresolved</v>
      </c>
      <c r="B87" s="51" t="s">
        <v>466</v>
      </c>
      <c r="C87" s="91">
        <v>8520</v>
      </c>
      <c r="D87" s="91" t="s">
        <v>186</v>
      </c>
      <c r="E87" s="91" t="s">
        <v>15</v>
      </c>
      <c r="F87" s="91">
        <v>8420</v>
      </c>
      <c r="G87" s="91" t="s">
        <v>120</v>
      </c>
      <c r="H87" s="91" t="s">
        <v>15</v>
      </c>
      <c r="I87" s="134">
        <v>85200310085986</v>
      </c>
      <c r="J87" s="92" t="s">
        <v>54</v>
      </c>
      <c r="K87" s="92" t="s">
        <v>137</v>
      </c>
      <c r="L87" s="117">
        <v>42704</v>
      </c>
      <c r="M87" s="136" t="s">
        <v>121</v>
      </c>
      <c r="N87" s="136" t="s">
        <v>9</v>
      </c>
      <c r="O87" s="137">
        <v>42732</v>
      </c>
      <c r="P87" s="137" t="s">
        <v>261</v>
      </c>
      <c r="Q87" s="138">
        <v>181</v>
      </c>
      <c r="R87" s="137" t="s">
        <v>99</v>
      </c>
      <c r="S87" s="136">
        <v>166959</v>
      </c>
      <c r="T87" s="136" t="s">
        <v>119</v>
      </c>
      <c r="U87" s="136" t="s">
        <v>105</v>
      </c>
      <c r="V87" s="136">
        <v>2.3199999999999998</v>
      </c>
      <c r="W87" s="51">
        <v>1</v>
      </c>
      <c r="X87" s="51" t="str">
        <f t="shared" si="5"/>
        <v>3</v>
      </c>
      <c r="Y87" s="51" t="str">
        <f>VLOOKUP(X87,Sheet6.!$B$3:$C$9,2,0)</f>
        <v>50% / 50%</v>
      </c>
      <c r="Z87" s="129">
        <f>+$V87*VLOOKUP($X87,Sheet6.!$B$3:$E$9,3,0)</f>
        <v>1.1599999999999999</v>
      </c>
      <c r="AA87" s="129">
        <f>+$V87*VLOOKUP($X87,Sheet6.!$B$3:$E$9,4,0)</f>
        <v>1.1599999999999999</v>
      </c>
    </row>
    <row r="88" spans="1:27" ht="15" hidden="1" customHeight="1" x14ac:dyDescent="0.25">
      <c r="A88" s="51" t="str">
        <f t="shared" si="4"/>
        <v>Unresolved</v>
      </c>
      <c r="B88" s="51" t="s">
        <v>466</v>
      </c>
      <c r="C88" s="91">
        <v>8520</v>
      </c>
      <c r="D88" s="91" t="s">
        <v>186</v>
      </c>
      <c r="E88" s="91" t="s">
        <v>15</v>
      </c>
      <c r="F88" s="91">
        <v>8420</v>
      </c>
      <c r="G88" s="91" t="s">
        <v>120</v>
      </c>
      <c r="H88" s="91" t="s">
        <v>15</v>
      </c>
      <c r="I88" s="134">
        <v>85202710000490</v>
      </c>
      <c r="J88" s="92" t="s">
        <v>54</v>
      </c>
      <c r="K88" s="92" t="s">
        <v>137</v>
      </c>
      <c r="L88" s="117">
        <v>42704</v>
      </c>
      <c r="M88" s="136" t="s">
        <v>121</v>
      </c>
      <c r="N88" s="136" t="s">
        <v>9</v>
      </c>
      <c r="O88" s="137">
        <v>42732</v>
      </c>
      <c r="P88" s="137" t="s">
        <v>261</v>
      </c>
      <c r="Q88" s="138">
        <v>181</v>
      </c>
      <c r="R88" s="137" t="s">
        <v>99</v>
      </c>
      <c r="S88" s="136">
        <v>137628</v>
      </c>
      <c r="T88" s="136" t="s">
        <v>119</v>
      </c>
      <c r="U88" s="136" t="s">
        <v>105</v>
      </c>
      <c r="V88" s="136">
        <v>1.91</v>
      </c>
      <c r="W88" s="51">
        <v>1</v>
      </c>
      <c r="X88" s="51" t="str">
        <f t="shared" si="5"/>
        <v>3</v>
      </c>
      <c r="Y88" s="51" t="str">
        <f>VLOOKUP(X88,Sheet6.!$B$3:$C$9,2,0)</f>
        <v>50% / 50%</v>
      </c>
      <c r="Z88" s="129">
        <f>+$V88*VLOOKUP($X88,Sheet6.!$B$3:$E$9,3,0)</f>
        <v>0.95499999999999996</v>
      </c>
      <c r="AA88" s="129">
        <f>+$V88*VLOOKUP($X88,Sheet6.!$B$3:$E$9,4,0)</f>
        <v>0.95499999999999996</v>
      </c>
    </row>
    <row r="89" spans="1:27" ht="15" hidden="1" customHeight="1" x14ac:dyDescent="0.25">
      <c r="A89" s="51" t="str">
        <f t="shared" si="4"/>
        <v>Unresolved</v>
      </c>
      <c r="B89" s="51" t="s">
        <v>466</v>
      </c>
      <c r="C89" s="91">
        <v>8520</v>
      </c>
      <c r="D89" s="91" t="s">
        <v>186</v>
      </c>
      <c r="E89" s="91" t="s">
        <v>15</v>
      </c>
      <c r="F89" s="91">
        <v>8110</v>
      </c>
      <c r="G89" s="91" t="s">
        <v>97</v>
      </c>
      <c r="H89" s="91" t="s">
        <v>25</v>
      </c>
      <c r="I89" s="134">
        <v>85200330013844</v>
      </c>
      <c r="J89" s="92" t="s">
        <v>56</v>
      </c>
      <c r="K89" s="92" t="s">
        <v>271</v>
      </c>
      <c r="L89" s="117">
        <v>42704</v>
      </c>
      <c r="M89" s="136" t="s">
        <v>98</v>
      </c>
      <c r="N89" s="136" t="s">
        <v>9</v>
      </c>
      <c r="O89" s="137">
        <v>42709</v>
      </c>
      <c r="P89" s="137" t="s">
        <v>261</v>
      </c>
      <c r="Q89" s="138">
        <v>204</v>
      </c>
      <c r="R89" s="137" t="s">
        <v>99</v>
      </c>
      <c r="S89" s="136">
        <v>14817</v>
      </c>
      <c r="T89" s="136" t="s">
        <v>119</v>
      </c>
      <c r="U89" s="136" t="s">
        <v>101</v>
      </c>
      <c r="V89" s="136">
        <v>0.21</v>
      </c>
      <c r="W89" s="51">
        <v>1</v>
      </c>
      <c r="X89" s="51" t="str">
        <f t="shared" si="5"/>
        <v>1</v>
      </c>
      <c r="Y89" s="51" t="str">
        <f>VLOOKUP(X89,Sheet6.!$B$3:$C$9,2,0)</f>
        <v>Supplier 100%</v>
      </c>
      <c r="Z89" s="129">
        <f>+$V89*VLOOKUP($X89,Sheet6.!$B$3:$E$9,3,0)</f>
        <v>0.21</v>
      </c>
      <c r="AA89" s="129">
        <f>+$V89*VLOOKUP($X89,Sheet6.!$B$3:$E$9,4,0)</f>
        <v>0</v>
      </c>
    </row>
    <row r="90" spans="1:27" ht="15" hidden="1" customHeight="1" x14ac:dyDescent="0.25">
      <c r="A90" s="51" t="str">
        <f t="shared" si="4"/>
        <v>Unresolved</v>
      </c>
      <c r="B90" s="51" t="s">
        <v>466</v>
      </c>
      <c r="C90" s="91">
        <v>8520</v>
      </c>
      <c r="D90" s="91" t="s">
        <v>186</v>
      </c>
      <c r="E90" s="91" t="s">
        <v>15</v>
      </c>
      <c r="F90" s="91">
        <v>8110</v>
      </c>
      <c r="G90" s="91" t="s">
        <v>97</v>
      </c>
      <c r="H90" s="91" t="s">
        <v>25</v>
      </c>
      <c r="I90" s="134">
        <v>852031000107</v>
      </c>
      <c r="J90" s="92" t="s">
        <v>56</v>
      </c>
      <c r="K90" s="92" t="s">
        <v>271</v>
      </c>
      <c r="L90" s="117">
        <v>42704</v>
      </c>
      <c r="M90" s="136" t="s">
        <v>98</v>
      </c>
      <c r="N90" s="136" t="s">
        <v>9</v>
      </c>
      <c r="O90" s="137">
        <v>42709</v>
      </c>
      <c r="P90" s="137" t="s">
        <v>261</v>
      </c>
      <c r="Q90" s="138">
        <v>204</v>
      </c>
      <c r="R90" s="137" t="s">
        <v>99</v>
      </c>
      <c r="S90" s="136">
        <v>62479</v>
      </c>
      <c r="T90" s="136" t="s">
        <v>119</v>
      </c>
      <c r="U90" s="136" t="s">
        <v>101</v>
      </c>
      <c r="V90" s="136">
        <v>0.87</v>
      </c>
      <c r="W90" s="51">
        <v>1</v>
      </c>
      <c r="X90" s="51" t="str">
        <f t="shared" si="5"/>
        <v>1</v>
      </c>
      <c r="Y90" s="51" t="str">
        <f>VLOOKUP(X90,Sheet6.!$B$3:$C$9,2,0)</f>
        <v>Supplier 100%</v>
      </c>
      <c r="Z90" s="129">
        <f>+$V90*VLOOKUP($X90,Sheet6.!$B$3:$E$9,3,0)</f>
        <v>0.87</v>
      </c>
      <c r="AA90" s="129">
        <f>+$V90*VLOOKUP($X90,Sheet6.!$B$3:$E$9,4,0)</f>
        <v>0</v>
      </c>
    </row>
    <row r="91" spans="1:27" ht="15" hidden="1" customHeight="1" x14ac:dyDescent="0.25">
      <c r="A91" s="51" t="str">
        <f t="shared" si="4"/>
        <v>Unresolved</v>
      </c>
      <c r="B91" s="51" t="s">
        <v>466</v>
      </c>
      <c r="C91" s="91">
        <v>8310</v>
      </c>
      <c r="D91" s="91" t="s">
        <v>112</v>
      </c>
      <c r="E91" s="91" t="s">
        <v>14</v>
      </c>
      <c r="F91" s="91">
        <v>199</v>
      </c>
      <c r="G91" s="91" t="s">
        <v>124</v>
      </c>
      <c r="H91" s="91" t="s">
        <v>20</v>
      </c>
      <c r="I91" s="134" t="s">
        <v>239</v>
      </c>
      <c r="J91" s="92" t="s">
        <v>47</v>
      </c>
      <c r="K91" s="92" t="s">
        <v>250</v>
      </c>
      <c r="L91" s="117">
        <v>42584</v>
      </c>
      <c r="M91" s="136" t="s">
        <v>98</v>
      </c>
      <c r="N91" s="136" t="s">
        <v>9</v>
      </c>
      <c r="O91" s="137">
        <v>42647</v>
      </c>
      <c r="P91" s="137" t="s">
        <v>206</v>
      </c>
      <c r="Q91" s="138">
        <v>266</v>
      </c>
      <c r="R91" s="137" t="s">
        <v>99</v>
      </c>
      <c r="S91" s="136">
        <v>4409</v>
      </c>
      <c r="T91" s="136" t="s">
        <v>209</v>
      </c>
      <c r="U91" s="136" t="s">
        <v>101</v>
      </c>
      <c r="V91" s="136">
        <v>1.04</v>
      </c>
      <c r="W91" s="51">
        <v>1</v>
      </c>
      <c r="X91" s="51" t="str">
        <f t="shared" si="5"/>
        <v>1</v>
      </c>
      <c r="Y91" s="51" t="str">
        <f>VLOOKUP(X91,Sheet6.!$B$3:$C$9,2,0)</f>
        <v>Supplier 100%</v>
      </c>
      <c r="Z91" s="129">
        <f>+$V91*VLOOKUP($X91,Sheet6.!$B$3:$E$9,3,0)</f>
        <v>1.04</v>
      </c>
      <c r="AA91" s="129">
        <f>+$V91*VLOOKUP($X91,Sheet6.!$B$3:$E$9,4,0)</f>
        <v>0</v>
      </c>
    </row>
    <row r="92" spans="1:27" ht="15" hidden="1" customHeight="1" x14ac:dyDescent="0.25">
      <c r="A92" s="51" t="str">
        <f t="shared" si="4"/>
        <v>Unresolved</v>
      </c>
      <c r="B92" s="51" t="s">
        <v>466</v>
      </c>
      <c r="C92" s="91">
        <v>8310</v>
      </c>
      <c r="D92" s="91" t="s">
        <v>112</v>
      </c>
      <c r="E92" s="91" t="s">
        <v>14</v>
      </c>
      <c r="F92" s="91">
        <v>199</v>
      </c>
      <c r="G92" s="91" t="s">
        <v>124</v>
      </c>
      <c r="H92" s="91" t="s">
        <v>20</v>
      </c>
      <c r="I92" s="134" t="s">
        <v>463</v>
      </c>
      <c r="J92" s="92" t="s">
        <v>37</v>
      </c>
      <c r="K92" s="92" t="s">
        <v>175</v>
      </c>
      <c r="L92" s="117">
        <v>42647</v>
      </c>
      <c r="M92" s="136" t="s">
        <v>109</v>
      </c>
      <c r="N92" s="136" t="s">
        <v>10</v>
      </c>
      <c r="O92" s="137">
        <v>42732</v>
      </c>
      <c r="P92" s="137" t="s">
        <v>261</v>
      </c>
      <c r="Q92" s="138">
        <v>181</v>
      </c>
      <c r="R92" s="137" t="s">
        <v>99</v>
      </c>
      <c r="S92" s="136">
        <v>33218.199999999997</v>
      </c>
      <c r="T92" s="136" t="s">
        <v>209</v>
      </c>
      <c r="U92" s="136" t="s">
        <v>101</v>
      </c>
      <c r="V92" s="136">
        <v>7.84</v>
      </c>
      <c r="W92" s="51">
        <v>1</v>
      </c>
      <c r="X92" s="51" t="str">
        <f t="shared" si="5"/>
        <v>8</v>
      </c>
      <c r="Y92" s="51" t="str">
        <f>VLOOKUP(X92,Sheet6.!$B$3:$C$9,2,0)</f>
        <v>Client 75% / Supplier 25%</v>
      </c>
      <c r="Z92" s="129">
        <f>+$V92*VLOOKUP($X92,Sheet6.!$B$3:$E$9,3,0)</f>
        <v>1.96</v>
      </c>
      <c r="AA92" s="129">
        <f>+$V92*VLOOKUP($X92,Sheet6.!$B$3:$E$9,4,0)</f>
        <v>5.88</v>
      </c>
    </row>
    <row r="93" spans="1:27" ht="15" hidden="1" customHeight="1" x14ac:dyDescent="0.25">
      <c r="A93" s="51" t="str">
        <f t="shared" si="4"/>
        <v>Unresolved</v>
      </c>
      <c r="B93" s="51" t="s">
        <v>466</v>
      </c>
      <c r="C93" s="91">
        <v>8310</v>
      </c>
      <c r="D93" s="91" t="s">
        <v>112</v>
      </c>
      <c r="E93" s="91" t="s">
        <v>14</v>
      </c>
      <c r="F93" s="91">
        <v>199</v>
      </c>
      <c r="G93" s="91" t="s">
        <v>124</v>
      </c>
      <c r="H93" s="91" t="s">
        <v>20</v>
      </c>
      <c r="I93" s="134" t="s">
        <v>464</v>
      </c>
      <c r="J93" s="92" t="s">
        <v>37</v>
      </c>
      <c r="K93" s="92" t="s">
        <v>175</v>
      </c>
      <c r="L93" s="117">
        <v>42647</v>
      </c>
      <c r="M93" s="136" t="s">
        <v>109</v>
      </c>
      <c r="N93" s="136" t="s">
        <v>10</v>
      </c>
      <c r="O93" s="137">
        <v>42732</v>
      </c>
      <c r="P93" s="137" t="s">
        <v>261</v>
      </c>
      <c r="Q93" s="138">
        <v>181</v>
      </c>
      <c r="R93" s="137" t="s">
        <v>99</v>
      </c>
      <c r="S93" s="136">
        <v>10264</v>
      </c>
      <c r="T93" s="136" t="s">
        <v>209</v>
      </c>
      <c r="U93" s="136" t="s">
        <v>101</v>
      </c>
      <c r="V93" s="136">
        <v>2.42</v>
      </c>
      <c r="W93" s="51">
        <v>1</v>
      </c>
      <c r="X93" s="51" t="str">
        <f t="shared" si="5"/>
        <v>8</v>
      </c>
      <c r="Y93" s="51" t="str">
        <f>VLOOKUP(X93,Sheet6.!$B$3:$C$9,2,0)</f>
        <v>Client 75% / Supplier 25%</v>
      </c>
      <c r="Z93" s="129">
        <f>+$V93*VLOOKUP($X93,Sheet6.!$B$3:$E$9,3,0)</f>
        <v>0.60499999999999998</v>
      </c>
      <c r="AA93" s="129">
        <f>+$V93*VLOOKUP($X93,Sheet6.!$B$3:$E$9,4,0)</f>
        <v>1.8149999999999999</v>
      </c>
    </row>
    <row r="94" spans="1:27" ht="15" hidden="1" customHeight="1" x14ac:dyDescent="0.25">
      <c r="A94" s="51" t="str">
        <f t="shared" si="4"/>
        <v>Unresolved</v>
      </c>
      <c r="B94" s="51" t="s">
        <v>466</v>
      </c>
      <c r="C94" s="91">
        <v>1320</v>
      </c>
      <c r="D94" s="91" t="s">
        <v>123</v>
      </c>
      <c r="E94" s="91" t="s">
        <v>19</v>
      </c>
      <c r="F94" s="91">
        <v>8110</v>
      </c>
      <c r="G94" s="91" t="s">
        <v>97</v>
      </c>
      <c r="H94" s="91" t="s">
        <v>25</v>
      </c>
      <c r="I94" s="134">
        <v>13200110056948</v>
      </c>
      <c r="J94" s="92" t="s">
        <v>39</v>
      </c>
      <c r="K94" s="92" t="s">
        <v>465</v>
      </c>
      <c r="L94" s="117">
        <v>42727</v>
      </c>
      <c r="M94" s="136" t="s">
        <v>208</v>
      </c>
      <c r="N94" s="136" t="s">
        <v>9</v>
      </c>
      <c r="O94" s="137">
        <v>42732</v>
      </c>
      <c r="P94" s="137" t="s">
        <v>261</v>
      </c>
      <c r="Q94" s="138">
        <v>181</v>
      </c>
      <c r="R94" s="137" t="s">
        <v>99</v>
      </c>
      <c r="S94" s="136">
        <v>-227.46</v>
      </c>
      <c r="T94" s="136" t="s">
        <v>128</v>
      </c>
      <c r="U94" s="136" t="s">
        <v>101</v>
      </c>
      <c r="V94" s="136">
        <v>-0.2</v>
      </c>
      <c r="W94" s="51">
        <v>1</v>
      </c>
      <c r="X94" s="51" t="str">
        <f t="shared" si="5"/>
        <v>5</v>
      </c>
      <c r="Y94" s="51" t="str">
        <f>VLOOKUP(X94,Sheet6.!$B$3:$C$9,2,0)</f>
        <v>Client 100%</v>
      </c>
      <c r="Z94" s="129">
        <f>+$V94*VLOOKUP($X94,Sheet6.!$B$3:$E$9,3,0)</f>
        <v>0</v>
      </c>
      <c r="AA94" s="129">
        <f>+$V94*VLOOKUP($X94,Sheet6.!$B$3:$E$9,4,0)</f>
        <v>-0.2</v>
      </c>
    </row>
    <row r="95" spans="1:27" ht="15" hidden="1" customHeight="1" x14ac:dyDescent="0.25">
      <c r="A95" s="51" t="str">
        <f t="shared" si="4"/>
        <v>Unresolved</v>
      </c>
      <c r="B95" s="51" t="s">
        <v>466</v>
      </c>
      <c r="C95" s="91">
        <v>1960</v>
      </c>
      <c r="D95" s="91" t="s">
        <v>127</v>
      </c>
      <c r="E95" s="91" t="s">
        <v>20</v>
      </c>
      <c r="F95" s="91">
        <v>3011</v>
      </c>
      <c r="G95" s="91" t="s">
        <v>106</v>
      </c>
      <c r="H95" s="91" t="s">
        <v>20</v>
      </c>
      <c r="I95" s="134">
        <v>19600510065279</v>
      </c>
      <c r="J95" s="92" t="s">
        <v>52</v>
      </c>
      <c r="K95" s="92" t="s">
        <v>145</v>
      </c>
      <c r="L95" s="117">
        <v>42614</v>
      </c>
      <c r="M95" s="136" t="s">
        <v>122</v>
      </c>
      <c r="N95" s="136" t="s">
        <v>9</v>
      </c>
      <c r="O95" s="137">
        <v>42649</v>
      </c>
      <c r="P95" s="137" t="s">
        <v>206</v>
      </c>
      <c r="Q95" s="138">
        <v>264</v>
      </c>
      <c r="R95" s="137" t="s">
        <v>99</v>
      </c>
      <c r="S95" s="136">
        <v>12922.94</v>
      </c>
      <c r="T95" s="136" t="s">
        <v>128</v>
      </c>
      <c r="U95" s="136" t="s">
        <v>105</v>
      </c>
      <c r="V95" s="136">
        <v>11.59</v>
      </c>
      <c r="W95" s="51">
        <v>1</v>
      </c>
      <c r="X95" s="51" t="str">
        <f t="shared" si="5"/>
        <v>4</v>
      </c>
      <c r="Y95" s="51" t="str">
        <f>VLOOKUP(X95,Sheet6.!$B$3:$C$9,2,0)</f>
        <v>50% / 50%</v>
      </c>
      <c r="Z95" s="129">
        <f>+$V95*VLOOKUP($X95,Sheet6.!$B$3:$E$9,3,0)</f>
        <v>5.7949999999999999</v>
      </c>
      <c r="AA95" s="129">
        <f>+$V95*VLOOKUP($X95,Sheet6.!$B$3:$E$9,4,0)</f>
        <v>5.7949999999999999</v>
      </c>
    </row>
    <row r="96" spans="1:27" ht="15" hidden="1" customHeight="1" x14ac:dyDescent="0.25">
      <c r="A96" s="51" t="str">
        <f t="shared" si="4"/>
        <v>Added</v>
      </c>
      <c r="B96" s="51" t="s">
        <v>96</v>
      </c>
      <c r="C96" s="91">
        <v>199</v>
      </c>
      <c r="D96" s="91" t="s">
        <v>124</v>
      </c>
      <c r="E96" s="91" t="s">
        <v>20</v>
      </c>
      <c r="F96" s="91">
        <v>8243</v>
      </c>
      <c r="G96" s="91" t="s">
        <v>125</v>
      </c>
      <c r="H96" s="91" t="s">
        <v>14</v>
      </c>
      <c r="I96" s="134">
        <v>1990110057418</v>
      </c>
      <c r="J96" s="92" t="s">
        <v>43</v>
      </c>
      <c r="K96" s="92" t="s">
        <v>275</v>
      </c>
      <c r="L96" s="117">
        <v>42636</v>
      </c>
      <c r="M96" s="136" t="s">
        <v>117</v>
      </c>
      <c r="N96" s="136" t="s">
        <v>118</v>
      </c>
      <c r="O96" s="137">
        <v>42708</v>
      </c>
      <c r="P96" s="137" t="s">
        <v>261</v>
      </c>
      <c r="Q96" s="138">
        <v>205</v>
      </c>
      <c r="R96" s="137" t="s">
        <v>99</v>
      </c>
      <c r="S96" s="136">
        <v>46779</v>
      </c>
      <c r="T96" s="136" t="s">
        <v>128</v>
      </c>
      <c r="U96" s="136" t="s">
        <v>101</v>
      </c>
      <c r="V96" s="136">
        <v>41.97</v>
      </c>
      <c r="W96" s="51">
        <v>1</v>
      </c>
      <c r="X96" s="51" t="str">
        <f t="shared" si="5"/>
        <v>6/7</v>
      </c>
      <c r="Y96" s="51" t="str">
        <f>VLOOKUP(X96,Sheet6.!$B$3:$C$9,2,0)</f>
        <v>50% / 50%</v>
      </c>
      <c r="Z96" s="129">
        <f>+$V96*VLOOKUP($X96,Sheet6.!$B$3:$E$9,3,0)</f>
        <v>20.984999999999999</v>
      </c>
      <c r="AA96" s="129">
        <f>+$V96*VLOOKUP($X96,Sheet6.!$B$3:$E$9,4,0)</f>
        <v>20.984999999999999</v>
      </c>
    </row>
    <row r="97" spans="1:27" ht="15" hidden="1" customHeight="1" x14ac:dyDescent="0.25">
      <c r="A97" s="51" t="str">
        <f t="shared" si="4"/>
        <v>Added</v>
      </c>
      <c r="B97" s="51" t="s">
        <v>96</v>
      </c>
      <c r="C97" s="91">
        <v>199</v>
      </c>
      <c r="D97" s="91" t="s">
        <v>124</v>
      </c>
      <c r="E97" s="91" t="s">
        <v>20</v>
      </c>
      <c r="F97" s="91">
        <v>8243</v>
      </c>
      <c r="G97" s="91" t="s">
        <v>125</v>
      </c>
      <c r="H97" s="91" t="s">
        <v>14</v>
      </c>
      <c r="I97" s="134">
        <v>1990110057419</v>
      </c>
      <c r="J97" s="92" t="s">
        <v>43</v>
      </c>
      <c r="K97" s="92" t="s">
        <v>275</v>
      </c>
      <c r="L97" s="117">
        <v>42636</v>
      </c>
      <c r="M97" s="136" t="s">
        <v>117</v>
      </c>
      <c r="N97" s="136" t="s">
        <v>118</v>
      </c>
      <c r="O97" s="137">
        <v>42708</v>
      </c>
      <c r="P97" s="137" t="s">
        <v>261</v>
      </c>
      <c r="Q97" s="138">
        <v>205</v>
      </c>
      <c r="R97" s="137" t="s">
        <v>99</v>
      </c>
      <c r="S97" s="136">
        <v>65777</v>
      </c>
      <c r="T97" s="136" t="s">
        <v>128</v>
      </c>
      <c r="U97" s="136" t="s">
        <v>101</v>
      </c>
      <c r="V97" s="136">
        <v>59.01</v>
      </c>
      <c r="W97" s="51">
        <v>1</v>
      </c>
      <c r="X97" s="51" t="str">
        <f t="shared" si="5"/>
        <v>6/7</v>
      </c>
      <c r="Y97" s="51" t="str">
        <f>VLOOKUP(X97,Sheet6.!$B$3:$C$9,2,0)</f>
        <v>50% / 50%</v>
      </c>
      <c r="Z97" s="129">
        <f>+$V97*VLOOKUP($X97,Sheet6.!$B$3:$E$9,3,0)</f>
        <v>29.504999999999999</v>
      </c>
      <c r="AA97" s="129">
        <f>+$V97*VLOOKUP($X97,Sheet6.!$B$3:$E$9,4,0)</f>
        <v>29.504999999999999</v>
      </c>
    </row>
    <row r="98" spans="1:27" ht="15" hidden="1" customHeight="1" x14ac:dyDescent="0.25">
      <c r="A98" s="51" t="str">
        <f t="shared" si="4"/>
        <v>Added</v>
      </c>
      <c r="B98" s="51" t="s">
        <v>96</v>
      </c>
      <c r="C98" s="91">
        <v>199</v>
      </c>
      <c r="D98" s="91" t="s">
        <v>124</v>
      </c>
      <c r="E98" s="91" t="s">
        <v>20</v>
      </c>
      <c r="F98" s="91">
        <v>8243</v>
      </c>
      <c r="G98" s="91" t="s">
        <v>125</v>
      </c>
      <c r="H98" s="91" t="s">
        <v>14</v>
      </c>
      <c r="I98" s="134">
        <v>1990110057492</v>
      </c>
      <c r="J98" s="92" t="s">
        <v>43</v>
      </c>
      <c r="K98" s="92" t="s">
        <v>275</v>
      </c>
      <c r="L98" s="117">
        <v>42639</v>
      </c>
      <c r="M98" s="136" t="s">
        <v>117</v>
      </c>
      <c r="N98" s="136" t="s">
        <v>118</v>
      </c>
      <c r="O98" s="137">
        <v>42708</v>
      </c>
      <c r="P98" s="137" t="s">
        <v>261</v>
      </c>
      <c r="Q98" s="138">
        <v>205</v>
      </c>
      <c r="R98" s="137" t="s">
        <v>99</v>
      </c>
      <c r="S98" s="136">
        <v>60879</v>
      </c>
      <c r="T98" s="136" t="s">
        <v>128</v>
      </c>
      <c r="U98" s="136" t="s">
        <v>101</v>
      </c>
      <c r="V98" s="136">
        <v>54.61</v>
      </c>
      <c r="W98" s="51">
        <v>1</v>
      </c>
      <c r="X98" s="51" t="str">
        <f t="shared" si="5"/>
        <v>6/7</v>
      </c>
      <c r="Y98" s="51" t="str">
        <f>VLOOKUP(X98,Sheet6.!$B$3:$C$9,2,0)</f>
        <v>50% / 50%</v>
      </c>
      <c r="Z98" s="129">
        <f>+$V98*VLOOKUP($X98,Sheet6.!$B$3:$E$9,3,0)</f>
        <v>27.305</v>
      </c>
      <c r="AA98" s="129">
        <f>+$V98*VLOOKUP($X98,Sheet6.!$B$3:$E$9,4,0)</f>
        <v>27.305</v>
      </c>
    </row>
    <row r="99" spans="1:27" x14ac:dyDescent="0.25">
      <c r="A99" s="51" t="str">
        <f t="shared" si="4"/>
        <v>Unresolved</v>
      </c>
      <c r="B99" s="51" t="s">
        <v>277</v>
      </c>
      <c r="C99" s="91">
        <v>132</v>
      </c>
      <c r="D99" s="91" t="s">
        <v>189</v>
      </c>
      <c r="E99" s="91" t="s">
        <v>20</v>
      </c>
      <c r="F99" s="91">
        <v>199</v>
      </c>
      <c r="G99" s="91" t="s">
        <v>124</v>
      </c>
      <c r="H99" s="91" t="s">
        <v>20</v>
      </c>
      <c r="I99" s="134">
        <v>1320130002422</v>
      </c>
      <c r="J99" s="92" t="s">
        <v>41</v>
      </c>
      <c r="K99" s="92" t="s">
        <v>204</v>
      </c>
      <c r="L99" s="117">
        <v>42640</v>
      </c>
      <c r="M99" s="136" t="s">
        <v>98</v>
      </c>
      <c r="N99" s="136" t="s">
        <v>9</v>
      </c>
      <c r="O99" s="137">
        <v>42709</v>
      </c>
      <c r="P99" s="137" t="s">
        <v>261</v>
      </c>
      <c r="Q99" s="138">
        <v>204</v>
      </c>
      <c r="R99" s="137" t="s">
        <v>99</v>
      </c>
      <c r="S99" s="136">
        <v>1604.44</v>
      </c>
      <c r="T99" s="136" t="s">
        <v>128</v>
      </c>
      <c r="U99" s="136" t="s">
        <v>105</v>
      </c>
      <c r="V99" s="136">
        <v>1.44</v>
      </c>
      <c r="W99" s="51">
        <v>1</v>
      </c>
      <c r="X99" s="51" t="str">
        <f t="shared" si="5"/>
        <v>1</v>
      </c>
      <c r="Y99" s="51" t="str">
        <f>VLOOKUP(X99,Sheet6.!$B$3:$C$9,2,0)</f>
        <v>Supplier 100%</v>
      </c>
      <c r="Z99" s="129">
        <f>+$V99*VLOOKUP($X99,Sheet6.!$B$3:$E$9,3,0)</f>
        <v>1.44</v>
      </c>
      <c r="AA99" s="129">
        <f>+$V99*VLOOKUP($X99,Sheet6.!$B$3:$E$9,4,0)</f>
        <v>0</v>
      </c>
    </row>
    <row r="100" spans="1:27" ht="15" hidden="1" customHeight="1" x14ac:dyDescent="0.25">
      <c r="A100" s="51" t="str">
        <f t="shared" si="4"/>
        <v>Added</v>
      </c>
      <c r="B100" s="51" t="s">
        <v>96</v>
      </c>
      <c r="C100" s="91">
        <v>132</v>
      </c>
      <c r="D100" s="91" t="s">
        <v>189</v>
      </c>
      <c r="E100" s="91" t="s">
        <v>20</v>
      </c>
      <c r="F100" s="91">
        <v>199</v>
      </c>
      <c r="G100" s="91" t="s">
        <v>124</v>
      </c>
      <c r="H100" s="91" t="s">
        <v>20</v>
      </c>
      <c r="I100" s="134">
        <v>1320130002423</v>
      </c>
      <c r="J100" s="92" t="s">
        <v>41</v>
      </c>
      <c r="K100" s="92" t="s">
        <v>204</v>
      </c>
      <c r="L100" s="117">
        <v>42640</v>
      </c>
      <c r="M100" s="136" t="s">
        <v>98</v>
      </c>
      <c r="N100" s="136" t="s">
        <v>9</v>
      </c>
      <c r="O100" s="137">
        <v>42709</v>
      </c>
      <c r="P100" s="137" t="s">
        <v>261</v>
      </c>
      <c r="Q100" s="138">
        <v>204</v>
      </c>
      <c r="R100" s="137" t="s">
        <v>99</v>
      </c>
      <c r="S100" s="136">
        <v>2452.42</v>
      </c>
      <c r="T100" s="136" t="s">
        <v>128</v>
      </c>
      <c r="U100" s="136" t="s">
        <v>105</v>
      </c>
      <c r="V100" s="136">
        <v>2.2000000000000002</v>
      </c>
      <c r="W100" s="51">
        <v>1</v>
      </c>
      <c r="X100" s="51" t="str">
        <f t="shared" si="5"/>
        <v>1</v>
      </c>
      <c r="Y100" s="51" t="str">
        <f>VLOOKUP(X100,Sheet6.!$B$3:$C$9,2,0)</f>
        <v>Supplier 100%</v>
      </c>
      <c r="Z100" s="129">
        <f>+$V100*VLOOKUP($X100,Sheet6.!$B$3:$E$9,3,0)</f>
        <v>2.2000000000000002</v>
      </c>
      <c r="AA100" s="129">
        <f>+$V100*VLOOKUP($X100,Sheet6.!$B$3:$E$9,4,0)</f>
        <v>0</v>
      </c>
    </row>
    <row r="101" spans="1:27" ht="15" hidden="1" customHeight="1" x14ac:dyDescent="0.25">
      <c r="A101" s="51" t="str">
        <f t="shared" si="4"/>
        <v>Added</v>
      </c>
      <c r="B101" s="51" t="s">
        <v>96</v>
      </c>
      <c r="C101" s="91">
        <v>132</v>
      </c>
      <c r="D101" s="91" t="s">
        <v>189</v>
      </c>
      <c r="E101" s="91" t="s">
        <v>20</v>
      </c>
      <c r="F101" s="91">
        <v>199</v>
      </c>
      <c r="G101" s="91" t="s">
        <v>124</v>
      </c>
      <c r="H101" s="91" t="s">
        <v>20</v>
      </c>
      <c r="I101" s="134">
        <v>1320130002424</v>
      </c>
      <c r="J101" s="92" t="s">
        <v>41</v>
      </c>
      <c r="K101" s="92" t="s">
        <v>204</v>
      </c>
      <c r="L101" s="117">
        <v>42640</v>
      </c>
      <c r="M101" s="136" t="s">
        <v>98</v>
      </c>
      <c r="N101" s="136" t="s">
        <v>9</v>
      </c>
      <c r="O101" s="137">
        <v>42709</v>
      </c>
      <c r="P101" s="137" t="s">
        <v>261</v>
      </c>
      <c r="Q101" s="138">
        <v>204</v>
      </c>
      <c r="R101" s="137" t="s">
        <v>99</v>
      </c>
      <c r="S101" s="136">
        <v>26078.82</v>
      </c>
      <c r="T101" s="136" t="s">
        <v>128</v>
      </c>
      <c r="U101" s="136" t="s">
        <v>105</v>
      </c>
      <c r="V101" s="136">
        <v>23.4</v>
      </c>
      <c r="W101" s="51">
        <v>1</v>
      </c>
      <c r="X101" s="51" t="str">
        <f t="shared" si="5"/>
        <v>1</v>
      </c>
      <c r="Y101" s="51" t="str">
        <f>VLOOKUP(X101,Sheet6.!$B$3:$C$9,2,0)</f>
        <v>Supplier 100%</v>
      </c>
      <c r="Z101" s="129">
        <f>+$V101*VLOOKUP($X101,Sheet6.!$B$3:$E$9,3,0)</f>
        <v>23.4</v>
      </c>
      <c r="AA101" s="129">
        <f>+$V101*VLOOKUP($X101,Sheet6.!$B$3:$E$9,4,0)</f>
        <v>0</v>
      </c>
    </row>
    <row r="102" spans="1:27" ht="15" hidden="1" customHeight="1" x14ac:dyDescent="0.25">
      <c r="A102" s="51" t="str">
        <f t="shared" si="4"/>
        <v>Unresolved</v>
      </c>
      <c r="B102" s="51" t="s">
        <v>466</v>
      </c>
      <c r="C102" s="91">
        <v>132</v>
      </c>
      <c r="D102" s="91" t="s">
        <v>189</v>
      </c>
      <c r="E102" s="91" t="s">
        <v>20</v>
      </c>
      <c r="F102" s="91">
        <v>199</v>
      </c>
      <c r="G102" s="91" t="s">
        <v>124</v>
      </c>
      <c r="H102" s="91" t="s">
        <v>20</v>
      </c>
      <c r="I102" s="134">
        <v>1320130002425</v>
      </c>
      <c r="J102" s="92" t="s">
        <v>41</v>
      </c>
      <c r="K102" s="92" t="s">
        <v>204</v>
      </c>
      <c r="L102" s="117">
        <v>42640</v>
      </c>
      <c r="M102" s="136" t="s">
        <v>98</v>
      </c>
      <c r="N102" s="136" t="s">
        <v>9</v>
      </c>
      <c r="O102" s="137">
        <v>42709</v>
      </c>
      <c r="P102" s="137" t="s">
        <v>261</v>
      </c>
      <c r="Q102" s="138">
        <v>204</v>
      </c>
      <c r="R102" s="137" t="s">
        <v>99</v>
      </c>
      <c r="S102" s="136">
        <v>16839.669999999998</v>
      </c>
      <c r="T102" s="136" t="s">
        <v>128</v>
      </c>
      <c r="U102" s="136" t="s">
        <v>105</v>
      </c>
      <c r="V102" s="136">
        <v>15.11</v>
      </c>
      <c r="W102" s="51">
        <v>1</v>
      </c>
      <c r="X102" s="51" t="str">
        <f t="shared" si="5"/>
        <v>1</v>
      </c>
      <c r="Y102" s="51" t="str">
        <f>VLOOKUP(X102,Sheet6.!$B$3:$C$9,2,0)</f>
        <v>Supplier 100%</v>
      </c>
      <c r="Z102" s="129">
        <f>+$V102*VLOOKUP($X102,Sheet6.!$B$3:$E$9,3,0)</f>
        <v>15.11</v>
      </c>
      <c r="AA102" s="129">
        <f>+$V102*VLOOKUP($X102,Sheet6.!$B$3:$E$9,4,0)</f>
        <v>0</v>
      </c>
    </row>
    <row r="103" spans="1:27" ht="15" hidden="1" customHeight="1" x14ac:dyDescent="0.25">
      <c r="A103" s="51" t="str">
        <f t="shared" si="4"/>
        <v>Added</v>
      </c>
      <c r="B103" s="51" t="s">
        <v>96</v>
      </c>
      <c r="C103" s="91">
        <v>132</v>
      </c>
      <c r="D103" s="91" t="s">
        <v>189</v>
      </c>
      <c r="E103" s="91" t="s">
        <v>20</v>
      </c>
      <c r="F103" s="91">
        <v>199</v>
      </c>
      <c r="G103" s="91" t="s">
        <v>124</v>
      </c>
      <c r="H103" s="91" t="s">
        <v>20</v>
      </c>
      <c r="I103" s="134">
        <v>1320130002426</v>
      </c>
      <c r="J103" s="92" t="s">
        <v>41</v>
      </c>
      <c r="K103" s="92" t="s">
        <v>204</v>
      </c>
      <c r="L103" s="117">
        <v>42640</v>
      </c>
      <c r="M103" s="136" t="s">
        <v>98</v>
      </c>
      <c r="N103" s="136" t="s">
        <v>9</v>
      </c>
      <c r="O103" s="137">
        <v>42709</v>
      </c>
      <c r="P103" s="137" t="s">
        <v>261</v>
      </c>
      <c r="Q103" s="138">
        <v>204</v>
      </c>
      <c r="R103" s="137" t="s">
        <v>99</v>
      </c>
      <c r="S103" s="136">
        <v>53160.65</v>
      </c>
      <c r="T103" s="136" t="s">
        <v>128</v>
      </c>
      <c r="U103" s="136" t="s">
        <v>105</v>
      </c>
      <c r="V103" s="136">
        <v>47.69</v>
      </c>
      <c r="W103" s="51">
        <v>1</v>
      </c>
      <c r="X103" s="51" t="str">
        <f t="shared" si="5"/>
        <v>1</v>
      </c>
      <c r="Y103" s="51" t="str">
        <f>VLOOKUP(X103,Sheet6.!$B$3:$C$9,2,0)</f>
        <v>Supplier 100%</v>
      </c>
      <c r="Z103" s="129">
        <f>+$V103*VLOOKUP($X103,Sheet6.!$B$3:$E$9,3,0)</f>
        <v>47.69</v>
      </c>
      <c r="AA103" s="129">
        <f>+$V103*VLOOKUP($X103,Sheet6.!$B$3:$E$9,4,0)</f>
        <v>0</v>
      </c>
    </row>
    <row r="104" spans="1:27" ht="15" hidden="1" customHeight="1" x14ac:dyDescent="0.25">
      <c r="A104" s="51" t="str">
        <f t="shared" si="4"/>
        <v>Unresolved</v>
      </c>
      <c r="B104" s="51" t="s">
        <v>466</v>
      </c>
      <c r="C104" s="91">
        <v>199</v>
      </c>
      <c r="D104" s="91" t="s">
        <v>124</v>
      </c>
      <c r="E104" s="91" t="s">
        <v>20</v>
      </c>
      <c r="F104" s="91">
        <v>1350</v>
      </c>
      <c r="G104" s="91" t="s">
        <v>115</v>
      </c>
      <c r="H104" s="91" t="s">
        <v>19</v>
      </c>
      <c r="I104" s="134">
        <v>199030003062</v>
      </c>
      <c r="J104" s="92" t="s">
        <v>37</v>
      </c>
      <c r="K104" s="92" t="s">
        <v>260</v>
      </c>
      <c r="L104" s="117">
        <v>42640</v>
      </c>
      <c r="M104" s="136" t="s">
        <v>117</v>
      </c>
      <c r="N104" s="136" t="s">
        <v>118</v>
      </c>
      <c r="O104" s="137">
        <v>42706</v>
      </c>
      <c r="P104" s="137" t="s">
        <v>261</v>
      </c>
      <c r="Q104" s="138">
        <v>207</v>
      </c>
      <c r="R104" s="137" t="s">
        <v>99</v>
      </c>
      <c r="S104" s="136">
        <v>55014.21</v>
      </c>
      <c r="T104" s="136" t="s">
        <v>128</v>
      </c>
      <c r="U104" s="136" t="s">
        <v>101</v>
      </c>
      <c r="V104" s="136">
        <v>49.35</v>
      </c>
      <c r="W104" s="51">
        <v>1</v>
      </c>
      <c r="X104" s="51" t="str">
        <f t="shared" si="5"/>
        <v>6/7</v>
      </c>
      <c r="Y104" s="51" t="str">
        <f>VLOOKUP(X104,Sheet6.!$B$3:$C$9,2,0)</f>
        <v>50% / 50%</v>
      </c>
      <c r="Z104" s="129">
        <f>+$V104*VLOOKUP($X104,Sheet6.!$B$3:$E$9,3,0)</f>
        <v>24.675000000000001</v>
      </c>
      <c r="AA104" s="129">
        <f>+$V104*VLOOKUP($X104,Sheet6.!$B$3:$E$9,4,0)</f>
        <v>24.675000000000001</v>
      </c>
    </row>
    <row r="105" spans="1:27" ht="15" hidden="1" customHeight="1" x14ac:dyDescent="0.25">
      <c r="A105" s="51" t="str">
        <f t="shared" si="4"/>
        <v>Added</v>
      </c>
      <c r="B105" s="51" t="s">
        <v>96</v>
      </c>
      <c r="C105" s="91">
        <v>1960</v>
      </c>
      <c r="D105" s="91" t="s">
        <v>127</v>
      </c>
      <c r="E105" s="91" t="s">
        <v>20</v>
      </c>
      <c r="F105" s="91">
        <v>8243</v>
      </c>
      <c r="G105" s="91" t="s">
        <v>125</v>
      </c>
      <c r="H105" s="91" t="s">
        <v>14</v>
      </c>
      <c r="I105" s="134">
        <v>19600510062725</v>
      </c>
      <c r="J105" s="92" t="s">
        <v>52</v>
      </c>
      <c r="K105" s="92" t="s">
        <v>145</v>
      </c>
      <c r="L105" s="117">
        <v>42544</v>
      </c>
      <c r="M105" s="136" t="s">
        <v>126</v>
      </c>
      <c r="N105" s="136" t="s">
        <v>118</v>
      </c>
      <c r="O105" s="137">
        <v>42648</v>
      </c>
      <c r="P105" s="137" t="s">
        <v>206</v>
      </c>
      <c r="Q105" s="138">
        <v>265</v>
      </c>
      <c r="R105" s="137" t="s">
        <v>99</v>
      </c>
      <c r="S105" s="136">
        <v>49463.35</v>
      </c>
      <c r="T105" s="136" t="s">
        <v>128</v>
      </c>
      <c r="U105" s="136" t="s">
        <v>101</v>
      </c>
      <c r="V105" s="136">
        <v>44.37</v>
      </c>
      <c r="W105" s="51">
        <v>1</v>
      </c>
      <c r="X105" s="51" t="str">
        <f t="shared" si="5"/>
        <v>6/7</v>
      </c>
      <c r="Y105" s="51" t="str">
        <f>VLOOKUP(X105,Sheet6.!$B$3:$C$9,2,0)</f>
        <v>50% / 50%</v>
      </c>
      <c r="Z105" s="129">
        <f>+$V105*VLOOKUP($X105,Sheet6.!$B$3:$E$9,3,0)</f>
        <v>22.184999999999999</v>
      </c>
      <c r="AA105" s="129">
        <f>+$V105*VLOOKUP($X105,Sheet6.!$B$3:$E$9,4,0)</f>
        <v>22.184999999999999</v>
      </c>
    </row>
    <row r="106" spans="1:27" ht="15" hidden="1" customHeight="1" x14ac:dyDescent="0.25">
      <c r="A106" s="51" t="str">
        <f t="shared" si="4"/>
        <v>Added</v>
      </c>
      <c r="B106" s="51" t="s">
        <v>96</v>
      </c>
      <c r="C106" s="91">
        <v>1960</v>
      </c>
      <c r="D106" s="91" t="s">
        <v>127</v>
      </c>
      <c r="E106" s="91" t="s">
        <v>20</v>
      </c>
      <c r="F106" s="91">
        <v>8243</v>
      </c>
      <c r="G106" s="91" t="s">
        <v>125</v>
      </c>
      <c r="H106" s="91" t="s">
        <v>14</v>
      </c>
      <c r="I106" s="134">
        <v>19600510062729</v>
      </c>
      <c r="J106" s="92" t="s">
        <v>52</v>
      </c>
      <c r="K106" s="92" t="s">
        <v>145</v>
      </c>
      <c r="L106" s="117">
        <v>42544</v>
      </c>
      <c r="M106" s="136" t="s">
        <v>126</v>
      </c>
      <c r="N106" s="136" t="s">
        <v>118</v>
      </c>
      <c r="O106" s="137">
        <v>42648</v>
      </c>
      <c r="P106" s="137" t="s">
        <v>206</v>
      </c>
      <c r="Q106" s="138">
        <v>265</v>
      </c>
      <c r="R106" s="137" t="s">
        <v>99</v>
      </c>
      <c r="S106" s="136">
        <v>53941.79</v>
      </c>
      <c r="T106" s="136" t="s">
        <v>128</v>
      </c>
      <c r="U106" s="136" t="s">
        <v>101</v>
      </c>
      <c r="V106" s="136">
        <v>48.39</v>
      </c>
      <c r="W106" s="51">
        <v>1</v>
      </c>
      <c r="X106" s="51" t="str">
        <f t="shared" si="5"/>
        <v>6/7</v>
      </c>
      <c r="Y106" s="51" t="str">
        <f>VLOOKUP(X106,Sheet6.!$B$3:$C$9,2,0)</f>
        <v>50% / 50%</v>
      </c>
      <c r="Z106" s="129">
        <f>+$V106*VLOOKUP($X106,Sheet6.!$B$3:$E$9,3,0)</f>
        <v>24.195</v>
      </c>
      <c r="AA106" s="129">
        <f>+$V106*VLOOKUP($X106,Sheet6.!$B$3:$E$9,4,0)</f>
        <v>24.195</v>
      </c>
    </row>
    <row r="107" spans="1:27" ht="15" customHeight="1" x14ac:dyDescent="0.25">
      <c r="A107" s="51" t="str">
        <f t="shared" si="4"/>
        <v>Unresolved</v>
      </c>
      <c r="B107" s="51" t="str">
        <f>+INDEX(DATA_PRIOR!$B:$B,MATCH(I107,DATA_PRIOR!$I:$I,0),0)</f>
        <v>Unresolved (Mar)</v>
      </c>
      <c r="C107" s="91">
        <v>902</v>
      </c>
      <c r="D107" s="91" t="s">
        <v>243</v>
      </c>
      <c r="E107" s="91" t="s">
        <v>15</v>
      </c>
      <c r="F107" s="91">
        <v>199</v>
      </c>
      <c r="G107" s="91" t="s">
        <v>124</v>
      </c>
      <c r="H107" s="91" t="s">
        <v>20</v>
      </c>
      <c r="I107" s="134" t="s">
        <v>244</v>
      </c>
      <c r="J107" s="92" t="s">
        <v>52</v>
      </c>
      <c r="K107" s="92" t="s">
        <v>251</v>
      </c>
      <c r="L107" s="117">
        <v>42579</v>
      </c>
      <c r="M107" s="136" t="s">
        <v>109</v>
      </c>
      <c r="N107" s="136" t="s">
        <v>10</v>
      </c>
      <c r="O107" s="137">
        <v>42648</v>
      </c>
      <c r="P107" s="137" t="s">
        <v>206</v>
      </c>
      <c r="Q107" s="138">
        <v>265</v>
      </c>
      <c r="R107" s="137" t="s">
        <v>99</v>
      </c>
      <c r="S107" s="136">
        <v>31880</v>
      </c>
      <c r="T107" s="136" t="s">
        <v>128</v>
      </c>
      <c r="U107" s="136" t="s">
        <v>101</v>
      </c>
      <c r="V107" s="136">
        <v>28.6</v>
      </c>
      <c r="W107" s="51">
        <v>1</v>
      </c>
      <c r="X107" s="51" t="str">
        <f t="shared" si="5"/>
        <v>8</v>
      </c>
      <c r="Y107" s="51" t="str">
        <f>VLOOKUP(X107,Sheet6.!$B$3:$C$9,2,0)</f>
        <v>Client 75% / Supplier 25%</v>
      </c>
      <c r="Z107" s="129">
        <f>+$V107*VLOOKUP($X107,Sheet6.!$B$3:$E$9,3,0)</f>
        <v>7.15</v>
      </c>
      <c r="AA107" s="129">
        <f>+$V107*VLOOKUP($X107,Sheet6.!$B$3:$E$9,4,0)</f>
        <v>21.450000000000003</v>
      </c>
    </row>
    <row r="108" spans="1:27" ht="15" customHeight="1" x14ac:dyDescent="0.25">
      <c r="A108" s="51" t="str">
        <f t="shared" si="4"/>
        <v>Unresolved</v>
      </c>
      <c r="B108" s="51" t="str">
        <f>+INDEX(DATA_PRIOR!$B:$B,MATCH(I108,DATA_PRIOR!$I:$I,0),0)</f>
        <v>Unresolved (Mar)</v>
      </c>
      <c r="C108" s="91">
        <v>1960</v>
      </c>
      <c r="D108" s="91" t="s">
        <v>127</v>
      </c>
      <c r="E108" s="91" t="s">
        <v>20</v>
      </c>
      <c r="F108" s="91">
        <v>199</v>
      </c>
      <c r="G108" s="91" t="s">
        <v>124</v>
      </c>
      <c r="H108" s="91" t="s">
        <v>20</v>
      </c>
      <c r="I108" s="134" t="s">
        <v>245</v>
      </c>
      <c r="J108" s="92" t="s">
        <v>52</v>
      </c>
      <c r="K108" s="92" t="s">
        <v>145</v>
      </c>
      <c r="L108" s="117">
        <v>42579</v>
      </c>
      <c r="M108" s="136" t="s">
        <v>121</v>
      </c>
      <c r="N108" s="136" t="s">
        <v>9</v>
      </c>
      <c r="O108" s="137">
        <v>42649</v>
      </c>
      <c r="P108" s="137" t="s">
        <v>206</v>
      </c>
      <c r="Q108" s="138">
        <v>264</v>
      </c>
      <c r="R108" s="137" t="s">
        <v>99</v>
      </c>
      <c r="S108" s="136">
        <v>12573.88</v>
      </c>
      <c r="T108" s="136" t="s">
        <v>128</v>
      </c>
      <c r="U108" s="136" t="s">
        <v>105</v>
      </c>
      <c r="V108" s="136">
        <v>11.28</v>
      </c>
      <c r="W108" s="51">
        <v>1</v>
      </c>
      <c r="X108" s="51" t="str">
        <f t="shared" si="5"/>
        <v>3</v>
      </c>
      <c r="Y108" s="51" t="str">
        <f>VLOOKUP(X108,Sheet6.!$B$3:$C$9,2,0)</f>
        <v>50% / 50%</v>
      </c>
      <c r="Z108" s="129">
        <f>+$V108*VLOOKUP($X108,Sheet6.!$B$3:$E$9,3,0)</f>
        <v>5.64</v>
      </c>
      <c r="AA108" s="129">
        <f>+$V108*VLOOKUP($X108,Sheet6.!$B$3:$E$9,4,0)</f>
        <v>5.64</v>
      </c>
    </row>
    <row r="109" spans="1:27" ht="15" customHeight="1" x14ac:dyDescent="0.25">
      <c r="A109" s="51" t="str">
        <f t="shared" si="4"/>
        <v>Unresolved</v>
      </c>
      <c r="B109" s="51" t="str">
        <f>+INDEX(DATA_PRIOR!$B:$B,MATCH(I109,DATA_PRIOR!$I:$I,0),0)</f>
        <v>Unresolved (Jan)</v>
      </c>
      <c r="C109" s="91">
        <v>199</v>
      </c>
      <c r="D109" s="91" t="s">
        <v>124</v>
      </c>
      <c r="E109" s="91" t="s">
        <v>20</v>
      </c>
      <c r="F109" s="91">
        <v>8110</v>
      </c>
      <c r="G109" s="91" t="s">
        <v>97</v>
      </c>
      <c r="H109" s="91" t="s">
        <v>25</v>
      </c>
      <c r="I109" s="134" t="s">
        <v>197</v>
      </c>
      <c r="J109" s="92" t="s">
        <v>56</v>
      </c>
      <c r="K109" s="92" t="s">
        <v>203</v>
      </c>
      <c r="L109" s="117">
        <v>42583</v>
      </c>
      <c r="M109" s="136" t="s">
        <v>98</v>
      </c>
      <c r="N109" s="136" t="s">
        <v>9</v>
      </c>
      <c r="O109" s="137">
        <v>42586</v>
      </c>
      <c r="P109" s="137" t="s">
        <v>206</v>
      </c>
      <c r="Q109" s="138">
        <v>327</v>
      </c>
      <c r="R109" s="137" t="s">
        <v>99</v>
      </c>
      <c r="S109" s="136">
        <v>46443.83</v>
      </c>
      <c r="T109" s="136" t="s">
        <v>128</v>
      </c>
      <c r="U109" s="136" t="s">
        <v>101</v>
      </c>
      <c r="V109" s="136">
        <v>41.66</v>
      </c>
      <c r="W109" s="51">
        <v>1</v>
      </c>
      <c r="X109" s="51" t="str">
        <f t="shared" si="5"/>
        <v>1</v>
      </c>
      <c r="Y109" s="51" t="str">
        <f>VLOOKUP(X109,Sheet6.!$B$3:$C$9,2,0)</f>
        <v>Supplier 100%</v>
      </c>
      <c r="Z109" s="129">
        <f>+$V109*VLOOKUP($X109,Sheet6.!$B$3:$E$9,3,0)</f>
        <v>41.66</v>
      </c>
      <c r="AA109" s="129">
        <f>+$V109*VLOOKUP($X109,Sheet6.!$B$3:$E$9,4,0)</f>
        <v>0</v>
      </c>
    </row>
    <row r="110" spans="1:27" ht="15" hidden="1" customHeight="1" x14ac:dyDescent="0.25">
      <c r="A110" s="51" t="str">
        <f t="shared" si="4"/>
        <v>Added</v>
      </c>
      <c r="B110" s="51" t="s">
        <v>96</v>
      </c>
      <c r="C110" s="91">
        <v>199</v>
      </c>
      <c r="D110" s="91" t="s">
        <v>124</v>
      </c>
      <c r="E110" s="91" t="s">
        <v>20</v>
      </c>
      <c r="F110" s="91">
        <v>8105</v>
      </c>
      <c r="G110" s="91" t="s">
        <v>191</v>
      </c>
      <c r="H110" s="91" t="s">
        <v>20</v>
      </c>
      <c r="I110" s="134">
        <v>199030003187</v>
      </c>
      <c r="J110" s="92" t="s">
        <v>56</v>
      </c>
      <c r="K110" s="92" t="s">
        <v>203</v>
      </c>
      <c r="L110" s="117">
        <v>42667</v>
      </c>
      <c r="M110" s="136" t="s">
        <v>98</v>
      </c>
      <c r="N110" s="136" t="s">
        <v>9</v>
      </c>
      <c r="O110" s="137">
        <v>42732</v>
      </c>
      <c r="P110" s="137" t="s">
        <v>261</v>
      </c>
      <c r="Q110" s="138">
        <v>181</v>
      </c>
      <c r="R110" s="137" t="s">
        <v>99</v>
      </c>
      <c r="S110" s="136">
        <v>13037.7</v>
      </c>
      <c r="T110" s="136" t="s">
        <v>128</v>
      </c>
      <c r="U110" s="136" t="s">
        <v>105</v>
      </c>
      <c r="V110" s="136">
        <v>11.7</v>
      </c>
      <c r="W110" s="51">
        <v>1</v>
      </c>
      <c r="X110" s="51" t="str">
        <f t="shared" si="5"/>
        <v>1</v>
      </c>
      <c r="Y110" s="51" t="str">
        <f>VLOOKUP(X110,Sheet6.!$B$3:$C$9,2,0)</f>
        <v>Supplier 100%</v>
      </c>
      <c r="Z110" s="129">
        <f>+$V110*VLOOKUP($X110,Sheet6.!$B$3:$E$9,3,0)</f>
        <v>11.7</v>
      </c>
      <c r="AA110" s="129">
        <f>+$V110*VLOOKUP($X110,Sheet6.!$B$3:$E$9,4,0)</f>
        <v>0</v>
      </c>
    </row>
    <row r="111" spans="1:27" ht="15" hidden="1" customHeight="1" x14ac:dyDescent="0.25">
      <c r="A111" s="51" t="str">
        <f t="shared" si="4"/>
        <v>Added</v>
      </c>
      <c r="B111" s="51" t="s">
        <v>96</v>
      </c>
      <c r="C111" s="91">
        <v>199</v>
      </c>
      <c r="D111" s="91" t="s">
        <v>124</v>
      </c>
      <c r="E111" s="91" t="s">
        <v>20</v>
      </c>
      <c r="F111" s="91">
        <v>132</v>
      </c>
      <c r="G111" s="91" t="s">
        <v>189</v>
      </c>
      <c r="H111" s="91" t="s">
        <v>20</v>
      </c>
      <c r="I111" s="134">
        <v>199030003131</v>
      </c>
      <c r="J111" s="92" t="s">
        <v>41</v>
      </c>
      <c r="K111" s="92" t="s">
        <v>276</v>
      </c>
      <c r="L111" s="117">
        <v>42642</v>
      </c>
      <c r="M111" s="136" t="s">
        <v>122</v>
      </c>
      <c r="N111" s="136" t="s">
        <v>9</v>
      </c>
      <c r="O111" s="137">
        <v>42706</v>
      </c>
      <c r="P111" s="137" t="s">
        <v>261</v>
      </c>
      <c r="Q111" s="138">
        <v>207</v>
      </c>
      <c r="R111" s="137" t="s">
        <v>99</v>
      </c>
      <c r="S111" s="136">
        <v>36673</v>
      </c>
      <c r="T111" s="136" t="s">
        <v>128</v>
      </c>
      <c r="U111" s="136" t="s">
        <v>105</v>
      </c>
      <c r="V111" s="136">
        <v>32.9</v>
      </c>
      <c r="W111" s="51">
        <v>1</v>
      </c>
      <c r="X111" s="51" t="str">
        <f t="shared" si="5"/>
        <v>4</v>
      </c>
      <c r="Y111" s="51" t="str">
        <f>VLOOKUP(X111,Sheet6.!$B$3:$C$9,2,0)</f>
        <v>50% / 50%</v>
      </c>
      <c r="Z111" s="129">
        <f>+$V111*VLOOKUP($X111,Sheet6.!$B$3:$E$9,3,0)</f>
        <v>16.45</v>
      </c>
      <c r="AA111" s="129">
        <f>+$V111*VLOOKUP($X111,Sheet6.!$B$3:$E$9,4,0)</f>
        <v>16.45</v>
      </c>
    </row>
    <row r="112" spans="1:27" ht="15" hidden="1" customHeight="1" x14ac:dyDescent="0.25">
      <c r="A112" s="51" t="str">
        <f t="shared" si="4"/>
        <v>Added</v>
      </c>
      <c r="B112" s="51" t="s">
        <v>96</v>
      </c>
      <c r="C112" s="91">
        <v>1960</v>
      </c>
      <c r="D112" s="91" t="s">
        <v>127</v>
      </c>
      <c r="E112" s="91" t="s">
        <v>20</v>
      </c>
      <c r="F112" s="91">
        <v>8243</v>
      </c>
      <c r="G112" s="91" t="s">
        <v>125</v>
      </c>
      <c r="H112" s="91" t="s">
        <v>14</v>
      </c>
      <c r="I112" s="134">
        <v>19600510066778</v>
      </c>
      <c r="J112" s="92" t="s">
        <v>52</v>
      </c>
      <c r="K112" s="92" t="s">
        <v>145</v>
      </c>
      <c r="L112" s="117">
        <v>42646</v>
      </c>
      <c r="M112" s="136" t="s">
        <v>98</v>
      </c>
      <c r="N112" s="136" t="s">
        <v>9</v>
      </c>
      <c r="O112" s="137">
        <v>42708</v>
      </c>
      <c r="P112" s="137" t="s">
        <v>261</v>
      </c>
      <c r="Q112" s="138">
        <v>205</v>
      </c>
      <c r="R112" s="137" t="s">
        <v>99</v>
      </c>
      <c r="S112" s="136">
        <v>28998.11</v>
      </c>
      <c r="T112" s="136" t="s">
        <v>128</v>
      </c>
      <c r="U112" s="136" t="s">
        <v>101</v>
      </c>
      <c r="V112" s="136">
        <v>26.01</v>
      </c>
      <c r="W112" s="51">
        <v>1</v>
      </c>
      <c r="X112" s="51" t="str">
        <f t="shared" si="5"/>
        <v>1</v>
      </c>
      <c r="Y112" s="51" t="str">
        <f>VLOOKUP(X112,Sheet6.!$B$3:$C$9,2,0)</f>
        <v>Supplier 100%</v>
      </c>
      <c r="Z112" s="129">
        <f>+$V112*VLOOKUP($X112,Sheet6.!$B$3:$E$9,3,0)</f>
        <v>26.01</v>
      </c>
      <c r="AA112" s="129">
        <f>+$V112*VLOOKUP($X112,Sheet6.!$B$3:$E$9,4,0)</f>
        <v>0</v>
      </c>
    </row>
    <row r="113" spans="1:27" ht="15" hidden="1" customHeight="1" x14ac:dyDescent="0.25">
      <c r="A113" s="51" t="str">
        <f t="shared" si="4"/>
        <v>Added</v>
      </c>
      <c r="B113" s="51" t="s">
        <v>96</v>
      </c>
      <c r="C113" s="91">
        <v>199</v>
      </c>
      <c r="D113" s="91" t="s">
        <v>124</v>
      </c>
      <c r="E113" s="91" t="s">
        <v>20</v>
      </c>
      <c r="F113" s="91">
        <v>95</v>
      </c>
      <c r="G113" s="91" t="s">
        <v>110</v>
      </c>
      <c r="H113" s="91" t="s">
        <v>18</v>
      </c>
      <c r="I113" s="134">
        <v>1990110055177</v>
      </c>
      <c r="J113" s="92" t="s">
        <v>37</v>
      </c>
      <c r="K113" s="92" t="s">
        <v>260</v>
      </c>
      <c r="L113" s="117">
        <v>42605</v>
      </c>
      <c r="M113" s="136" t="s">
        <v>109</v>
      </c>
      <c r="N113" s="136" t="s">
        <v>10</v>
      </c>
      <c r="O113" s="137">
        <v>42678</v>
      </c>
      <c r="P113" s="137" t="s">
        <v>261</v>
      </c>
      <c r="Q113" s="138">
        <v>235</v>
      </c>
      <c r="R113" s="137" t="s">
        <v>99</v>
      </c>
      <c r="S113" s="136">
        <v>45063.040000000001</v>
      </c>
      <c r="T113" s="136" t="s">
        <v>128</v>
      </c>
      <c r="U113" s="136" t="s">
        <v>101</v>
      </c>
      <c r="V113" s="136">
        <v>40.43</v>
      </c>
      <c r="W113" s="51">
        <v>1</v>
      </c>
      <c r="X113" s="51" t="str">
        <f t="shared" si="5"/>
        <v>8</v>
      </c>
      <c r="Y113" s="51" t="str">
        <f>VLOOKUP(X113,Sheet6.!$B$3:$C$9,2,0)</f>
        <v>Client 75% / Supplier 25%</v>
      </c>
      <c r="Z113" s="129">
        <f>+$V113*VLOOKUP($X113,Sheet6.!$B$3:$E$9,3,0)</f>
        <v>10.1075</v>
      </c>
      <c r="AA113" s="129">
        <f>+$V113*VLOOKUP($X113,Sheet6.!$B$3:$E$9,4,0)</f>
        <v>30.322499999999998</v>
      </c>
    </row>
    <row r="114" spans="1:27" ht="15" hidden="1" customHeight="1" x14ac:dyDescent="0.25">
      <c r="A114" s="51" t="str">
        <f t="shared" si="4"/>
        <v>Added</v>
      </c>
      <c r="B114" s="51" t="s">
        <v>96</v>
      </c>
      <c r="C114" s="91">
        <v>199</v>
      </c>
      <c r="D114" s="91" t="s">
        <v>124</v>
      </c>
      <c r="E114" s="91" t="s">
        <v>20</v>
      </c>
      <c r="F114" s="91">
        <v>95</v>
      </c>
      <c r="G114" s="91" t="s">
        <v>110</v>
      </c>
      <c r="H114" s="91" t="s">
        <v>18</v>
      </c>
      <c r="I114" s="134">
        <v>1990110055178</v>
      </c>
      <c r="J114" s="92" t="s">
        <v>37</v>
      </c>
      <c r="K114" s="92" t="s">
        <v>260</v>
      </c>
      <c r="L114" s="117">
        <v>42605</v>
      </c>
      <c r="M114" s="136" t="s">
        <v>109</v>
      </c>
      <c r="N114" s="136" t="s">
        <v>10</v>
      </c>
      <c r="O114" s="137">
        <v>42678</v>
      </c>
      <c r="P114" s="137" t="s">
        <v>261</v>
      </c>
      <c r="Q114" s="138">
        <v>235</v>
      </c>
      <c r="R114" s="137" t="s">
        <v>99</v>
      </c>
      <c r="S114" s="136">
        <v>38256.83</v>
      </c>
      <c r="T114" s="136" t="s">
        <v>128</v>
      </c>
      <c r="U114" s="136" t="s">
        <v>101</v>
      </c>
      <c r="V114" s="136">
        <v>34.32</v>
      </c>
      <c r="W114" s="51">
        <v>1</v>
      </c>
      <c r="X114" s="51" t="str">
        <f t="shared" si="5"/>
        <v>8</v>
      </c>
      <c r="Y114" s="51" t="str">
        <f>VLOOKUP(X114,Sheet6.!$B$3:$C$9,2,0)</f>
        <v>Client 75% / Supplier 25%</v>
      </c>
      <c r="Z114" s="129">
        <f>+$V114*VLOOKUP($X114,Sheet6.!$B$3:$E$9,3,0)</f>
        <v>8.58</v>
      </c>
      <c r="AA114" s="129">
        <f>+$V114*VLOOKUP($X114,Sheet6.!$B$3:$E$9,4,0)</f>
        <v>25.740000000000002</v>
      </c>
    </row>
    <row r="115" spans="1:27" ht="15" hidden="1" customHeight="1" x14ac:dyDescent="0.25">
      <c r="A115" s="51" t="str">
        <f t="shared" si="4"/>
        <v>Added</v>
      </c>
      <c r="B115" s="51" t="s">
        <v>96</v>
      </c>
      <c r="C115" s="91">
        <v>199</v>
      </c>
      <c r="D115" s="91" t="s">
        <v>124</v>
      </c>
      <c r="E115" s="91" t="s">
        <v>20</v>
      </c>
      <c r="F115" s="91">
        <v>8243</v>
      </c>
      <c r="G115" s="91" t="s">
        <v>125</v>
      </c>
      <c r="H115" s="91" t="s">
        <v>14</v>
      </c>
      <c r="I115" s="134">
        <v>1990110055559</v>
      </c>
      <c r="J115" s="92" t="s">
        <v>43</v>
      </c>
      <c r="K115" s="92" t="s">
        <v>275</v>
      </c>
      <c r="L115" s="117">
        <v>42607</v>
      </c>
      <c r="M115" s="136" t="s">
        <v>117</v>
      </c>
      <c r="N115" s="136" t="s">
        <v>118</v>
      </c>
      <c r="O115" s="137">
        <v>42681</v>
      </c>
      <c r="P115" s="137" t="s">
        <v>261</v>
      </c>
      <c r="Q115" s="138">
        <v>232</v>
      </c>
      <c r="R115" s="137" t="s">
        <v>99</v>
      </c>
      <c r="S115" s="136">
        <v>36228</v>
      </c>
      <c r="T115" s="136" t="s">
        <v>128</v>
      </c>
      <c r="U115" s="136" t="s">
        <v>101</v>
      </c>
      <c r="V115" s="136">
        <v>32.5</v>
      </c>
      <c r="W115" s="51">
        <v>1</v>
      </c>
      <c r="X115" s="51" t="str">
        <f t="shared" si="5"/>
        <v>6/7</v>
      </c>
      <c r="Y115" s="51" t="str">
        <f>VLOOKUP(X115,Sheet6.!$B$3:$C$9,2,0)</f>
        <v>50% / 50%</v>
      </c>
      <c r="Z115" s="129">
        <f>+$V115*VLOOKUP($X115,Sheet6.!$B$3:$E$9,3,0)</f>
        <v>16.25</v>
      </c>
      <c r="AA115" s="129">
        <f>+$V115*VLOOKUP($X115,Sheet6.!$B$3:$E$9,4,0)</f>
        <v>16.25</v>
      </c>
    </row>
    <row r="116" spans="1:27" ht="15" hidden="1" customHeight="1" x14ac:dyDescent="0.25">
      <c r="A116" s="51" t="str">
        <f t="shared" si="4"/>
        <v>Added</v>
      </c>
      <c r="B116" s="51" t="s">
        <v>96</v>
      </c>
      <c r="C116" s="91">
        <v>199</v>
      </c>
      <c r="D116" s="91" t="s">
        <v>124</v>
      </c>
      <c r="E116" s="91" t="s">
        <v>20</v>
      </c>
      <c r="F116" s="91">
        <v>8243</v>
      </c>
      <c r="G116" s="91" t="s">
        <v>125</v>
      </c>
      <c r="H116" s="91" t="s">
        <v>14</v>
      </c>
      <c r="I116" s="134">
        <v>1990110055560</v>
      </c>
      <c r="J116" s="92" t="s">
        <v>43</v>
      </c>
      <c r="K116" s="92" t="s">
        <v>275</v>
      </c>
      <c r="L116" s="117">
        <v>42607</v>
      </c>
      <c r="M116" s="136" t="s">
        <v>117</v>
      </c>
      <c r="N116" s="136" t="s">
        <v>118</v>
      </c>
      <c r="O116" s="137">
        <v>42681</v>
      </c>
      <c r="P116" s="137" t="s">
        <v>261</v>
      </c>
      <c r="Q116" s="138">
        <v>232</v>
      </c>
      <c r="R116" s="137" t="s">
        <v>99</v>
      </c>
      <c r="S116" s="136">
        <v>50780</v>
      </c>
      <c r="T116" s="136" t="s">
        <v>128</v>
      </c>
      <c r="U116" s="136" t="s">
        <v>101</v>
      </c>
      <c r="V116" s="136">
        <v>45.55</v>
      </c>
      <c r="W116" s="51">
        <v>1</v>
      </c>
      <c r="X116" s="51" t="str">
        <f t="shared" si="5"/>
        <v>6/7</v>
      </c>
      <c r="Y116" s="51" t="str">
        <f>VLOOKUP(X116,Sheet6.!$B$3:$C$9,2,0)</f>
        <v>50% / 50%</v>
      </c>
      <c r="Z116" s="129">
        <f>+$V116*VLOOKUP($X116,Sheet6.!$B$3:$E$9,3,0)</f>
        <v>22.774999999999999</v>
      </c>
      <c r="AA116" s="129">
        <f>+$V116*VLOOKUP($X116,Sheet6.!$B$3:$E$9,4,0)</f>
        <v>22.774999999999999</v>
      </c>
    </row>
    <row r="117" spans="1:27" ht="15" hidden="1" customHeight="1" x14ac:dyDescent="0.25">
      <c r="A117" s="51" t="str">
        <f t="shared" si="4"/>
        <v>Added</v>
      </c>
      <c r="B117" s="51" t="s">
        <v>96</v>
      </c>
      <c r="C117" s="91">
        <v>199</v>
      </c>
      <c r="D117" s="91" t="s">
        <v>124</v>
      </c>
      <c r="E117" s="91" t="s">
        <v>20</v>
      </c>
      <c r="F117" s="91">
        <v>8243</v>
      </c>
      <c r="G117" s="91" t="s">
        <v>125</v>
      </c>
      <c r="H117" s="91" t="s">
        <v>14</v>
      </c>
      <c r="I117" s="134">
        <v>1990110055561</v>
      </c>
      <c r="J117" s="92" t="s">
        <v>43</v>
      </c>
      <c r="K117" s="92" t="s">
        <v>275</v>
      </c>
      <c r="L117" s="117">
        <v>42607</v>
      </c>
      <c r="M117" s="136" t="s">
        <v>117</v>
      </c>
      <c r="N117" s="136" t="s">
        <v>118</v>
      </c>
      <c r="O117" s="137">
        <v>42681</v>
      </c>
      <c r="P117" s="137" t="s">
        <v>261</v>
      </c>
      <c r="Q117" s="138">
        <v>232</v>
      </c>
      <c r="R117" s="137" t="s">
        <v>99</v>
      </c>
      <c r="S117" s="136">
        <v>10262.52</v>
      </c>
      <c r="T117" s="136" t="s">
        <v>128</v>
      </c>
      <c r="U117" s="136" t="s">
        <v>101</v>
      </c>
      <c r="V117" s="136">
        <v>9.2100000000000009</v>
      </c>
      <c r="W117" s="51">
        <v>1</v>
      </c>
      <c r="X117" s="51" t="str">
        <f t="shared" si="5"/>
        <v>6/7</v>
      </c>
      <c r="Y117" s="51" t="str">
        <f>VLOOKUP(X117,Sheet6.!$B$3:$C$9,2,0)</f>
        <v>50% / 50%</v>
      </c>
      <c r="Z117" s="129">
        <f>+$V117*VLOOKUP($X117,Sheet6.!$B$3:$E$9,3,0)</f>
        <v>4.6050000000000004</v>
      </c>
      <c r="AA117" s="129">
        <f>+$V117*VLOOKUP($X117,Sheet6.!$B$3:$E$9,4,0)</f>
        <v>4.6050000000000004</v>
      </c>
    </row>
    <row r="118" spans="1:27" ht="15" hidden="1" customHeight="1" x14ac:dyDescent="0.25">
      <c r="A118" s="51" t="str">
        <f t="shared" si="4"/>
        <v>Added</v>
      </c>
      <c r="B118" s="51" t="s">
        <v>96</v>
      </c>
      <c r="C118" s="91">
        <v>199</v>
      </c>
      <c r="D118" s="91" t="s">
        <v>124</v>
      </c>
      <c r="E118" s="91" t="s">
        <v>20</v>
      </c>
      <c r="F118" s="91">
        <v>8110</v>
      </c>
      <c r="G118" s="91" t="s">
        <v>97</v>
      </c>
      <c r="H118" s="91" t="s">
        <v>25</v>
      </c>
      <c r="I118" s="134">
        <v>199030002896</v>
      </c>
      <c r="J118" s="92" t="s">
        <v>56</v>
      </c>
      <c r="K118" s="92" t="s">
        <v>203</v>
      </c>
      <c r="L118" s="117">
        <v>42613</v>
      </c>
      <c r="M118" s="136" t="s">
        <v>122</v>
      </c>
      <c r="N118" s="136" t="s">
        <v>9</v>
      </c>
      <c r="O118" s="137">
        <v>42678</v>
      </c>
      <c r="P118" s="137" t="s">
        <v>261</v>
      </c>
      <c r="Q118" s="138">
        <v>235</v>
      </c>
      <c r="R118" s="137" t="s">
        <v>99</v>
      </c>
      <c r="S118" s="136">
        <v>2060</v>
      </c>
      <c r="T118" s="136" t="s">
        <v>128</v>
      </c>
      <c r="U118" s="136" t="s">
        <v>101</v>
      </c>
      <c r="V118" s="136">
        <v>1.85</v>
      </c>
      <c r="W118" s="51">
        <v>1</v>
      </c>
      <c r="X118" s="51" t="str">
        <f t="shared" si="5"/>
        <v>4</v>
      </c>
      <c r="Y118" s="51" t="str">
        <f>VLOOKUP(X118,Sheet6.!$B$3:$C$9,2,0)</f>
        <v>50% / 50%</v>
      </c>
      <c r="Z118" s="129">
        <f>+$V118*VLOOKUP($X118,Sheet6.!$B$3:$E$9,3,0)</f>
        <v>0.92500000000000004</v>
      </c>
      <c r="AA118" s="129">
        <f>+$V118*VLOOKUP($X118,Sheet6.!$B$3:$E$9,4,0)</f>
        <v>0.92500000000000004</v>
      </c>
    </row>
    <row r="119" spans="1:27" ht="15" hidden="1" customHeight="1" x14ac:dyDescent="0.25">
      <c r="A119" s="51" t="str">
        <f t="shared" si="4"/>
        <v>Added</v>
      </c>
      <c r="B119" s="51" t="s">
        <v>96</v>
      </c>
      <c r="C119" s="91">
        <v>199</v>
      </c>
      <c r="D119" s="91" t="s">
        <v>124</v>
      </c>
      <c r="E119" s="91" t="s">
        <v>20</v>
      </c>
      <c r="F119" s="91">
        <v>8110</v>
      </c>
      <c r="G119" s="91" t="s">
        <v>97</v>
      </c>
      <c r="H119" s="91" t="s">
        <v>25</v>
      </c>
      <c r="I119" s="134">
        <v>199030002898</v>
      </c>
      <c r="J119" s="92" t="s">
        <v>56</v>
      </c>
      <c r="K119" s="92" t="s">
        <v>203</v>
      </c>
      <c r="L119" s="117">
        <v>42613</v>
      </c>
      <c r="M119" s="136" t="s">
        <v>122</v>
      </c>
      <c r="N119" s="136" t="s">
        <v>9</v>
      </c>
      <c r="O119" s="137">
        <v>42678</v>
      </c>
      <c r="P119" s="137" t="s">
        <v>261</v>
      </c>
      <c r="Q119" s="138">
        <v>235</v>
      </c>
      <c r="R119" s="137" t="s">
        <v>99</v>
      </c>
      <c r="S119" s="136">
        <v>1780</v>
      </c>
      <c r="T119" s="136" t="s">
        <v>128</v>
      </c>
      <c r="U119" s="136" t="s">
        <v>101</v>
      </c>
      <c r="V119" s="136">
        <v>1.6</v>
      </c>
      <c r="W119" s="51">
        <v>1</v>
      </c>
      <c r="X119" s="51" t="str">
        <f t="shared" si="5"/>
        <v>4</v>
      </c>
      <c r="Y119" s="51" t="str">
        <f>VLOOKUP(X119,Sheet6.!$B$3:$C$9,2,0)</f>
        <v>50% / 50%</v>
      </c>
      <c r="Z119" s="129">
        <f>+$V119*VLOOKUP($X119,Sheet6.!$B$3:$E$9,3,0)</f>
        <v>0.8</v>
      </c>
      <c r="AA119" s="129">
        <f>+$V119*VLOOKUP($X119,Sheet6.!$B$3:$E$9,4,0)</f>
        <v>0.8</v>
      </c>
    </row>
    <row r="120" spans="1:27" ht="15" hidden="1" customHeight="1" x14ac:dyDescent="0.25">
      <c r="A120" s="51" t="str">
        <f t="shared" si="4"/>
        <v>Added</v>
      </c>
      <c r="B120" s="51" t="s">
        <v>96</v>
      </c>
      <c r="C120" s="91">
        <v>1985</v>
      </c>
      <c r="D120" s="91" t="s">
        <v>129</v>
      </c>
      <c r="E120" s="91" t="s">
        <v>17</v>
      </c>
      <c r="F120" s="91">
        <v>260</v>
      </c>
      <c r="G120" s="91" t="s">
        <v>114</v>
      </c>
      <c r="H120" s="91" t="s">
        <v>17</v>
      </c>
      <c r="I120" s="134">
        <v>198504300000002</v>
      </c>
      <c r="J120" s="92" t="s">
        <v>52</v>
      </c>
      <c r="K120" s="92" t="s">
        <v>146</v>
      </c>
      <c r="L120" s="117">
        <v>42430</v>
      </c>
      <c r="M120" s="136" t="s">
        <v>117</v>
      </c>
      <c r="N120" s="136" t="s">
        <v>118</v>
      </c>
      <c r="O120" s="137">
        <v>42495</v>
      </c>
      <c r="P120" s="137" t="s">
        <v>207</v>
      </c>
      <c r="Q120" s="138">
        <v>418</v>
      </c>
      <c r="R120" s="137" t="s">
        <v>252</v>
      </c>
      <c r="S120" s="136">
        <v>35637.199999999997</v>
      </c>
      <c r="T120" s="136" t="s">
        <v>130</v>
      </c>
      <c r="U120" s="136" t="s">
        <v>105</v>
      </c>
      <c r="V120" s="136">
        <v>2.4500000000000002</v>
      </c>
      <c r="W120" s="51">
        <v>1</v>
      </c>
      <c r="X120" s="51" t="str">
        <f t="shared" si="5"/>
        <v>6/7</v>
      </c>
      <c r="Y120" s="51" t="str">
        <f>VLOOKUP(X120,Sheet6.!$B$3:$C$9,2,0)</f>
        <v>50% / 50%</v>
      </c>
      <c r="Z120" s="129">
        <f>+$V120*VLOOKUP($X120,Sheet6.!$B$3:$E$9,3,0)</f>
        <v>1.2250000000000001</v>
      </c>
      <c r="AA120" s="129">
        <f>+$V120*VLOOKUP($X120,Sheet6.!$B$3:$E$9,4,0)</f>
        <v>1.2250000000000001</v>
      </c>
    </row>
  </sheetData>
  <autoFilter ref="A1:AA120">
    <filterColumn colId="1">
      <filters>
        <filter val="Unresolved (Apr)"/>
        <filter val="Unresolved (Aug)"/>
        <filter val="Unresolved (Jan)"/>
        <filter val="Unresolved (Mar)"/>
      </filters>
    </filterColumn>
  </autoFilter>
  <dataValidations count="1">
    <dataValidation type="list" allowBlank="1" showInputMessage="1" showErrorMessage="1" sqref="R2:R24">
      <formula1>#REF!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</sheetPr>
  <dimension ref="A1:AB170"/>
  <sheetViews>
    <sheetView zoomScale="85" zoomScaleNormal="85" workbookViewId="0"/>
  </sheetViews>
  <sheetFormatPr defaultRowHeight="15" outlineLevelCol="2" x14ac:dyDescent="0.25"/>
  <cols>
    <col min="1" max="1" width="11.140625" bestFit="1" customWidth="1"/>
    <col min="2" max="2" width="16.85546875" bestFit="1" customWidth="1"/>
    <col min="3" max="3" width="13.5703125" customWidth="1" outlineLevel="1"/>
    <col min="4" max="4" width="57.42578125" bestFit="1" customWidth="1"/>
    <col min="5" max="5" width="21" bestFit="1" customWidth="1"/>
    <col min="6" max="6" width="11.28515625" customWidth="1" outlineLevel="1"/>
    <col min="7" max="7" width="57.42578125" bestFit="1" customWidth="1"/>
    <col min="8" max="8" width="18.85546875" bestFit="1" customWidth="1"/>
    <col min="9" max="9" width="20.85546875" style="133" bestFit="1" customWidth="1"/>
    <col min="10" max="10" width="21.5703125" bestFit="1" customWidth="1"/>
    <col min="11" max="11" width="45.7109375" bestFit="1" customWidth="1"/>
    <col min="12" max="12" width="19.42578125" style="118" bestFit="1" customWidth="1"/>
    <col min="13" max="13" width="39.140625" bestFit="1" customWidth="1"/>
    <col min="14" max="14" width="32.5703125" bestFit="1" customWidth="1"/>
    <col min="15" max="15" width="15.85546875" customWidth="1" outlineLevel="1"/>
    <col min="16" max="16" width="16.5703125" customWidth="1" outlineLevel="1"/>
    <col min="17" max="17" width="9.140625" style="82" customWidth="1" outlineLevel="1"/>
    <col min="18" max="18" width="14.85546875" customWidth="1" outlineLevel="1"/>
    <col min="19" max="19" width="7.140625" customWidth="1" outlineLevel="1"/>
    <col min="20" max="20" width="10.28515625" customWidth="1" outlineLevel="1"/>
    <col min="21" max="21" width="8.7109375" customWidth="1" outlineLevel="1"/>
    <col min="22" max="22" width="8.28515625" style="126" customWidth="1"/>
    <col min="23" max="23" width="11.5703125" customWidth="1" outlineLevel="1"/>
    <col min="24" max="24" width="11.85546875" customWidth="1" outlineLevel="2"/>
    <col min="25" max="25" width="23.85546875" bestFit="1" customWidth="1"/>
    <col min="26" max="26" width="8.42578125" style="126" bestFit="1" customWidth="1"/>
    <col min="27" max="27" width="14.85546875" style="126" bestFit="1" customWidth="1"/>
  </cols>
  <sheetData>
    <row r="1" spans="1:28" ht="36" x14ac:dyDescent="0.25">
      <c r="A1" s="47" t="s">
        <v>96</v>
      </c>
      <c r="B1" s="47" t="s">
        <v>69</v>
      </c>
      <c r="C1" s="48" t="s">
        <v>70</v>
      </c>
      <c r="D1" s="48" t="s">
        <v>71</v>
      </c>
      <c r="E1" s="48" t="s">
        <v>73</v>
      </c>
      <c r="F1" s="48" t="s">
        <v>74</v>
      </c>
      <c r="G1" s="48" t="s">
        <v>75</v>
      </c>
      <c r="H1" s="48" t="s">
        <v>77</v>
      </c>
      <c r="I1" s="131" t="s">
        <v>78</v>
      </c>
      <c r="J1" s="47" t="s">
        <v>29</v>
      </c>
      <c r="K1" s="47" t="s">
        <v>79</v>
      </c>
      <c r="L1" s="116" t="s">
        <v>81</v>
      </c>
      <c r="M1" s="48" t="s">
        <v>82</v>
      </c>
      <c r="N1" s="48" t="s">
        <v>83</v>
      </c>
      <c r="O1" s="48" t="s">
        <v>84</v>
      </c>
      <c r="P1" s="48" t="s">
        <v>85</v>
      </c>
      <c r="Q1" s="50" t="s">
        <v>86</v>
      </c>
      <c r="R1" s="48" t="s">
        <v>87</v>
      </c>
      <c r="S1" s="48" t="s">
        <v>88</v>
      </c>
      <c r="T1" s="48" t="s">
        <v>89</v>
      </c>
      <c r="U1" s="48" t="s">
        <v>90</v>
      </c>
      <c r="V1" s="124" t="s">
        <v>91</v>
      </c>
      <c r="W1" s="48" t="s">
        <v>92</v>
      </c>
      <c r="X1" s="47" t="s">
        <v>93</v>
      </c>
      <c r="Y1" s="47" t="s">
        <v>65</v>
      </c>
      <c r="Z1" s="130" t="s">
        <v>94</v>
      </c>
      <c r="AA1" s="130" t="s">
        <v>95</v>
      </c>
    </row>
    <row r="2" spans="1:28" x14ac:dyDescent="0.25">
      <c r="A2" s="51" t="s">
        <v>102</v>
      </c>
      <c r="B2" s="51" t="s">
        <v>253</v>
      </c>
      <c r="C2" s="80">
        <v>3022</v>
      </c>
      <c r="D2" s="80" t="s">
        <v>107</v>
      </c>
      <c r="E2" s="80" t="s">
        <v>21</v>
      </c>
      <c r="F2" s="80">
        <v>635</v>
      </c>
      <c r="G2" s="80" t="s">
        <v>187</v>
      </c>
      <c r="H2" s="80" t="s">
        <v>21</v>
      </c>
      <c r="I2" s="132" t="s">
        <v>404</v>
      </c>
      <c r="J2" s="51" t="s">
        <v>58</v>
      </c>
      <c r="K2" s="51" t="s">
        <v>219</v>
      </c>
      <c r="L2" s="128">
        <v>42543</v>
      </c>
      <c r="M2" s="54" t="s">
        <v>122</v>
      </c>
      <c r="N2" s="54" t="s">
        <v>9</v>
      </c>
      <c r="O2" s="76">
        <v>42618</v>
      </c>
      <c r="P2" s="76" t="s">
        <v>206</v>
      </c>
      <c r="Q2" s="81">
        <v>275</v>
      </c>
      <c r="R2" s="76" t="s">
        <v>99</v>
      </c>
      <c r="S2" s="54">
        <v>42192</v>
      </c>
      <c r="T2" s="54" t="s">
        <v>100</v>
      </c>
      <c r="U2" s="51" t="s">
        <v>105</v>
      </c>
      <c r="V2" s="129">
        <v>42.19</v>
      </c>
      <c r="W2" s="51">
        <v>1</v>
      </c>
      <c r="X2" s="51" t="s">
        <v>140</v>
      </c>
      <c r="Y2" s="51" t="s">
        <v>31</v>
      </c>
      <c r="Z2" s="129">
        <v>21.094999999999999</v>
      </c>
      <c r="AA2" s="129">
        <v>21.094999999999999</v>
      </c>
    </row>
    <row r="3" spans="1:28" x14ac:dyDescent="0.25">
      <c r="A3" s="51" t="s">
        <v>102</v>
      </c>
      <c r="B3" s="51" t="s">
        <v>253</v>
      </c>
      <c r="C3" s="80">
        <v>72</v>
      </c>
      <c r="D3" s="80" t="s">
        <v>213</v>
      </c>
      <c r="E3" s="80" t="s">
        <v>18</v>
      </c>
      <c r="F3" s="80">
        <v>199</v>
      </c>
      <c r="G3" s="80" t="s">
        <v>124</v>
      </c>
      <c r="H3" s="80" t="s">
        <v>20</v>
      </c>
      <c r="I3" s="132" t="s">
        <v>214</v>
      </c>
      <c r="J3" s="51" t="s">
        <v>45</v>
      </c>
      <c r="K3" s="51" t="s">
        <v>136</v>
      </c>
      <c r="L3" s="128">
        <v>42586</v>
      </c>
      <c r="M3" s="54" t="s">
        <v>98</v>
      </c>
      <c r="N3" s="54" t="s">
        <v>9</v>
      </c>
      <c r="O3" s="76">
        <v>42618</v>
      </c>
      <c r="P3" s="76" t="s">
        <v>206</v>
      </c>
      <c r="Q3" s="81">
        <v>275</v>
      </c>
      <c r="R3" s="76" t="s">
        <v>99</v>
      </c>
      <c r="S3" s="54">
        <v>33795.82</v>
      </c>
      <c r="T3" s="54" t="s">
        <v>100</v>
      </c>
      <c r="U3" s="51" t="s">
        <v>101</v>
      </c>
      <c r="V3" s="129">
        <v>33.799999999999997</v>
      </c>
      <c r="W3" s="51">
        <v>1</v>
      </c>
      <c r="X3" s="51" t="s">
        <v>135</v>
      </c>
      <c r="Y3" s="51" t="s">
        <v>30</v>
      </c>
      <c r="Z3" s="129">
        <v>33.799999999999997</v>
      </c>
      <c r="AA3" s="129">
        <v>0</v>
      </c>
    </row>
    <row r="4" spans="1:28" x14ac:dyDescent="0.25">
      <c r="A4" s="51" t="s">
        <v>96</v>
      </c>
      <c r="B4" s="51" t="s">
        <v>96</v>
      </c>
      <c r="C4" s="80">
        <v>420</v>
      </c>
      <c r="D4" s="80" t="s">
        <v>113</v>
      </c>
      <c r="E4" s="80" t="s">
        <v>22</v>
      </c>
      <c r="F4" s="80">
        <v>693</v>
      </c>
      <c r="G4" s="80" t="s">
        <v>190</v>
      </c>
      <c r="H4" s="80" t="s">
        <v>21</v>
      </c>
      <c r="I4" s="132" t="s">
        <v>378</v>
      </c>
      <c r="J4" s="51" t="s">
        <v>43</v>
      </c>
      <c r="K4" s="51" t="s">
        <v>265</v>
      </c>
      <c r="L4" s="128">
        <v>42639</v>
      </c>
      <c r="M4" s="54" t="s">
        <v>109</v>
      </c>
      <c r="N4" s="54" t="s">
        <v>10</v>
      </c>
      <c r="O4" s="76">
        <v>42706</v>
      </c>
      <c r="P4" s="76" t="s">
        <v>261</v>
      </c>
      <c r="Q4" s="81">
        <v>187</v>
      </c>
      <c r="R4" s="76" t="s">
        <v>99</v>
      </c>
      <c r="S4" s="54">
        <v>-3180.41</v>
      </c>
      <c r="T4" s="54" t="s">
        <v>100</v>
      </c>
      <c r="U4" s="51" t="s">
        <v>101</v>
      </c>
      <c r="V4" s="129">
        <v>-3.18</v>
      </c>
      <c r="W4" s="51">
        <v>1</v>
      </c>
      <c r="X4" s="51" t="s">
        <v>133</v>
      </c>
      <c r="Y4" s="51" t="s">
        <v>32</v>
      </c>
      <c r="Z4" s="129">
        <v>-0.79500000000000004</v>
      </c>
      <c r="AA4" s="129">
        <v>-2.3850000000000002</v>
      </c>
    </row>
    <row r="5" spans="1:28" x14ac:dyDescent="0.25">
      <c r="A5" s="51" t="s">
        <v>96</v>
      </c>
      <c r="B5" s="51" t="s">
        <v>96</v>
      </c>
      <c r="C5" s="80">
        <v>3014</v>
      </c>
      <c r="D5" s="80" t="s">
        <v>108</v>
      </c>
      <c r="E5" s="80" t="s">
        <v>21</v>
      </c>
      <c r="F5" s="80">
        <v>692</v>
      </c>
      <c r="G5" s="80" t="s">
        <v>174</v>
      </c>
      <c r="H5" s="80" t="s">
        <v>21</v>
      </c>
      <c r="I5" s="132" t="s">
        <v>405</v>
      </c>
      <c r="J5" s="51" t="s">
        <v>58</v>
      </c>
      <c r="K5" s="51" t="s">
        <v>198</v>
      </c>
      <c r="L5" s="128">
        <v>42642</v>
      </c>
      <c r="M5" s="54" t="s">
        <v>109</v>
      </c>
      <c r="N5" s="54" t="s">
        <v>10</v>
      </c>
      <c r="O5" s="76">
        <v>42709</v>
      </c>
      <c r="P5" s="76" t="s">
        <v>261</v>
      </c>
      <c r="Q5" s="81">
        <v>184</v>
      </c>
      <c r="R5" s="76" t="s">
        <v>99</v>
      </c>
      <c r="S5" s="54">
        <v>14400</v>
      </c>
      <c r="T5" s="54" t="s">
        <v>100</v>
      </c>
      <c r="U5" s="51" t="s">
        <v>105</v>
      </c>
      <c r="V5" s="129">
        <v>14.4</v>
      </c>
      <c r="W5" s="51">
        <v>1</v>
      </c>
      <c r="X5" s="51" t="s">
        <v>133</v>
      </c>
      <c r="Y5" s="51" t="s">
        <v>32</v>
      </c>
      <c r="Z5" s="129">
        <v>3.6</v>
      </c>
      <c r="AA5" s="129">
        <v>10.8</v>
      </c>
    </row>
    <row r="6" spans="1:28" x14ac:dyDescent="0.25">
      <c r="A6" s="51" t="s">
        <v>96</v>
      </c>
      <c r="B6" s="51" t="s">
        <v>96</v>
      </c>
      <c r="C6" s="80">
        <v>413</v>
      </c>
      <c r="D6" s="80" t="s">
        <v>188</v>
      </c>
      <c r="E6" s="80" t="s">
        <v>22</v>
      </c>
      <c r="F6" s="80">
        <v>1350</v>
      </c>
      <c r="G6" s="80" t="s">
        <v>115</v>
      </c>
      <c r="H6" s="80" t="s">
        <v>19</v>
      </c>
      <c r="I6" s="132" t="s">
        <v>374</v>
      </c>
      <c r="J6" s="51" t="s">
        <v>39</v>
      </c>
      <c r="K6" s="51" t="s">
        <v>218</v>
      </c>
      <c r="L6" s="128">
        <v>42642</v>
      </c>
      <c r="M6" s="54" t="s">
        <v>117</v>
      </c>
      <c r="N6" s="54" t="s">
        <v>118</v>
      </c>
      <c r="O6" s="76">
        <v>42706</v>
      </c>
      <c r="P6" s="76" t="s">
        <v>261</v>
      </c>
      <c r="Q6" s="81">
        <v>187</v>
      </c>
      <c r="R6" s="76" t="s">
        <v>99</v>
      </c>
      <c r="S6" s="54">
        <v>27968</v>
      </c>
      <c r="T6" s="54" t="s">
        <v>100</v>
      </c>
      <c r="U6" s="51" t="s">
        <v>101</v>
      </c>
      <c r="V6" s="129">
        <v>27.97</v>
      </c>
      <c r="W6" s="51">
        <v>1</v>
      </c>
      <c r="X6" s="51" t="s">
        <v>13</v>
      </c>
      <c r="Y6" s="51" t="s">
        <v>31</v>
      </c>
      <c r="Z6" s="129">
        <v>13.984999999999999</v>
      </c>
      <c r="AA6" s="129">
        <v>13.984999999999999</v>
      </c>
    </row>
    <row r="7" spans="1:28" x14ac:dyDescent="0.25">
      <c r="A7" s="51" t="s">
        <v>96</v>
      </c>
      <c r="B7" s="51" t="s">
        <v>96</v>
      </c>
      <c r="C7" s="80">
        <v>413</v>
      </c>
      <c r="D7" s="80" t="s">
        <v>188</v>
      </c>
      <c r="E7" s="80" t="s">
        <v>22</v>
      </c>
      <c r="F7" s="80">
        <v>1350</v>
      </c>
      <c r="G7" s="80" t="s">
        <v>115</v>
      </c>
      <c r="H7" s="80" t="s">
        <v>19</v>
      </c>
      <c r="I7" s="132" t="s">
        <v>375</v>
      </c>
      <c r="J7" s="51" t="s">
        <v>39</v>
      </c>
      <c r="K7" s="51" t="s">
        <v>218</v>
      </c>
      <c r="L7" s="128">
        <v>42642</v>
      </c>
      <c r="M7" s="54" t="s">
        <v>117</v>
      </c>
      <c r="N7" s="54" t="s">
        <v>118</v>
      </c>
      <c r="O7" s="76">
        <v>42706</v>
      </c>
      <c r="P7" s="76" t="s">
        <v>261</v>
      </c>
      <c r="Q7" s="81">
        <v>187</v>
      </c>
      <c r="R7" s="76" t="s">
        <v>99</v>
      </c>
      <c r="S7" s="54">
        <v>11440</v>
      </c>
      <c r="T7" s="54" t="s">
        <v>100</v>
      </c>
      <c r="U7" s="51" t="s">
        <v>101</v>
      </c>
      <c r="V7" s="129">
        <v>11.44</v>
      </c>
      <c r="W7" s="51">
        <v>1</v>
      </c>
      <c r="X7" s="51" t="s">
        <v>13</v>
      </c>
      <c r="Y7" s="51" t="s">
        <v>31</v>
      </c>
      <c r="Z7" s="129">
        <v>5.72</v>
      </c>
      <c r="AA7" s="129">
        <v>5.72</v>
      </c>
    </row>
    <row r="8" spans="1:28" x14ac:dyDescent="0.25">
      <c r="A8" s="51" t="s">
        <v>96</v>
      </c>
      <c r="B8" s="51" t="s">
        <v>96</v>
      </c>
      <c r="C8" s="80">
        <v>429</v>
      </c>
      <c r="D8" s="80" t="s">
        <v>231</v>
      </c>
      <c r="E8" s="80" t="s">
        <v>22</v>
      </c>
      <c r="F8" s="80">
        <v>1350</v>
      </c>
      <c r="G8" s="80" t="s">
        <v>115</v>
      </c>
      <c r="H8" s="80" t="s">
        <v>19</v>
      </c>
      <c r="I8" s="132">
        <v>80802767</v>
      </c>
      <c r="J8" s="51" t="s">
        <v>58</v>
      </c>
      <c r="K8" s="51" t="s">
        <v>266</v>
      </c>
      <c r="L8" s="128">
        <v>42647</v>
      </c>
      <c r="M8" s="54" t="s">
        <v>98</v>
      </c>
      <c r="N8" s="54" t="s">
        <v>9</v>
      </c>
      <c r="O8" s="76">
        <v>42706</v>
      </c>
      <c r="P8" s="76" t="s">
        <v>261</v>
      </c>
      <c r="Q8" s="81">
        <v>187</v>
      </c>
      <c r="R8" s="76" t="s">
        <v>99</v>
      </c>
      <c r="S8" s="54">
        <v>17600</v>
      </c>
      <c r="T8" s="54" t="s">
        <v>100</v>
      </c>
      <c r="U8" s="51" t="s">
        <v>101</v>
      </c>
      <c r="V8" s="129">
        <v>17.600000000000001</v>
      </c>
      <c r="W8" s="51">
        <v>1</v>
      </c>
      <c r="X8" s="51" t="s">
        <v>135</v>
      </c>
      <c r="Y8" s="51" t="s">
        <v>30</v>
      </c>
      <c r="Z8" s="129">
        <v>17.600000000000001</v>
      </c>
      <c r="AA8" s="129">
        <v>0</v>
      </c>
    </row>
    <row r="9" spans="1:28" x14ac:dyDescent="0.25">
      <c r="A9" s="51" t="s">
        <v>96</v>
      </c>
      <c r="B9" s="51" t="s">
        <v>96</v>
      </c>
      <c r="C9" s="80">
        <v>429</v>
      </c>
      <c r="D9" s="80" t="s">
        <v>231</v>
      </c>
      <c r="E9" s="80" t="s">
        <v>22</v>
      </c>
      <c r="F9" s="80">
        <v>1350</v>
      </c>
      <c r="G9" s="80" t="s">
        <v>115</v>
      </c>
      <c r="H9" s="80" t="s">
        <v>19</v>
      </c>
      <c r="I9" s="132">
        <v>80802790</v>
      </c>
      <c r="J9" s="51" t="s">
        <v>58</v>
      </c>
      <c r="K9" s="51" t="s">
        <v>266</v>
      </c>
      <c r="L9" s="128">
        <v>42647</v>
      </c>
      <c r="M9" s="54" t="s">
        <v>98</v>
      </c>
      <c r="N9" s="54" t="s">
        <v>9</v>
      </c>
      <c r="O9" s="76">
        <v>42706</v>
      </c>
      <c r="P9" s="76" t="s">
        <v>261</v>
      </c>
      <c r="Q9" s="81">
        <v>187</v>
      </c>
      <c r="R9" s="76" t="s">
        <v>99</v>
      </c>
      <c r="S9" s="54">
        <v>12800</v>
      </c>
      <c r="T9" s="54" t="s">
        <v>100</v>
      </c>
      <c r="U9" s="51" t="s">
        <v>101</v>
      </c>
      <c r="V9" s="129">
        <v>12.8</v>
      </c>
      <c r="W9" s="51">
        <v>1</v>
      </c>
      <c r="X9" s="51" t="s">
        <v>135</v>
      </c>
      <c r="Y9" s="51" t="s">
        <v>30</v>
      </c>
      <c r="Z9" s="129">
        <v>12.8</v>
      </c>
      <c r="AA9" s="129">
        <v>0</v>
      </c>
      <c r="AB9">
        <v>0.25</v>
      </c>
    </row>
    <row r="10" spans="1:28" x14ac:dyDescent="0.25">
      <c r="A10" s="51" t="s">
        <v>96</v>
      </c>
      <c r="B10" s="51" t="s">
        <v>96</v>
      </c>
      <c r="C10" s="80">
        <v>429</v>
      </c>
      <c r="D10" s="80" t="s">
        <v>231</v>
      </c>
      <c r="E10" s="80" t="s">
        <v>22</v>
      </c>
      <c r="F10" s="80">
        <v>1350</v>
      </c>
      <c r="G10" s="80" t="s">
        <v>115</v>
      </c>
      <c r="H10" s="80" t="s">
        <v>19</v>
      </c>
      <c r="I10" s="132">
        <v>80802867</v>
      </c>
      <c r="J10" s="51" t="s">
        <v>58</v>
      </c>
      <c r="K10" s="51" t="s">
        <v>266</v>
      </c>
      <c r="L10" s="128">
        <v>42647</v>
      </c>
      <c r="M10" s="54" t="s">
        <v>98</v>
      </c>
      <c r="N10" s="54" t="s">
        <v>9</v>
      </c>
      <c r="O10" s="76">
        <v>42706</v>
      </c>
      <c r="P10" s="76" t="s">
        <v>261</v>
      </c>
      <c r="Q10" s="81">
        <v>187</v>
      </c>
      <c r="R10" s="76" t="s">
        <v>99</v>
      </c>
      <c r="S10" s="54">
        <v>18400</v>
      </c>
      <c r="T10" s="54" t="s">
        <v>100</v>
      </c>
      <c r="U10" s="51" t="s">
        <v>101</v>
      </c>
      <c r="V10" s="129">
        <v>18.399999999999999</v>
      </c>
      <c r="W10" s="51">
        <v>1</v>
      </c>
      <c r="X10" s="51" t="s">
        <v>135</v>
      </c>
      <c r="Y10" s="51" t="s">
        <v>30</v>
      </c>
      <c r="Z10" s="129">
        <v>18.399999999999999</v>
      </c>
      <c r="AA10" s="129">
        <v>0</v>
      </c>
    </row>
    <row r="11" spans="1:28" x14ac:dyDescent="0.25">
      <c r="A11" s="51" t="s">
        <v>96</v>
      </c>
      <c r="B11" s="51" t="s">
        <v>96</v>
      </c>
      <c r="C11" s="80">
        <v>3019</v>
      </c>
      <c r="D11" s="80" t="s">
        <v>267</v>
      </c>
      <c r="E11" s="80" t="s">
        <v>21</v>
      </c>
      <c r="F11" s="80">
        <v>8113</v>
      </c>
      <c r="G11" s="80" t="s">
        <v>268</v>
      </c>
      <c r="H11" s="80" t="s">
        <v>20</v>
      </c>
      <c r="I11" s="132" t="s">
        <v>406</v>
      </c>
      <c r="J11" s="51" t="s">
        <v>58</v>
      </c>
      <c r="K11" s="51" t="s">
        <v>198</v>
      </c>
      <c r="L11" s="128">
        <v>42697</v>
      </c>
      <c r="M11" s="54" t="s">
        <v>98</v>
      </c>
      <c r="N11" s="54" t="s">
        <v>9</v>
      </c>
      <c r="O11" s="76">
        <v>42706</v>
      </c>
      <c r="P11" s="76" t="s">
        <v>261</v>
      </c>
      <c r="Q11" s="81">
        <v>187</v>
      </c>
      <c r="R11" s="76" t="s">
        <v>99</v>
      </c>
      <c r="S11" s="54">
        <v>4363.16</v>
      </c>
      <c r="T11" s="54" t="s">
        <v>100</v>
      </c>
      <c r="U11" s="51" t="s">
        <v>101</v>
      </c>
      <c r="V11" s="129">
        <v>4.3600000000000003</v>
      </c>
      <c r="W11" s="51">
        <v>1</v>
      </c>
      <c r="X11" s="51" t="s">
        <v>135</v>
      </c>
      <c r="Y11" s="51" t="s">
        <v>30</v>
      </c>
      <c r="Z11" s="129">
        <v>4.3600000000000003</v>
      </c>
      <c r="AA11" s="129">
        <v>0</v>
      </c>
    </row>
    <row r="12" spans="1:28" x14ac:dyDescent="0.25">
      <c r="A12" s="51" t="s">
        <v>96</v>
      </c>
      <c r="B12" s="51" t="s">
        <v>96</v>
      </c>
      <c r="C12" s="80">
        <v>8243</v>
      </c>
      <c r="D12" s="80" t="s">
        <v>125</v>
      </c>
      <c r="E12" s="80" t="s">
        <v>14</v>
      </c>
      <c r="F12" s="80">
        <v>8205</v>
      </c>
      <c r="G12" s="80" t="s">
        <v>232</v>
      </c>
      <c r="H12" s="80" t="s">
        <v>14</v>
      </c>
      <c r="I12" s="132" t="s">
        <v>379</v>
      </c>
      <c r="J12" s="51" t="s">
        <v>43</v>
      </c>
      <c r="K12" s="51" t="s">
        <v>220</v>
      </c>
      <c r="L12" s="128">
        <v>42647</v>
      </c>
      <c r="M12" s="54" t="s">
        <v>121</v>
      </c>
      <c r="N12" s="54" t="s">
        <v>9</v>
      </c>
      <c r="O12" s="76">
        <v>42706</v>
      </c>
      <c r="P12" s="76" t="s">
        <v>261</v>
      </c>
      <c r="Q12" s="81">
        <v>187</v>
      </c>
      <c r="R12" s="76" t="s">
        <v>99</v>
      </c>
      <c r="S12" s="54">
        <v>15825</v>
      </c>
      <c r="T12" s="54" t="s">
        <v>100</v>
      </c>
      <c r="U12" s="51" t="s">
        <v>105</v>
      </c>
      <c r="V12" s="129">
        <v>15.83</v>
      </c>
      <c r="W12" s="51">
        <v>1</v>
      </c>
      <c r="X12" s="51" t="s">
        <v>138</v>
      </c>
      <c r="Y12" s="51" t="s">
        <v>31</v>
      </c>
      <c r="Z12" s="129">
        <v>7.915</v>
      </c>
      <c r="AA12" s="129">
        <v>7.915</v>
      </c>
    </row>
    <row r="13" spans="1:28" x14ac:dyDescent="0.25">
      <c r="A13" s="51" t="s">
        <v>96</v>
      </c>
      <c r="B13" s="51" t="s">
        <v>96</v>
      </c>
      <c r="C13" s="80">
        <v>8243</v>
      </c>
      <c r="D13" s="80" t="s">
        <v>125</v>
      </c>
      <c r="E13" s="80" t="s">
        <v>14</v>
      </c>
      <c r="F13" s="80">
        <v>8205</v>
      </c>
      <c r="G13" s="80" t="s">
        <v>232</v>
      </c>
      <c r="H13" s="80" t="s">
        <v>14</v>
      </c>
      <c r="I13" s="132" t="s">
        <v>380</v>
      </c>
      <c r="J13" s="51" t="s">
        <v>43</v>
      </c>
      <c r="K13" s="51" t="s">
        <v>220</v>
      </c>
      <c r="L13" s="128">
        <v>42647</v>
      </c>
      <c r="M13" s="54" t="s">
        <v>121</v>
      </c>
      <c r="N13" s="54" t="s">
        <v>9</v>
      </c>
      <c r="O13" s="76">
        <v>42706</v>
      </c>
      <c r="P13" s="76" t="s">
        <v>261</v>
      </c>
      <c r="Q13" s="81">
        <v>187</v>
      </c>
      <c r="R13" s="76" t="s">
        <v>99</v>
      </c>
      <c r="S13" s="54">
        <v>1055</v>
      </c>
      <c r="T13" s="54" t="s">
        <v>100</v>
      </c>
      <c r="U13" s="51" t="s">
        <v>105</v>
      </c>
      <c r="V13" s="129">
        <v>1.06</v>
      </c>
      <c r="W13" s="51">
        <v>1</v>
      </c>
      <c r="X13" s="51" t="s">
        <v>138</v>
      </c>
      <c r="Y13" s="51" t="s">
        <v>31</v>
      </c>
      <c r="Z13" s="129">
        <v>0.53</v>
      </c>
      <c r="AA13" s="129">
        <v>0.53</v>
      </c>
    </row>
    <row r="14" spans="1:28" x14ac:dyDescent="0.25">
      <c r="A14" s="51" t="s">
        <v>102</v>
      </c>
      <c r="B14" s="51" t="s">
        <v>131</v>
      </c>
      <c r="C14" s="80">
        <v>8520</v>
      </c>
      <c r="D14" s="80" t="s">
        <v>186</v>
      </c>
      <c r="E14" s="80" t="s">
        <v>15</v>
      </c>
      <c r="F14" s="80">
        <v>95</v>
      </c>
      <c r="G14" s="80" t="s">
        <v>110</v>
      </c>
      <c r="H14" s="80" t="s">
        <v>18</v>
      </c>
      <c r="I14" s="132" t="s">
        <v>111</v>
      </c>
      <c r="J14" s="51" t="s">
        <v>52</v>
      </c>
      <c r="K14" s="51" t="s">
        <v>132</v>
      </c>
      <c r="L14" s="128">
        <v>41452</v>
      </c>
      <c r="M14" s="54" t="s">
        <v>109</v>
      </c>
      <c r="N14" s="54" t="s">
        <v>10</v>
      </c>
      <c r="O14" s="76">
        <v>42433</v>
      </c>
      <c r="P14" s="76" t="s">
        <v>205</v>
      </c>
      <c r="Q14" s="81">
        <v>460</v>
      </c>
      <c r="R14" s="76" t="s">
        <v>252</v>
      </c>
      <c r="S14" s="54">
        <v>-6183.5</v>
      </c>
      <c r="T14" s="54" t="s">
        <v>100</v>
      </c>
      <c r="U14" s="51" t="s">
        <v>101</v>
      </c>
      <c r="V14" s="129">
        <v>-6.18</v>
      </c>
      <c r="W14" s="51">
        <v>1</v>
      </c>
      <c r="X14" s="51" t="s">
        <v>133</v>
      </c>
      <c r="Y14" s="51" t="s">
        <v>32</v>
      </c>
      <c r="Z14" s="129">
        <v>-1.5449999999999999</v>
      </c>
      <c r="AA14" s="129">
        <v>-4.6349999999999998</v>
      </c>
    </row>
    <row r="15" spans="1:28" x14ac:dyDescent="0.25">
      <c r="A15" s="51" t="s">
        <v>102</v>
      </c>
      <c r="B15" s="51" t="s">
        <v>262</v>
      </c>
      <c r="C15" s="80">
        <v>692</v>
      </c>
      <c r="D15" s="80" t="s">
        <v>174</v>
      </c>
      <c r="E15" s="80" t="s">
        <v>21</v>
      </c>
      <c r="F15" s="80">
        <v>3014</v>
      </c>
      <c r="G15" s="80" t="s">
        <v>108</v>
      </c>
      <c r="H15" s="80" t="s">
        <v>21</v>
      </c>
      <c r="I15" s="132" t="s">
        <v>389</v>
      </c>
      <c r="J15" s="51" t="s">
        <v>37</v>
      </c>
      <c r="K15" s="51" t="s">
        <v>225</v>
      </c>
      <c r="L15" s="128">
        <v>42573</v>
      </c>
      <c r="M15" s="54" t="s">
        <v>117</v>
      </c>
      <c r="N15" s="54" t="s">
        <v>118</v>
      </c>
      <c r="O15" s="76">
        <v>42648</v>
      </c>
      <c r="P15" s="76" t="s">
        <v>206</v>
      </c>
      <c r="Q15" s="81">
        <v>245</v>
      </c>
      <c r="R15" s="76" t="s">
        <v>99</v>
      </c>
      <c r="S15" s="54">
        <v>-6278.4</v>
      </c>
      <c r="T15" s="54" t="s">
        <v>100</v>
      </c>
      <c r="U15" s="51" t="s">
        <v>105</v>
      </c>
      <c r="V15" s="129">
        <v>-6.28</v>
      </c>
      <c r="W15" s="51">
        <v>1</v>
      </c>
      <c r="X15" s="51" t="s">
        <v>13</v>
      </c>
      <c r="Y15" s="51" t="s">
        <v>31</v>
      </c>
      <c r="Z15" s="129">
        <v>-3.14</v>
      </c>
      <c r="AA15" s="129">
        <v>-3.14</v>
      </c>
    </row>
    <row r="16" spans="1:28" x14ac:dyDescent="0.25">
      <c r="A16" s="51" t="s">
        <v>102</v>
      </c>
      <c r="B16" s="51" t="s">
        <v>262</v>
      </c>
      <c r="C16" s="80">
        <v>95</v>
      </c>
      <c r="D16" s="80" t="s">
        <v>110</v>
      </c>
      <c r="E16" s="80" t="s">
        <v>18</v>
      </c>
      <c r="F16" s="80">
        <v>692</v>
      </c>
      <c r="G16" s="80" t="s">
        <v>174</v>
      </c>
      <c r="H16" s="80" t="s">
        <v>21</v>
      </c>
      <c r="I16" s="132" t="s">
        <v>407</v>
      </c>
      <c r="J16" s="51" t="s">
        <v>45</v>
      </c>
      <c r="K16" s="51" t="s">
        <v>136</v>
      </c>
      <c r="L16" s="128">
        <v>42577</v>
      </c>
      <c r="M16" s="54" t="s">
        <v>98</v>
      </c>
      <c r="N16" s="54" t="s">
        <v>9</v>
      </c>
      <c r="O16" s="76">
        <v>42648</v>
      </c>
      <c r="P16" s="76" t="s">
        <v>206</v>
      </c>
      <c r="Q16" s="81">
        <v>245</v>
      </c>
      <c r="R16" s="76" t="s">
        <v>99</v>
      </c>
      <c r="S16" s="54">
        <v>10276.799999999999</v>
      </c>
      <c r="T16" s="54" t="s">
        <v>100</v>
      </c>
      <c r="U16" s="51" t="s">
        <v>101</v>
      </c>
      <c r="V16" s="129">
        <v>10.28</v>
      </c>
      <c r="W16" s="51">
        <v>1</v>
      </c>
      <c r="X16" s="51" t="s">
        <v>135</v>
      </c>
      <c r="Y16" s="51" t="s">
        <v>30</v>
      </c>
      <c r="Z16" s="129">
        <v>10.28</v>
      </c>
      <c r="AA16" s="129">
        <v>0</v>
      </c>
    </row>
    <row r="17" spans="1:27" x14ac:dyDescent="0.25">
      <c r="A17" s="51" t="s">
        <v>102</v>
      </c>
      <c r="B17" s="51" t="s">
        <v>223</v>
      </c>
      <c r="C17" s="80">
        <v>95</v>
      </c>
      <c r="D17" s="80" t="s">
        <v>110</v>
      </c>
      <c r="E17" s="80" t="s">
        <v>18</v>
      </c>
      <c r="F17" s="80">
        <v>199</v>
      </c>
      <c r="G17" s="80" t="s">
        <v>124</v>
      </c>
      <c r="H17" s="80" t="s">
        <v>20</v>
      </c>
      <c r="I17" s="132" t="s">
        <v>408</v>
      </c>
      <c r="J17" s="51" t="s">
        <v>45</v>
      </c>
      <c r="K17" s="51" t="s">
        <v>136</v>
      </c>
      <c r="L17" s="128">
        <v>42584</v>
      </c>
      <c r="M17" s="54" t="s">
        <v>98</v>
      </c>
      <c r="N17" s="54" t="s">
        <v>9</v>
      </c>
      <c r="O17" s="76">
        <v>42585</v>
      </c>
      <c r="P17" s="76" t="s">
        <v>206</v>
      </c>
      <c r="Q17" s="81">
        <v>308</v>
      </c>
      <c r="R17" s="76" t="s">
        <v>99</v>
      </c>
      <c r="S17" s="54">
        <v>-52263.99</v>
      </c>
      <c r="T17" s="54" t="s">
        <v>100</v>
      </c>
      <c r="U17" s="51" t="s">
        <v>101</v>
      </c>
      <c r="V17" s="129">
        <v>-52.26</v>
      </c>
      <c r="W17" s="51">
        <v>1</v>
      </c>
      <c r="X17" s="51" t="s">
        <v>135</v>
      </c>
      <c r="Y17" s="51" t="s">
        <v>30</v>
      </c>
      <c r="Z17" s="129">
        <v>-52.26</v>
      </c>
      <c r="AA17" s="129">
        <v>0</v>
      </c>
    </row>
    <row r="18" spans="1:27" x14ac:dyDescent="0.25">
      <c r="A18" s="51" t="s">
        <v>102</v>
      </c>
      <c r="B18" s="51" t="s">
        <v>223</v>
      </c>
      <c r="C18" s="80">
        <v>95</v>
      </c>
      <c r="D18" s="80" t="s">
        <v>110</v>
      </c>
      <c r="E18" s="80" t="s">
        <v>18</v>
      </c>
      <c r="F18" s="80">
        <v>199</v>
      </c>
      <c r="G18" s="80" t="s">
        <v>124</v>
      </c>
      <c r="H18" s="80" t="s">
        <v>20</v>
      </c>
      <c r="I18" s="132" t="s">
        <v>409</v>
      </c>
      <c r="J18" s="51" t="s">
        <v>45</v>
      </c>
      <c r="K18" s="51" t="s">
        <v>136</v>
      </c>
      <c r="L18" s="128">
        <v>42584</v>
      </c>
      <c r="M18" s="54" t="s">
        <v>98</v>
      </c>
      <c r="N18" s="54" t="s">
        <v>9</v>
      </c>
      <c r="O18" s="76">
        <v>42585</v>
      </c>
      <c r="P18" s="76" t="s">
        <v>206</v>
      </c>
      <c r="Q18" s="81">
        <v>308</v>
      </c>
      <c r="R18" s="76" t="s">
        <v>99</v>
      </c>
      <c r="S18" s="54">
        <v>-20300</v>
      </c>
      <c r="T18" s="54" t="s">
        <v>100</v>
      </c>
      <c r="U18" s="51" t="s">
        <v>101</v>
      </c>
      <c r="V18" s="129">
        <v>-20.3</v>
      </c>
      <c r="W18" s="51">
        <v>1</v>
      </c>
      <c r="X18" s="51" t="s">
        <v>135</v>
      </c>
      <c r="Y18" s="51" t="s">
        <v>30</v>
      </c>
      <c r="Z18" s="129">
        <v>-20.3</v>
      </c>
      <c r="AA18" s="129">
        <v>0</v>
      </c>
    </row>
    <row r="19" spans="1:27" x14ac:dyDescent="0.25">
      <c r="A19" s="51" t="s">
        <v>102</v>
      </c>
      <c r="B19" s="51" t="s">
        <v>262</v>
      </c>
      <c r="C19" s="80">
        <v>635</v>
      </c>
      <c r="D19" s="80" t="s">
        <v>187</v>
      </c>
      <c r="E19" s="80" t="s">
        <v>21</v>
      </c>
      <c r="F19" s="80">
        <v>692</v>
      </c>
      <c r="G19" s="80" t="s">
        <v>174</v>
      </c>
      <c r="H19" s="80" t="s">
        <v>21</v>
      </c>
      <c r="I19" s="132" t="s">
        <v>411</v>
      </c>
      <c r="J19" s="51" t="s">
        <v>56</v>
      </c>
      <c r="K19" s="51" t="s">
        <v>247</v>
      </c>
      <c r="L19" s="128">
        <v>42614</v>
      </c>
      <c r="M19" s="54" t="s">
        <v>109</v>
      </c>
      <c r="N19" s="54" t="s">
        <v>10</v>
      </c>
      <c r="O19" s="76">
        <v>42648</v>
      </c>
      <c r="P19" s="76" t="s">
        <v>206</v>
      </c>
      <c r="Q19" s="81">
        <v>245</v>
      </c>
      <c r="R19" s="76" t="s">
        <v>99</v>
      </c>
      <c r="S19" s="54">
        <v>-13288.7</v>
      </c>
      <c r="T19" s="54" t="s">
        <v>100</v>
      </c>
      <c r="U19" s="51" t="s">
        <v>105</v>
      </c>
      <c r="V19" s="129">
        <v>-13.29</v>
      </c>
      <c r="W19" s="51">
        <v>1</v>
      </c>
      <c r="X19" s="51" t="s">
        <v>133</v>
      </c>
      <c r="Y19" s="51" t="s">
        <v>32</v>
      </c>
      <c r="Z19" s="129">
        <v>-3.3224999999999998</v>
      </c>
      <c r="AA19" s="129">
        <v>-9.9674999999999994</v>
      </c>
    </row>
    <row r="20" spans="1:27" x14ac:dyDescent="0.25">
      <c r="A20" s="51" t="s">
        <v>102</v>
      </c>
      <c r="B20" s="51" t="s">
        <v>253</v>
      </c>
      <c r="C20" s="80">
        <v>635</v>
      </c>
      <c r="D20" s="80" t="s">
        <v>187</v>
      </c>
      <c r="E20" s="80" t="s">
        <v>21</v>
      </c>
      <c r="F20" s="80">
        <v>1350</v>
      </c>
      <c r="G20" s="80" t="s">
        <v>115</v>
      </c>
      <c r="H20" s="80" t="s">
        <v>19</v>
      </c>
      <c r="I20" s="132" t="s">
        <v>376</v>
      </c>
      <c r="J20" s="51" t="s">
        <v>39</v>
      </c>
      <c r="K20" s="51" t="s">
        <v>217</v>
      </c>
      <c r="L20" s="128">
        <v>42543</v>
      </c>
      <c r="M20" s="54" t="s">
        <v>117</v>
      </c>
      <c r="N20" s="54" t="s">
        <v>118</v>
      </c>
      <c r="O20" s="76">
        <v>42618</v>
      </c>
      <c r="P20" s="76" t="s">
        <v>206</v>
      </c>
      <c r="Q20" s="81">
        <v>275</v>
      </c>
      <c r="R20" s="76" t="s">
        <v>99</v>
      </c>
      <c r="S20" s="54">
        <v>12129.08</v>
      </c>
      <c r="T20" s="54" t="s">
        <v>100</v>
      </c>
      <c r="U20" s="51" t="s">
        <v>101</v>
      </c>
      <c r="V20" s="129">
        <v>12.13</v>
      </c>
      <c r="W20" s="51">
        <v>1</v>
      </c>
      <c r="X20" s="51" t="s">
        <v>13</v>
      </c>
      <c r="Y20" s="51" t="s">
        <v>31</v>
      </c>
      <c r="Z20" s="129">
        <v>6.0650000000000004</v>
      </c>
      <c r="AA20" s="129">
        <v>6.0650000000000004</v>
      </c>
    </row>
    <row r="21" spans="1:27" x14ac:dyDescent="0.25">
      <c r="A21" s="51" t="s">
        <v>96</v>
      </c>
      <c r="B21" s="51" t="s">
        <v>96</v>
      </c>
      <c r="C21" s="80">
        <v>693</v>
      </c>
      <c r="D21" s="80" t="s">
        <v>190</v>
      </c>
      <c r="E21" s="80" t="s">
        <v>21</v>
      </c>
      <c r="F21" s="80">
        <v>95</v>
      </c>
      <c r="G21" s="80" t="s">
        <v>110</v>
      </c>
      <c r="H21" s="80" t="s">
        <v>18</v>
      </c>
      <c r="I21" s="132" t="s">
        <v>381</v>
      </c>
      <c r="J21" s="51" t="s">
        <v>43</v>
      </c>
      <c r="K21" s="51" t="s">
        <v>246</v>
      </c>
      <c r="L21" s="128">
        <v>42636</v>
      </c>
      <c r="M21" s="54" t="s">
        <v>122</v>
      </c>
      <c r="N21" s="54" t="s">
        <v>9</v>
      </c>
      <c r="O21" s="76">
        <v>42706</v>
      </c>
      <c r="P21" s="76" t="s">
        <v>261</v>
      </c>
      <c r="Q21" s="81">
        <v>187</v>
      </c>
      <c r="R21" s="76" t="s">
        <v>99</v>
      </c>
      <c r="S21" s="54">
        <v>-6191.64</v>
      </c>
      <c r="T21" s="54" t="s">
        <v>100</v>
      </c>
      <c r="U21" s="51" t="s">
        <v>101</v>
      </c>
      <c r="V21" s="129">
        <v>-6.19</v>
      </c>
      <c r="W21" s="51">
        <v>1</v>
      </c>
      <c r="X21" s="51" t="s">
        <v>140</v>
      </c>
      <c r="Y21" s="51" t="s">
        <v>31</v>
      </c>
      <c r="Z21" s="129">
        <v>-3.0950000000000002</v>
      </c>
      <c r="AA21" s="129">
        <v>-3.0950000000000002</v>
      </c>
    </row>
    <row r="22" spans="1:27" x14ac:dyDescent="0.25">
      <c r="A22" s="51" t="s">
        <v>96</v>
      </c>
      <c r="B22" s="51" t="s">
        <v>96</v>
      </c>
      <c r="C22" s="80">
        <v>95</v>
      </c>
      <c r="D22" s="80" t="s">
        <v>110</v>
      </c>
      <c r="E22" s="80" t="s">
        <v>18</v>
      </c>
      <c r="F22" s="80">
        <v>8110</v>
      </c>
      <c r="G22" s="80" t="s">
        <v>97</v>
      </c>
      <c r="H22" s="80" t="s">
        <v>25</v>
      </c>
      <c r="I22" s="132" t="s">
        <v>410</v>
      </c>
      <c r="J22" s="51" t="s">
        <v>45</v>
      </c>
      <c r="K22" s="51" t="s">
        <v>136</v>
      </c>
      <c r="L22" s="128">
        <v>42642</v>
      </c>
      <c r="M22" s="54" t="s">
        <v>98</v>
      </c>
      <c r="N22" s="54" t="s">
        <v>9</v>
      </c>
      <c r="O22" s="76">
        <v>42709</v>
      </c>
      <c r="P22" s="76" t="s">
        <v>261</v>
      </c>
      <c r="Q22" s="81">
        <v>184</v>
      </c>
      <c r="R22" s="76" t="s">
        <v>99</v>
      </c>
      <c r="S22" s="54">
        <v>32391.5</v>
      </c>
      <c r="T22" s="54" t="s">
        <v>100</v>
      </c>
      <c r="U22" s="51" t="s">
        <v>101</v>
      </c>
      <c r="V22" s="129">
        <v>32.39</v>
      </c>
      <c r="W22" s="51">
        <v>1</v>
      </c>
      <c r="X22" s="51" t="s">
        <v>135</v>
      </c>
      <c r="Y22" s="51" t="s">
        <v>30</v>
      </c>
      <c r="Z22" s="129">
        <v>32.39</v>
      </c>
      <c r="AA22" s="129">
        <v>0</v>
      </c>
    </row>
    <row r="23" spans="1:27" x14ac:dyDescent="0.25">
      <c r="A23" s="51" t="s">
        <v>102</v>
      </c>
      <c r="B23" s="51" t="s">
        <v>262</v>
      </c>
      <c r="C23" s="80">
        <v>95</v>
      </c>
      <c r="D23" s="80" t="s">
        <v>110</v>
      </c>
      <c r="E23" s="80" t="s">
        <v>18</v>
      </c>
      <c r="F23" s="80">
        <v>8520</v>
      </c>
      <c r="G23" s="80" t="s">
        <v>186</v>
      </c>
      <c r="H23" s="80" t="s">
        <v>15</v>
      </c>
      <c r="I23" s="132" t="s">
        <v>226</v>
      </c>
      <c r="J23" s="51" t="s">
        <v>45</v>
      </c>
      <c r="K23" s="51" t="s">
        <v>136</v>
      </c>
      <c r="L23" s="128">
        <v>42649</v>
      </c>
      <c r="M23" s="54" t="s">
        <v>121</v>
      </c>
      <c r="N23" s="54" t="s">
        <v>9</v>
      </c>
      <c r="O23" s="76">
        <v>42649</v>
      </c>
      <c r="P23" s="76" t="s">
        <v>206</v>
      </c>
      <c r="Q23" s="81">
        <v>244</v>
      </c>
      <c r="R23" s="76" t="s">
        <v>99</v>
      </c>
      <c r="S23" s="54">
        <v>108349.32</v>
      </c>
      <c r="T23" s="54" t="s">
        <v>100</v>
      </c>
      <c r="U23" s="51" t="s">
        <v>101</v>
      </c>
      <c r="V23" s="129">
        <v>108.35</v>
      </c>
      <c r="W23" s="51">
        <v>1</v>
      </c>
      <c r="X23" s="51" t="s">
        <v>138</v>
      </c>
      <c r="Y23" s="51" t="s">
        <v>31</v>
      </c>
      <c r="Z23" s="129">
        <v>54.174999999999997</v>
      </c>
      <c r="AA23" s="129">
        <v>54.174999999999997</v>
      </c>
    </row>
    <row r="24" spans="1:27" x14ac:dyDescent="0.25">
      <c r="A24" s="51" t="s">
        <v>102</v>
      </c>
      <c r="B24" s="51" t="s">
        <v>262</v>
      </c>
      <c r="C24" s="80">
        <v>95</v>
      </c>
      <c r="D24" s="80" t="s">
        <v>110</v>
      </c>
      <c r="E24" s="80" t="s">
        <v>18</v>
      </c>
      <c r="F24" s="80">
        <v>8520</v>
      </c>
      <c r="G24" s="80" t="s">
        <v>186</v>
      </c>
      <c r="H24" s="80" t="s">
        <v>15</v>
      </c>
      <c r="I24" s="132" t="s">
        <v>227</v>
      </c>
      <c r="J24" s="51" t="s">
        <v>45</v>
      </c>
      <c r="K24" s="51" t="s">
        <v>136</v>
      </c>
      <c r="L24" s="128">
        <v>42649</v>
      </c>
      <c r="M24" s="54" t="s">
        <v>121</v>
      </c>
      <c r="N24" s="54" t="s">
        <v>9</v>
      </c>
      <c r="O24" s="76">
        <v>42649</v>
      </c>
      <c r="P24" s="76" t="s">
        <v>206</v>
      </c>
      <c r="Q24" s="81">
        <v>244</v>
      </c>
      <c r="R24" s="76" t="s">
        <v>99</v>
      </c>
      <c r="S24" s="54">
        <v>152869.15</v>
      </c>
      <c r="T24" s="54" t="s">
        <v>100</v>
      </c>
      <c r="U24" s="51" t="s">
        <v>101</v>
      </c>
      <c r="V24" s="129">
        <v>152.87</v>
      </c>
      <c r="W24" s="51">
        <v>1</v>
      </c>
      <c r="X24" s="51" t="s">
        <v>138</v>
      </c>
      <c r="Y24" s="51" t="s">
        <v>31</v>
      </c>
      <c r="Z24" s="129">
        <v>76.435000000000002</v>
      </c>
      <c r="AA24" s="129">
        <v>76.435000000000002</v>
      </c>
    </row>
    <row r="25" spans="1:27" x14ac:dyDescent="0.25">
      <c r="A25" s="51" t="s">
        <v>102</v>
      </c>
      <c r="B25" s="51" t="s">
        <v>262</v>
      </c>
      <c r="C25" s="80">
        <v>3036</v>
      </c>
      <c r="D25" s="80" t="s">
        <v>228</v>
      </c>
      <c r="E25" s="80" t="s">
        <v>17</v>
      </c>
      <c r="F25" s="80">
        <v>5502</v>
      </c>
      <c r="G25" s="80" t="s">
        <v>229</v>
      </c>
      <c r="H25" s="80" t="s">
        <v>17</v>
      </c>
      <c r="I25" s="132" t="s">
        <v>230</v>
      </c>
      <c r="J25" s="51" t="s">
        <v>58</v>
      </c>
      <c r="K25" s="51" t="s">
        <v>248</v>
      </c>
      <c r="L25" s="128">
        <v>42647</v>
      </c>
      <c r="M25" s="54" t="s">
        <v>117</v>
      </c>
      <c r="N25" s="54" t="s">
        <v>118</v>
      </c>
      <c r="O25" s="76">
        <v>42649</v>
      </c>
      <c r="P25" s="76" t="s">
        <v>206</v>
      </c>
      <c r="Q25" s="81">
        <v>244</v>
      </c>
      <c r="R25" s="76" t="s">
        <v>99</v>
      </c>
      <c r="S25" s="54">
        <v>13104</v>
      </c>
      <c r="T25" s="54" t="s">
        <v>116</v>
      </c>
      <c r="U25" s="51" t="s">
        <v>105</v>
      </c>
      <c r="V25" s="129">
        <v>15</v>
      </c>
      <c r="W25" s="51">
        <v>1</v>
      </c>
      <c r="X25" s="51" t="s">
        <v>13</v>
      </c>
      <c r="Y25" s="51" t="s">
        <v>31</v>
      </c>
      <c r="Z25" s="129">
        <v>7.5</v>
      </c>
      <c r="AA25" s="129">
        <v>7.5</v>
      </c>
    </row>
    <row r="26" spans="1:27" x14ac:dyDescent="0.25">
      <c r="A26" s="51" t="s">
        <v>96</v>
      </c>
      <c r="B26" s="51" t="s">
        <v>96</v>
      </c>
      <c r="C26" s="80">
        <v>260</v>
      </c>
      <c r="D26" s="80" t="s">
        <v>114</v>
      </c>
      <c r="E26" s="80" t="s">
        <v>17</v>
      </c>
      <c r="F26" s="80">
        <v>95</v>
      </c>
      <c r="G26" s="80" t="s">
        <v>110</v>
      </c>
      <c r="H26" s="80" t="s">
        <v>18</v>
      </c>
      <c r="I26" s="132" t="s">
        <v>412</v>
      </c>
      <c r="J26" s="51" t="s">
        <v>56</v>
      </c>
      <c r="K26" s="51" t="s">
        <v>269</v>
      </c>
      <c r="L26" s="128">
        <v>42646</v>
      </c>
      <c r="M26" s="54" t="s">
        <v>109</v>
      </c>
      <c r="N26" s="54" t="s">
        <v>10</v>
      </c>
      <c r="O26" s="76">
        <v>42709</v>
      </c>
      <c r="P26" s="76" t="s">
        <v>261</v>
      </c>
      <c r="Q26" s="81">
        <v>184</v>
      </c>
      <c r="R26" s="76" t="s">
        <v>99</v>
      </c>
      <c r="S26" s="54">
        <v>45011.25</v>
      </c>
      <c r="T26" s="54" t="s">
        <v>116</v>
      </c>
      <c r="U26" s="51" t="s">
        <v>101</v>
      </c>
      <c r="V26" s="129">
        <v>51.52</v>
      </c>
      <c r="W26" s="51">
        <v>1</v>
      </c>
      <c r="X26" s="51" t="s">
        <v>133</v>
      </c>
      <c r="Y26" s="51" t="s">
        <v>32</v>
      </c>
      <c r="Z26" s="129">
        <v>12.88</v>
      </c>
      <c r="AA26" s="129">
        <v>38.64</v>
      </c>
    </row>
    <row r="27" spans="1:27" x14ac:dyDescent="0.25">
      <c r="A27" s="51" t="s">
        <v>96</v>
      </c>
      <c r="B27" s="51" t="s">
        <v>96</v>
      </c>
      <c r="C27" s="80">
        <v>260</v>
      </c>
      <c r="D27" s="80" t="s">
        <v>114</v>
      </c>
      <c r="E27" s="80" t="s">
        <v>17</v>
      </c>
      <c r="F27" s="80">
        <v>95</v>
      </c>
      <c r="G27" s="80" t="s">
        <v>110</v>
      </c>
      <c r="H27" s="80" t="s">
        <v>18</v>
      </c>
      <c r="I27" s="132" t="s">
        <v>413</v>
      </c>
      <c r="J27" s="51" t="s">
        <v>56</v>
      </c>
      <c r="K27" s="51" t="s">
        <v>270</v>
      </c>
      <c r="L27" s="128">
        <v>42646</v>
      </c>
      <c r="M27" s="54" t="s">
        <v>109</v>
      </c>
      <c r="N27" s="54" t="s">
        <v>10</v>
      </c>
      <c r="O27" s="76">
        <v>42709</v>
      </c>
      <c r="P27" s="76" t="s">
        <v>261</v>
      </c>
      <c r="Q27" s="81">
        <v>184</v>
      </c>
      <c r="R27" s="76" t="s">
        <v>99</v>
      </c>
      <c r="S27" s="54">
        <v>11151.4</v>
      </c>
      <c r="T27" s="54" t="s">
        <v>116</v>
      </c>
      <c r="U27" s="51" t="s">
        <v>101</v>
      </c>
      <c r="V27" s="129">
        <v>12.76</v>
      </c>
      <c r="W27" s="51">
        <v>1</v>
      </c>
      <c r="X27" s="51" t="s">
        <v>133</v>
      </c>
      <c r="Y27" s="51" t="s">
        <v>32</v>
      </c>
      <c r="Z27" s="129">
        <v>3.19</v>
      </c>
      <c r="AA27" s="129">
        <v>9.57</v>
      </c>
    </row>
    <row r="28" spans="1:27" x14ac:dyDescent="0.25">
      <c r="A28" s="51" t="s">
        <v>96</v>
      </c>
      <c r="B28" s="51" t="s">
        <v>96</v>
      </c>
      <c r="C28" s="80">
        <v>260</v>
      </c>
      <c r="D28" s="80" t="s">
        <v>114</v>
      </c>
      <c r="E28" s="80" t="s">
        <v>17</v>
      </c>
      <c r="F28" s="80">
        <v>95</v>
      </c>
      <c r="G28" s="80" t="s">
        <v>110</v>
      </c>
      <c r="H28" s="80" t="s">
        <v>18</v>
      </c>
      <c r="I28" s="132" t="s">
        <v>414</v>
      </c>
      <c r="J28" s="51" t="s">
        <v>56</v>
      </c>
      <c r="K28" s="51" t="s">
        <v>270</v>
      </c>
      <c r="L28" s="128">
        <v>42646</v>
      </c>
      <c r="M28" s="54" t="s">
        <v>109</v>
      </c>
      <c r="N28" s="54" t="s">
        <v>10</v>
      </c>
      <c r="O28" s="76">
        <v>42709</v>
      </c>
      <c r="P28" s="76" t="s">
        <v>261</v>
      </c>
      <c r="Q28" s="81">
        <v>184</v>
      </c>
      <c r="R28" s="76" t="s">
        <v>99</v>
      </c>
      <c r="S28" s="54">
        <v>22804.86</v>
      </c>
      <c r="T28" s="54" t="s">
        <v>116</v>
      </c>
      <c r="U28" s="51" t="s">
        <v>101</v>
      </c>
      <c r="V28" s="129">
        <v>26.1</v>
      </c>
      <c r="W28" s="51">
        <v>1</v>
      </c>
      <c r="X28" s="51" t="s">
        <v>133</v>
      </c>
      <c r="Y28" s="51" t="s">
        <v>32</v>
      </c>
      <c r="Z28" s="129">
        <v>6.5250000000000004</v>
      </c>
      <c r="AA28" s="129">
        <v>19.575000000000003</v>
      </c>
    </row>
    <row r="29" spans="1:27" x14ac:dyDescent="0.25">
      <c r="A29" s="51" t="s">
        <v>96</v>
      </c>
      <c r="B29" s="51" t="s">
        <v>96</v>
      </c>
      <c r="C29" s="80">
        <v>8520</v>
      </c>
      <c r="D29" s="80" t="s">
        <v>186</v>
      </c>
      <c r="E29" s="80" t="s">
        <v>15</v>
      </c>
      <c r="F29" s="80">
        <v>8110</v>
      </c>
      <c r="G29" s="80" t="s">
        <v>97</v>
      </c>
      <c r="H29" s="80" t="s">
        <v>25</v>
      </c>
      <c r="I29" s="132" t="s">
        <v>415</v>
      </c>
      <c r="J29" s="51" t="s">
        <v>56</v>
      </c>
      <c r="K29" s="51" t="s">
        <v>271</v>
      </c>
      <c r="L29" s="128">
        <v>42704</v>
      </c>
      <c r="M29" s="54" t="s">
        <v>98</v>
      </c>
      <c r="N29" s="54" t="s">
        <v>9</v>
      </c>
      <c r="O29" s="76">
        <v>42709</v>
      </c>
      <c r="P29" s="76" t="s">
        <v>261</v>
      </c>
      <c r="Q29" s="81">
        <v>184</v>
      </c>
      <c r="R29" s="76" t="s">
        <v>99</v>
      </c>
      <c r="S29" s="54">
        <v>52766</v>
      </c>
      <c r="T29" s="54" t="s">
        <v>119</v>
      </c>
      <c r="U29" s="51" t="s">
        <v>101</v>
      </c>
      <c r="V29" s="129">
        <v>0.73</v>
      </c>
      <c r="W29" s="51">
        <v>1</v>
      </c>
      <c r="X29" s="51" t="s">
        <v>135</v>
      </c>
      <c r="Y29" s="51" t="s">
        <v>30</v>
      </c>
      <c r="Z29" s="129">
        <v>0.73</v>
      </c>
      <c r="AA29" s="129">
        <v>0</v>
      </c>
    </row>
    <row r="30" spans="1:27" x14ac:dyDescent="0.25">
      <c r="A30" s="51" t="s">
        <v>96</v>
      </c>
      <c r="B30" s="51" t="s">
        <v>96</v>
      </c>
      <c r="C30" s="80">
        <v>8520</v>
      </c>
      <c r="D30" s="80" t="s">
        <v>186</v>
      </c>
      <c r="E30" s="80" t="s">
        <v>15</v>
      </c>
      <c r="F30" s="80">
        <v>8110</v>
      </c>
      <c r="G30" s="80" t="s">
        <v>97</v>
      </c>
      <c r="H30" s="80" t="s">
        <v>25</v>
      </c>
      <c r="I30" s="132" t="s">
        <v>416</v>
      </c>
      <c r="J30" s="51" t="s">
        <v>56</v>
      </c>
      <c r="K30" s="51" t="s">
        <v>271</v>
      </c>
      <c r="L30" s="128">
        <v>42704</v>
      </c>
      <c r="M30" s="54" t="s">
        <v>98</v>
      </c>
      <c r="N30" s="54" t="s">
        <v>9</v>
      </c>
      <c r="O30" s="76">
        <v>42709</v>
      </c>
      <c r="P30" s="76" t="s">
        <v>261</v>
      </c>
      <c r="Q30" s="81">
        <v>184</v>
      </c>
      <c r="R30" s="76" t="s">
        <v>99</v>
      </c>
      <c r="S30" s="54">
        <v>14817</v>
      </c>
      <c r="T30" s="54" t="s">
        <v>119</v>
      </c>
      <c r="U30" s="51" t="s">
        <v>101</v>
      </c>
      <c r="V30" s="129">
        <v>0.2</v>
      </c>
      <c r="W30" s="51">
        <v>1</v>
      </c>
      <c r="X30" s="51" t="s">
        <v>135</v>
      </c>
      <c r="Y30" s="51" t="s">
        <v>30</v>
      </c>
      <c r="Z30" s="129">
        <v>0.2</v>
      </c>
      <c r="AA30" s="129">
        <v>0</v>
      </c>
    </row>
    <row r="31" spans="1:27" x14ac:dyDescent="0.25">
      <c r="A31" s="51" t="s">
        <v>96</v>
      </c>
      <c r="B31" s="51" t="s">
        <v>96</v>
      </c>
      <c r="C31" s="80">
        <v>8520</v>
      </c>
      <c r="D31" s="80" t="s">
        <v>186</v>
      </c>
      <c r="E31" s="80" t="s">
        <v>15</v>
      </c>
      <c r="F31" s="80">
        <v>8110</v>
      </c>
      <c r="G31" s="80" t="s">
        <v>97</v>
      </c>
      <c r="H31" s="80" t="s">
        <v>25</v>
      </c>
      <c r="I31" s="132" t="s">
        <v>417</v>
      </c>
      <c r="J31" s="51" t="s">
        <v>56</v>
      </c>
      <c r="K31" s="51" t="s">
        <v>271</v>
      </c>
      <c r="L31" s="128">
        <v>42704</v>
      </c>
      <c r="M31" s="54" t="s">
        <v>98</v>
      </c>
      <c r="N31" s="54" t="s">
        <v>9</v>
      </c>
      <c r="O31" s="76">
        <v>42709</v>
      </c>
      <c r="P31" s="76" t="s">
        <v>261</v>
      </c>
      <c r="Q31" s="81">
        <v>184</v>
      </c>
      <c r="R31" s="76" t="s">
        <v>99</v>
      </c>
      <c r="S31" s="54">
        <v>62479</v>
      </c>
      <c r="T31" s="54" t="s">
        <v>119</v>
      </c>
      <c r="U31" s="51" t="s">
        <v>101</v>
      </c>
      <c r="V31" s="129">
        <v>0.86</v>
      </c>
      <c r="W31" s="51">
        <v>1</v>
      </c>
      <c r="X31" s="51" t="s">
        <v>135</v>
      </c>
      <c r="Y31" s="51" t="s">
        <v>30</v>
      </c>
      <c r="Z31" s="129">
        <v>0.86</v>
      </c>
      <c r="AA31" s="129">
        <v>0</v>
      </c>
    </row>
    <row r="32" spans="1:27" x14ac:dyDescent="0.25">
      <c r="A32" s="51" t="s">
        <v>96</v>
      </c>
      <c r="B32" s="51" t="s">
        <v>96</v>
      </c>
      <c r="C32" s="80">
        <v>8520</v>
      </c>
      <c r="D32" s="80" t="s">
        <v>186</v>
      </c>
      <c r="E32" s="80" t="s">
        <v>15</v>
      </c>
      <c r="F32" s="80">
        <v>3011</v>
      </c>
      <c r="G32" s="80" t="s">
        <v>106</v>
      </c>
      <c r="H32" s="80" t="s">
        <v>20</v>
      </c>
      <c r="I32" s="132" t="s">
        <v>424</v>
      </c>
      <c r="J32" s="51" t="s">
        <v>54</v>
      </c>
      <c r="K32" s="51" t="s">
        <v>137</v>
      </c>
      <c r="L32" s="128">
        <v>42676</v>
      </c>
      <c r="M32" s="54" t="s">
        <v>109</v>
      </c>
      <c r="N32" s="54" t="s">
        <v>10</v>
      </c>
      <c r="O32" s="76">
        <v>42709</v>
      </c>
      <c r="P32" s="76" t="s">
        <v>261</v>
      </c>
      <c r="Q32" s="81">
        <v>184</v>
      </c>
      <c r="R32" s="76" t="s">
        <v>99</v>
      </c>
      <c r="S32" s="54">
        <v>425956</v>
      </c>
      <c r="T32" s="54" t="s">
        <v>119</v>
      </c>
      <c r="U32" s="51" t="s">
        <v>101</v>
      </c>
      <c r="V32" s="129">
        <v>5.89</v>
      </c>
      <c r="W32" s="51">
        <v>1</v>
      </c>
      <c r="X32" s="51" t="s">
        <v>133</v>
      </c>
      <c r="Y32" s="51" t="s">
        <v>32</v>
      </c>
      <c r="Z32" s="129">
        <v>1.4724999999999999</v>
      </c>
      <c r="AA32" s="129">
        <v>4.4174999999999995</v>
      </c>
    </row>
    <row r="33" spans="1:27" x14ac:dyDescent="0.25">
      <c r="A33" s="51" t="s">
        <v>96</v>
      </c>
      <c r="B33" s="51" t="s">
        <v>96</v>
      </c>
      <c r="C33" s="80">
        <v>8520</v>
      </c>
      <c r="D33" s="80" t="s">
        <v>186</v>
      </c>
      <c r="E33" s="80" t="s">
        <v>15</v>
      </c>
      <c r="F33" s="80">
        <v>3011</v>
      </c>
      <c r="G33" s="80" t="s">
        <v>106</v>
      </c>
      <c r="H33" s="80" t="s">
        <v>20</v>
      </c>
      <c r="I33" s="132" t="s">
        <v>418</v>
      </c>
      <c r="J33" s="51" t="s">
        <v>56</v>
      </c>
      <c r="K33" s="51" t="s">
        <v>200</v>
      </c>
      <c r="L33" s="128">
        <v>42676</v>
      </c>
      <c r="M33" s="54" t="s">
        <v>98</v>
      </c>
      <c r="N33" s="54" t="s">
        <v>9</v>
      </c>
      <c r="O33" s="76">
        <v>42709</v>
      </c>
      <c r="P33" s="76" t="s">
        <v>261</v>
      </c>
      <c r="Q33" s="81">
        <v>184</v>
      </c>
      <c r="R33" s="76" t="s">
        <v>99</v>
      </c>
      <c r="S33" s="54">
        <v>647811.11</v>
      </c>
      <c r="T33" s="54" t="s">
        <v>119</v>
      </c>
      <c r="U33" s="51" t="s">
        <v>101</v>
      </c>
      <c r="V33" s="129">
        <v>8.9600000000000009</v>
      </c>
      <c r="W33" s="51">
        <v>1</v>
      </c>
      <c r="X33" s="51" t="s">
        <v>135</v>
      </c>
      <c r="Y33" s="51" t="s">
        <v>30</v>
      </c>
      <c r="Z33" s="129">
        <v>8.9600000000000009</v>
      </c>
      <c r="AA33" s="129">
        <v>0</v>
      </c>
    </row>
    <row r="34" spans="1:27" x14ac:dyDescent="0.25">
      <c r="A34" s="51" t="s">
        <v>96</v>
      </c>
      <c r="B34" s="51" t="s">
        <v>96</v>
      </c>
      <c r="C34" s="80">
        <v>8520</v>
      </c>
      <c r="D34" s="80" t="s">
        <v>186</v>
      </c>
      <c r="E34" s="80" t="s">
        <v>15</v>
      </c>
      <c r="F34" s="80">
        <v>787</v>
      </c>
      <c r="G34" s="80" t="s">
        <v>272</v>
      </c>
      <c r="H34" s="80" t="s">
        <v>21</v>
      </c>
      <c r="I34" s="132" t="s">
        <v>377</v>
      </c>
      <c r="J34" s="51" t="s">
        <v>39</v>
      </c>
      <c r="K34" s="51" t="s">
        <v>176</v>
      </c>
      <c r="L34" s="128">
        <v>42676</v>
      </c>
      <c r="M34" s="54" t="s">
        <v>117</v>
      </c>
      <c r="N34" s="54" t="s">
        <v>118</v>
      </c>
      <c r="O34" s="76">
        <v>42706</v>
      </c>
      <c r="P34" s="76" t="s">
        <v>261</v>
      </c>
      <c r="Q34" s="81">
        <v>187</v>
      </c>
      <c r="R34" s="76" t="s">
        <v>99</v>
      </c>
      <c r="S34" s="54">
        <v>419958</v>
      </c>
      <c r="T34" s="54" t="s">
        <v>119</v>
      </c>
      <c r="U34" s="51" t="s">
        <v>101</v>
      </c>
      <c r="V34" s="129">
        <v>5.81</v>
      </c>
      <c r="W34" s="51">
        <v>1</v>
      </c>
      <c r="X34" s="51" t="s">
        <v>13</v>
      </c>
      <c r="Y34" s="51" t="s">
        <v>31</v>
      </c>
      <c r="Z34" s="129">
        <v>2.9049999999999998</v>
      </c>
      <c r="AA34" s="129">
        <v>2.9049999999999998</v>
      </c>
    </row>
    <row r="35" spans="1:27" x14ac:dyDescent="0.25">
      <c r="A35" s="51" t="s">
        <v>96</v>
      </c>
      <c r="B35" s="51" t="s">
        <v>96</v>
      </c>
      <c r="C35" s="80">
        <v>8520</v>
      </c>
      <c r="D35" s="80" t="s">
        <v>186</v>
      </c>
      <c r="E35" s="80" t="s">
        <v>15</v>
      </c>
      <c r="F35" s="80">
        <v>199</v>
      </c>
      <c r="G35" s="80" t="s">
        <v>124</v>
      </c>
      <c r="H35" s="80" t="s">
        <v>20</v>
      </c>
      <c r="I35" s="132" t="s">
        <v>398</v>
      </c>
      <c r="J35" s="51" t="s">
        <v>47</v>
      </c>
      <c r="K35" s="51" t="s">
        <v>142</v>
      </c>
      <c r="L35" s="128">
        <v>42676</v>
      </c>
      <c r="M35" s="54" t="s">
        <v>109</v>
      </c>
      <c r="N35" s="54" t="s">
        <v>10</v>
      </c>
      <c r="O35" s="76">
        <v>42709</v>
      </c>
      <c r="P35" s="76" t="s">
        <v>261</v>
      </c>
      <c r="Q35" s="81">
        <v>184</v>
      </c>
      <c r="R35" s="76" t="s">
        <v>99</v>
      </c>
      <c r="S35" s="54">
        <v>44400</v>
      </c>
      <c r="T35" s="54" t="s">
        <v>119</v>
      </c>
      <c r="U35" s="51" t="s">
        <v>101</v>
      </c>
      <c r="V35" s="129">
        <v>0.61</v>
      </c>
      <c r="W35" s="51">
        <v>1</v>
      </c>
      <c r="X35" s="51" t="s">
        <v>133</v>
      </c>
      <c r="Y35" s="51" t="s">
        <v>32</v>
      </c>
      <c r="Z35" s="129">
        <v>0.1525</v>
      </c>
      <c r="AA35" s="129">
        <v>0.45750000000000002</v>
      </c>
    </row>
    <row r="36" spans="1:27" x14ac:dyDescent="0.25">
      <c r="A36" s="51" t="s">
        <v>96</v>
      </c>
      <c r="B36" s="51" t="s">
        <v>96</v>
      </c>
      <c r="C36" s="80">
        <v>8520</v>
      </c>
      <c r="D36" s="80" t="s">
        <v>186</v>
      </c>
      <c r="E36" s="80" t="s">
        <v>15</v>
      </c>
      <c r="F36" s="80">
        <v>3011</v>
      </c>
      <c r="G36" s="80" t="s">
        <v>106</v>
      </c>
      <c r="H36" s="80" t="s">
        <v>20</v>
      </c>
      <c r="I36" s="132" t="s">
        <v>313</v>
      </c>
      <c r="J36" s="51" t="s">
        <v>41</v>
      </c>
      <c r="K36" s="51" t="s">
        <v>139</v>
      </c>
      <c r="L36" s="128">
        <v>42676</v>
      </c>
      <c r="M36" s="54" t="s">
        <v>121</v>
      </c>
      <c r="N36" s="54" t="s">
        <v>9</v>
      </c>
      <c r="O36" s="76">
        <v>42709</v>
      </c>
      <c r="P36" s="76" t="s">
        <v>261</v>
      </c>
      <c r="Q36" s="81">
        <v>184</v>
      </c>
      <c r="R36" s="76" t="s">
        <v>99</v>
      </c>
      <c r="S36" s="54">
        <v>83475</v>
      </c>
      <c r="T36" s="54" t="s">
        <v>119</v>
      </c>
      <c r="U36" s="51" t="s">
        <v>101</v>
      </c>
      <c r="V36" s="129">
        <v>1.1499999999999999</v>
      </c>
      <c r="W36" s="51">
        <v>1</v>
      </c>
      <c r="X36" s="51" t="s">
        <v>138</v>
      </c>
      <c r="Y36" s="51" t="s">
        <v>31</v>
      </c>
      <c r="Z36" s="129">
        <v>0.57499999999999996</v>
      </c>
      <c r="AA36" s="129">
        <v>0.57499999999999996</v>
      </c>
    </row>
    <row r="37" spans="1:27" x14ac:dyDescent="0.25">
      <c r="A37" s="51" t="s">
        <v>96</v>
      </c>
      <c r="B37" s="51" t="s">
        <v>96</v>
      </c>
      <c r="C37" s="80">
        <v>8520</v>
      </c>
      <c r="D37" s="80" t="s">
        <v>186</v>
      </c>
      <c r="E37" s="80" t="s">
        <v>15</v>
      </c>
      <c r="F37" s="80">
        <v>3011</v>
      </c>
      <c r="G37" s="80" t="s">
        <v>106</v>
      </c>
      <c r="H37" s="80" t="s">
        <v>20</v>
      </c>
      <c r="I37" s="132" t="s">
        <v>314</v>
      </c>
      <c r="J37" s="51" t="s">
        <v>41</v>
      </c>
      <c r="K37" s="51" t="s">
        <v>139</v>
      </c>
      <c r="L37" s="128">
        <v>42676</v>
      </c>
      <c r="M37" s="54" t="s">
        <v>122</v>
      </c>
      <c r="N37" s="54" t="s">
        <v>9</v>
      </c>
      <c r="O37" s="76">
        <v>42709</v>
      </c>
      <c r="P37" s="76" t="s">
        <v>261</v>
      </c>
      <c r="Q37" s="81">
        <v>184</v>
      </c>
      <c r="R37" s="76" t="s">
        <v>99</v>
      </c>
      <c r="S37" s="54">
        <v>100500.25</v>
      </c>
      <c r="T37" s="54" t="s">
        <v>119</v>
      </c>
      <c r="U37" s="51" t="s">
        <v>101</v>
      </c>
      <c r="V37" s="129">
        <v>1.39</v>
      </c>
      <c r="W37" s="51">
        <v>1</v>
      </c>
      <c r="X37" s="51" t="s">
        <v>140</v>
      </c>
      <c r="Y37" s="51" t="s">
        <v>31</v>
      </c>
      <c r="Z37" s="129">
        <v>0.69499999999999995</v>
      </c>
      <c r="AA37" s="129">
        <v>0.69499999999999995</v>
      </c>
    </row>
    <row r="38" spans="1:27" x14ac:dyDescent="0.25">
      <c r="A38" s="51" t="s">
        <v>96</v>
      </c>
      <c r="B38" s="51" t="s">
        <v>96</v>
      </c>
      <c r="C38" s="80">
        <v>8520</v>
      </c>
      <c r="D38" s="80" t="s">
        <v>186</v>
      </c>
      <c r="E38" s="80" t="s">
        <v>15</v>
      </c>
      <c r="F38" s="80">
        <v>3011</v>
      </c>
      <c r="G38" s="80" t="s">
        <v>106</v>
      </c>
      <c r="H38" s="80" t="s">
        <v>20</v>
      </c>
      <c r="I38" s="132" t="s">
        <v>419</v>
      </c>
      <c r="J38" s="51" t="s">
        <v>56</v>
      </c>
      <c r="K38" s="51" t="s">
        <v>200</v>
      </c>
      <c r="L38" s="128">
        <v>42643</v>
      </c>
      <c r="M38" s="54" t="s">
        <v>98</v>
      </c>
      <c r="N38" s="54" t="s">
        <v>9</v>
      </c>
      <c r="O38" s="76">
        <v>42681</v>
      </c>
      <c r="P38" s="76" t="s">
        <v>261</v>
      </c>
      <c r="Q38" s="81">
        <v>212</v>
      </c>
      <c r="R38" s="76" t="s">
        <v>99</v>
      </c>
      <c r="S38" s="54">
        <v>264377.78000000003</v>
      </c>
      <c r="T38" s="54" t="s">
        <v>119</v>
      </c>
      <c r="U38" s="51" t="s">
        <v>101</v>
      </c>
      <c r="V38" s="129">
        <v>3.65</v>
      </c>
      <c r="W38" s="51">
        <v>1</v>
      </c>
      <c r="X38" s="51" t="s">
        <v>135</v>
      </c>
      <c r="Y38" s="51" t="s">
        <v>30</v>
      </c>
      <c r="Z38" s="129">
        <v>3.65</v>
      </c>
      <c r="AA38" s="129">
        <v>0</v>
      </c>
    </row>
    <row r="39" spans="1:27" x14ac:dyDescent="0.25">
      <c r="A39" s="51" t="s">
        <v>96</v>
      </c>
      <c r="B39" s="51" t="s">
        <v>96</v>
      </c>
      <c r="C39" s="80">
        <v>8520</v>
      </c>
      <c r="D39" s="80" t="s">
        <v>186</v>
      </c>
      <c r="E39" s="80" t="s">
        <v>15</v>
      </c>
      <c r="F39" s="80">
        <v>199</v>
      </c>
      <c r="G39" s="80" t="s">
        <v>124</v>
      </c>
      <c r="H39" s="80" t="s">
        <v>20</v>
      </c>
      <c r="I39" s="132" t="s">
        <v>420</v>
      </c>
      <c r="J39" s="51" t="s">
        <v>56</v>
      </c>
      <c r="K39" s="51" t="s">
        <v>200</v>
      </c>
      <c r="L39" s="128">
        <v>42643</v>
      </c>
      <c r="M39" s="54" t="s">
        <v>98</v>
      </c>
      <c r="N39" s="54" t="s">
        <v>9</v>
      </c>
      <c r="O39" s="76">
        <v>42709</v>
      </c>
      <c r="P39" s="76" t="s">
        <v>261</v>
      </c>
      <c r="Q39" s="81">
        <v>184</v>
      </c>
      <c r="R39" s="76" t="s">
        <v>99</v>
      </c>
      <c r="S39" s="54">
        <v>386956</v>
      </c>
      <c r="T39" s="54" t="s">
        <v>119</v>
      </c>
      <c r="U39" s="51" t="s">
        <v>101</v>
      </c>
      <c r="V39" s="129">
        <v>5.35</v>
      </c>
      <c r="W39" s="51">
        <v>1</v>
      </c>
      <c r="X39" s="51" t="s">
        <v>135</v>
      </c>
      <c r="Y39" s="51" t="s">
        <v>30</v>
      </c>
      <c r="Z39" s="129">
        <v>5.35</v>
      </c>
      <c r="AA39" s="129">
        <v>0</v>
      </c>
    </row>
    <row r="40" spans="1:27" x14ac:dyDescent="0.25">
      <c r="A40" s="51" t="s">
        <v>96</v>
      </c>
      <c r="B40" s="51" t="s">
        <v>96</v>
      </c>
      <c r="C40" s="80">
        <v>8520</v>
      </c>
      <c r="D40" s="80" t="s">
        <v>186</v>
      </c>
      <c r="E40" s="80" t="s">
        <v>15</v>
      </c>
      <c r="F40" s="80">
        <v>199</v>
      </c>
      <c r="G40" s="80" t="s">
        <v>124</v>
      </c>
      <c r="H40" s="80" t="s">
        <v>20</v>
      </c>
      <c r="I40" s="132" t="s">
        <v>315</v>
      </c>
      <c r="J40" s="51" t="s">
        <v>41</v>
      </c>
      <c r="K40" s="51" t="s">
        <v>249</v>
      </c>
      <c r="L40" s="128">
        <v>42643</v>
      </c>
      <c r="M40" s="54" t="s">
        <v>109</v>
      </c>
      <c r="N40" s="54" t="s">
        <v>10</v>
      </c>
      <c r="O40" s="76">
        <v>42709</v>
      </c>
      <c r="P40" s="76" t="s">
        <v>261</v>
      </c>
      <c r="Q40" s="81">
        <v>184</v>
      </c>
      <c r="R40" s="76" t="s">
        <v>99</v>
      </c>
      <c r="S40" s="54">
        <v>94644</v>
      </c>
      <c r="T40" s="54" t="s">
        <v>119</v>
      </c>
      <c r="U40" s="51" t="s">
        <v>101</v>
      </c>
      <c r="V40" s="129">
        <v>1.31</v>
      </c>
      <c r="W40" s="51">
        <v>1</v>
      </c>
      <c r="X40" s="51" t="s">
        <v>133</v>
      </c>
      <c r="Y40" s="51" t="s">
        <v>32</v>
      </c>
      <c r="Z40" s="129">
        <v>0.32750000000000001</v>
      </c>
      <c r="AA40" s="129">
        <v>0.98250000000000004</v>
      </c>
    </row>
    <row r="41" spans="1:27" x14ac:dyDescent="0.25">
      <c r="A41" s="51" t="s">
        <v>96</v>
      </c>
      <c r="B41" s="51" t="s">
        <v>96</v>
      </c>
      <c r="C41" s="80">
        <v>8520</v>
      </c>
      <c r="D41" s="80" t="s">
        <v>186</v>
      </c>
      <c r="E41" s="80" t="s">
        <v>15</v>
      </c>
      <c r="F41" s="80">
        <v>199</v>
      </c>
      <c r="G41" s="80" t="s">
        <v>124</v>
      </c>
      <c r="H41" s="80" t="s">
        <v>20</v>
      </c>
      <c r="I41" s="132" t="s">
        <v>316</v>
      </c>
      <c r="J41" s="51" t="s">
        <v>41</v>
      </c>
      <c r="K41" s="51" t="s">
        <v>249</v>
      </c>
      <c r="L41" s="128">
        <v>42643</v>
      </c>
      <c r="M41" s="54" t="s">
        <v>109</v>
      </c>
      <c r="N41" s="54" t="s">
        <v>10</v>
      </c>
      <c r="O41" s="76">
        <v>42709</v>
      </c>
      <c r="P41" s="76" t="s">
        <v>261</v>
      </c>
      <c r="Q41" s="81">
        <v>184</v>
      </c>
      <c r="R41" s="76" t="s">
        <v>99</v>
      </c>
      <c r="S41" s="54">
        <v>63990</v>
      </c>
      <c r="T41" s="54" t="s">
        <v>119</v>
      </c>
      <c r="U41" s="51" t="s">
        <v>101</v>
      </c>
      <c r="V41" s="129">
        <v>0.88</v>
      </c>
      <c r="W41" s="51">
        <v>1</v>
      </c>
      <c r="X41" s="51" t="s">
        <v>133</v>
      </c>
      <c r="Y41" s="51" t="s">
        <v>32</v>
      </c>
      <c r="Z41" s="129">
        <v>0.22</v>
      </c>
      <c r="AA41" s="129">
        <v>0.66</v>
      </c>
    </row>
    <row r="42" spans="1:27" x14ac:dyDescent="0.25">
      <c r="A42" s="51" t="s">
        <v>96</v>
      </c>
      <c r="B42" s="51" t="s">
        <v>96</v>
      </c>
      <c r="C42" s="80">
        <v>8520</v>
      </c>
      <c r="D42" s="80" t="s">
        <v>186</v>
      </c>
      <c r="E42" s="80" t="s">
        <v>15</v>
      </c>
      <c r="F42" s="80">
        <v>199</v>
      </c>
      <c r="G42" s="80" t="s">
        <v>124</v>
      </c>
      <c r="H42" s="80" t="s">
        <v>20</v>
      </c>
      <c r="I42" s="132" t="s">
        <v>317</v>
      </c>
      <c r="J42" s="51" t="s">
        <v>41</v>
      </c>
      <c r="K42" s="51" t="s">
        <v>249</v>
      </c>
      <c r="L42" s="128">
        <v>42643</v>
      </c>
      <c r="M42" s="54" t="s">
        <v>109</v>
      </c>
      <c r="N42" s="54" t="s">
        <v>10</v>
      </c>
      <c r="O42" s="76">
        <v>42709</v>
      </c>
      <c r="P42" s="76" t="s">
        <v>261</v>
      </c>
      <c r="Q42" s="81">
        <v>184</v>
      </c>
      <c r="R42" s="76" t="s">
        <v>99</v>
      </c>
      <c r="S42" s="54">
        <v>113400</v>
      </c>
      <c r="T42" s="54" t="s">
        <v>119</v>
      </c>
      <c r="U42" s="51" t="s">
        <v>101</v>
      </c>
      <c r="V42" s="129">
        <v>1.57</v>
      </c>
      <c r="W42" s="51">
        <v>1</v>
      </c>
      <c r="X42" s="51" t="s">
        <v>133</v>
      </c>
      <c r="Y42" s="51" t="s">
        <v>32</v>
      </c>
      <c r="Z42" s="129">
        <v>0.39250000000000002</v>
      </c>
      <c r="AA42" s="129">
        <v>1.1775</v>
      </c>
    </row>
    <row r="43" spans="1:27" x14ac:dyDescent="0.25">
      <c r="A43" s="51" t="s">
        <v>96</v>
      </c>
      <c r="B43" s="51" t="s">
        <v>96</v>
      </c>
      <c r="C43" s="80">
        <v>8520</v>
      </c>
      <c r="D43" s="80" t="s">
        <v>186</v>
      </c>
      <c r="E43" s="80" t="s">
        <v>15</v>
      </c>
      <c r="F43" s="80">
        <v>199</v>
      </c>
      <c r="G43" s="80" t="s">
        <v>124</v>
      </c>
      <c r="H43" s="80" t="s">
        <v>20</v>
      </c>
      <c r="I43" s="132" t="s">
        <v>318</v>
      </c>
      <c r="J43" s="51" t="s">
        <v>41</v>
      </c>
      <c r="K43" s="51" t="s">
        <v>249</v>
      </c>
      <c r="L43" s="128">
        <v>42643</v>
      </c>
      <c r="M43" s="54" t="s">
        <v>109</v>
      </c>
      <c r="N43" s="54" t="s">
        <v>10</v>
      </c>
      <c r="O43" s="76">
        <v>42709</v>
      </c>
      <c r="P43" s="76" t="s">
        <v>261</v>
      </c>
      <c r="Q43" s="81">
        <v>184</v>
      </c>
      <c r="R43" s="76" t="s">
        <v>99</v>
      </c>
      <c r="S43" s="54">
        <v>118800</v>
      </c>
      <c r="T43" s="54" t="s">
        <v>119</v>
      </c>
      <c r="U43" s="51" t="s">
        <v>101</v>
      </c>
      <c r="V43" s="129">
        <v>1.64</v>
      </c>
      <c r="W43" s="51">
        <v>1</v>
      </c>
      <c r="X43" s="51" t="s">
        <v>133</v>
      </c>
      <c r="Y43" s="51" t="s">
        <v>32</v>
      </c>
      <c r="Z43" s="129">
        <v>0.41</v>
      </c>
      <c r="AA43" s="129">
        <v>1.23</v>
      </c>
    </row>
    <row r="44" spans="1:27" x14ac:dyDescent="0.25">
      <c r="A44" s="51" t="s">
        <v>96</v>
      </c>
      <c r="B44" s="51" t="s">
        <v>96</v>
      </c>
      <c r="C44" s="80">
        <v>8520</v>
      </c>
      <c r="D44" s="80" t="s">
        <v>186</v>
      </c>
      <c r="E44" s="80" t="s">
        <v>15</v>
      </c>
      <c r="F44" s="80">
        <v>199</v>
      </c>
      <c r="G44" s="80" t="s">
        <v>124</v>
      </c>
      <c r="H44" s="80" t="s">
        <v>20</v>
      </c>
      <c r="I44" s="132" t="s">
        <v>319</v>
      </c>
      <c r="J44" s="51" t="s">
        <v>41</v>
      </c>
      <c r="K44" s="51" t="s">
        <v>249</v>
      </c>
      <c r="L44" s="128">
        <v>42643</v>
      </c>
      <c r="M44" s="54" t="s">
        <v>109</v>
      </c>
      <c r="N44" s="54" t="s">
        <v>10</v>
      </c>
      <c r="O44" s="76">
        <v>42709</v>
      </c>
      <c r="P44" s="76" t="s">
        <v>261</v>
      </c>
      <c r="Q44" s="81">
        <v>184</v>
      </c>
      <c r="R44" s="76" t="s">
        <v>99</v>
      </c>
      <c r="S44" s="54">
        <v>108000</v>
      </c>
      <c r="T44" s="54" t="s">
        <v>119</v>
      </c>
      <c r="U44" s="51" t="s">
        <v>101</v>
      </c>
      <c r="V44" s="129">
        <v>1.49</v>
      </c>
      <c r="W44" s="51">
        <v>1</v>
      </c>
      <c r="X44" s="51" t="s">
        <v>133</v>
      </c>
      <c r="Y44" s="51" t="s">
        <v>32</v>
      </c>
      <c r="Z44" s="129">
        <v>0.3725</v>
      </c>
      <c r="AA44" s="129">
        <v>1.1174999999999999</v>
      </c>
    </row>
    <row r="45" spans="1:27" x14ac:dyDescent="0.25">
      <c r="A45" s="51" t="s">
        <v>96</v>
      </c>
      <c r="B45" s="51" t="s">
        <v>96</v>
      </c>
      <c r="C45" s="80">
        <v>8520</v>
      </c>
      <c r="D45" s="80" t="s">
        <v>186</v>
      </c>
      <c r="E45" s="80" t="s">
        <v>15</v>
      </c>
      <c r="F45" s="80">
        <v>199</v>
      </c>
      <c r="G45" s="80" t="s">
        <v>124</v>
      </c>
      <c r="H45" s="80" t="s">
        <v>20</v>
      </c>
      <c r="I45" s="132" t="s">
        <v>320</v>
      </c>
      <c r="J45" s="51" t="s">
        <v>41</v>
      </c>
      <c r="K45" s="51" t="s">
        <v>249</v>
      </c>
      <c r="L45" s="128">
        <v>42643</v>
      </c>
      <c r="M45" s="54" t="s">
        <v>109</v>
      </c>
      <c r="N45" s="54" t="s">
        <v>10</v>
      </c>
      <c r="O45" s="76">
        <v>42709</v>
      </c>
      <c r="P45" s="76" t="s">
        <v>261</v>
      </c>
      <c r="Q45" s="81">
        <v>184</v>
      </c>
      <c r="R45" s="76" t="s">
        <v>99</v>
      </c>
      <c r="S45" s="54">
        <v>118800</v>
      </c>
      <c r="T45" s="54" t="s">
        <v>119</v>
      </c>
      <c r="U45" s="51" t="s">
        <v>101</v>
      </c>
      <c r="V45" s="129">
        <v>1.64</v>
      </c>
      <c r="W45" s="51">
        <v>1</v>
      </c>
      <c r="X45" s="51" t="s">
        <v>133</v>
      </c>
      <c r="Y45" s="51" t="s">
        <v>32</v>
      </c>
      <c r="Z45" s="129">
        <v>0.41</v>
      </c>
      <c r="AA45" s="129">
        <v>1.23</v>
      </c>
    </row>
    <row r="46" spans="1:27" x14ac:dyDescent="0.25">
      <c r="A46" s="51" t="s">
        <v>96</v>
      </c>
      <c r="B46" s="51" t="s">
        <v>96</v>
      </c>
      <c r="C46" s="80">
        <v>8520</v>
      </c>
      <c r="D46" s="80" t="s">
        <v>186</v>
      </c>
      <c r="E46" s="80" t="s">
        <v>15</v>
      </c>
      <c r="F46" s="80">
        <v>199</v>
      </c>
      <c r="G46" s="80" t="s">
        <v>124</v>
      </c>
      <c r="H46" s="80" t="s">
        <v>20</v>
      </c>
      <c r="I46" s="132" t="s">
        <v>321</v>
      </c>
      <c r="J46" s="51" t="s">
        <v>41</v>
      </c>
      <c r="K46" s="51" t="s">
        <v>249</v>
      </c>
      <c r="L46" s="128">
        <v>42643</v>
      </c>
      <c r="M46" s="54" t="s">
        <v>109</v>
      </c>
      <c r="N46" s="54" t="s">
        <v>10</v>
      </c>
      <c r="O46" s="76">
        <v>42709</v>
      </c>
      <c r="P46" s="76" t="s">
        <v>261</v>
      </c>
      <c r="Q46" s="81">
        <v>184</v>
      </c>
      <c r="R46" s="76" t="s">
        <v>99</v>
      </c>
      <c r="S46" s="54">
        <v>43200</v>
      </c>
      <c r="T46" s="54" t="s">
        <v>119</v>
      </c>
      <c r="U46" s="51" t="s">
        <v>101</v>
      </c>
      <c r="V46" s="129">
        <v>0.6</v>
      </c>
      <c r="W46" s="51">
        <v>1</v>
      </c>
      <c r="X46" s="51" t="s">
        <v>133</v>
      </c>
      <c r="Y46" s="51" t="s">
        <v>32</v>
      </c>
      <c r="Z46" s="129">
        <v>0.15</v>
      </c>
      <c r="AA46" s="129">
        <v>0.44999999999999996</v>
      </c>
    </row>
    <row r="47" spans="1:27" x14ac:dyDescent="0.25">
      <c r="A47" s="51" t="s">
        <v>96</v>
      </c>
      <c r="B47" s="51" t="s">
        <v>96</v>
      </c>
      <c r="C47" s="80">
        <v>8520</v>
      </c>
      <c r="D47" s="80" t="s">
        <v>186</v>
      </c>
      <c r="E47" s="80" t="s">
        <v>15</v>
      </c>
      <c r="F47" s="80">
        <v>199</v>
      </c>
      <c r="G47" s="80" t="s">
        <v>124</v>
      </c>
      <c r="H47" s="80" t="s">
        <v>20</v>
      </c>
      <c r="I47" s="132" t="s">
        <v>322</v>
      </c>
      <c r="J47" s="51" t="s">
        <v>41</v>
      </c>
      <c r="K47" s="51" t="s">
        <v>249</v>
      </c>
      <c r="L47" s="128">
        <v>42643</v>
      </c>
      <c r="M47" s="54" t="s">
        <v>109</v>
      </c>
      <c r="N47" s="54" t="s">
        <v>10</v>
      </c>
      <c r="O47" s="76">
        <v>42709</v>
      </c>
      <c r="P47" s="76" t="s">
        <v>261</v>
      </c>
      <c r="Q47" s="81">
        <v>184</v>
      </c>
      <c r="R47" s="76" t="s">
        <v>99</v>
      </c>
      <c r="S47" s="54">
        <v>59400</v>
      </c>
      <c r="T47" s="54" t="s">
        <v>119</v>
      </c>
      <c r="U47" s="51" t="s">
        <v>101</v>
      </c>
      <c r="V47" s="129">
        <v>0.82</v>
      </c>
      <c r="W47" s="51">
        <v>1</v>
      </c>
      <c r="X47" s="51" t="s">
        <v>133</v>
      </c>
      <c r="Y47" s="51" t="s">
        <v>32</v>
      </c>
      <c r="Z47" s="129">
        <v>0.20499999999999999</v>
      </c>
      <c r="AA47" s="129">
        <v>0.61499999999999999</v>
      </c>
    </row>
    <row r="48" spans="1:27" x14ac:dyDescent="0.25">
      <c r="A48" s="51" t="s">
        <v>96</v>
      </c>
      <c r="B48" s="51" t="s">
        <v>96</v>
      </c>
      <c r="C48" s="80">
        <v>8520</v>
      </c>
      <c r="D48" s="80" t="s">
        <v>186</v>
      </c>
      <c r="E48" s="80" t="s">
        <v>15</v>
      </c>
      <c r="F48" s="80">
        <v>199</v>
      </c>
      <c r="G48" s="80" t="s">
        <v>124</v>
      </c>
      <c r="H48" s="80" t="s">
        <v>20</v>
      </c>
      <c r="I48" s="132" t="s">
        <v>323</v>
      </c>
      <c r="J48" s="51" t="s">
        <v>41</v>
      </c>
      <c r="K48" s="51" t="s">
        <v>249</v>
      </c>
      <c r="L48" s="128">
        <v>42643</v>
      </c>
      <c r="M48" s="54" t="s">
        <v>109</v>
      </c>
      <c r="N48" s="54" t="s">
        <v>10</v>
      </c>
      <c r="O48" s="76">
        <v>42709</v>
      </c>
      <c r="P48" s="76" t="s">
        <v>261</v>
      </c>
      <c r="Q48" s="81">
        <v>184</v>
      </c>
      <c r="R48" s="76" t="s">
        <v>99</v>
      </c>
      <c r="S48" s="54">
        <v>108000</v>
      </c>
      <c r="T48" s="54" t="s">
        <v>119</v>
      </c>
      <c r="U48" s="51" t="s">
        <v>101</v>
      </c>
      <c r="V48" s="129">
        <v>1.49</v>
      </c>
      <c r="W48" s="51">
        <v>1</v>
      </c>
      <c r="X48" s="51" t="s">
        <v>133</v>
      </c>
      <c r="Y48" s="51" t="s">
        <v>32</v>
      </c>
      <c r="Z48" s="129">
        <v>0.3725</v>
      </c>
      <c r="AA48" s="129">
        <v>1.1174999999999999</v>
      </c>
    </row>
    <row r="49" spans="1:27" x14ac:dyDescent="0.25">
      <c r="A49" s="51" t="s">
        <v>96</v>
      </c>
      <c r="B49" s="51" t="s">
        <v>96</v>
      </c>
      <c r="C49" s="80">
        <v>8520</v>
      </c>
      <c r="D49" s="80" t="s">
        <v>186</v>
      </c>
      <c r="E49" s="80" t="s">
        <v>15</v>
      </c>
      <c r="F49" s="80">
        <v>199</v>
      </c>
      <c r="G49" s="80" t="s">
        <v>124</v>
      </c>
      <c r="H49" s="80" t="s">
        <v>20</v>
      </c>
      <c r="I49" s="132" t="s">
        <v>324</v>
      </c>
      <c r="J49" s="51" t="s">
        <v>41</v>
      </c>
      <c r="K49" s="51" t="s">
        <v>249</v>
      </c>
      <c r="L49" s="128">
        <v>42643</v>
      </c>
      <c r="M49" s="54" t="s">
        <v>109</v>
      </c>
      <c r="N49" s="54" t="s">
        <v>10</v>
      </c>
      <c r="O49" s="76">
        <v>42709</v>
      </c>
      <c r="P49" s="76" t="s">
        <v>261</v>
      </c>
      <c r="Q49" s="81">
        <v>184</v>
      </c>
      <c r="R49" s="76" t="s">
        <v>99</v>
      </c>
      <c r="S49" s="54">
        <v>108000</v>
      </c>
      <c r="T49" s="54" t="s">
        <v>119</v>
      </c>
      <c r="U49" s="51" t="s">
        <v>101</v>
      </c>
      <c r="V49" s="129">
        <v>1.49</v>
      </c>
      <c r="W49" s="51">
        <v>1</v>
      </c>
      <c r="X49" s="51" t="s">
        <v>133</v>
      </c>
      <c r="Y49" s="51" t="s">
        <v>32</v>
      </c>
      <c r="Z49" s="129">
        <v>0.3725</v>
      </c>
      <c r="AA49" s="129">
        <v>1.1174999999999999</v>
      </c>
    </row>
    <row r="50" spans="1:27" x14ac:dyDescent="0.25">
      <c r="A50" s="51" t="s">
        <v>96</v>
      </c>
      <c r="B50" s="51" t="s">
        <v>96</v>
      </c>
      <c r="C50" s="80">
        <v>8520</v>
      </c>
      <c r="D50" s="80" t="s">
        <v>186</v>
      </c>
      <c r="E50" s="80" t="s">
        <v>15</v>
      </c>
      <c r="F50" s="80">
        <v>199</v>
      </c>
      <c r="G50" s="80" t="s">
        <v>124</v>
      </c>
      <c r="H50" s="80" t="s">
        <v>20</v>
      </c>
      <c r="I50" s="132" t="s">
        <v>325</v>
      </c>
      <c r="J50" s="51" t="s">
        <v>41</v>
      </c>
      <c r="K50" s="51" t="s">
        <v>249</v>
      </c>
      <c r="L50" s="128">
        <v>42643</v>
      </c>
      <c r="M50" s="54" t="s">
        <v>109</v>
      </c>
      <c r="N50" s="54" t="s">
        <v>10</v>
      </c>
      <c r="O50" s="76">
        <v>42709</v>
      </c>
      <c r="P50" s="76" t="s">
        <v>261</v>
      </c>
      <c r="Q50" s="81">
        <v>184</v>
      </c>
      <c r="R50" s="76" t="s">
        <v>99</v>
      </c>
      <c r="S50" s="54">
        <v>118800</v>
      </c>
      <c r="T50" s="54" t="s">
        <v>119</v>
      </c>
      <c r="U50" s="51" t="s">
        <v>101</v>
      </c>
      <c r="V50" s="129">
        <v>1.64</v>
      </c>
      <c r="W50" s="51">
        <v>1</v>
      </c>
      <c r="X50" s="51" t="s">
        <v>133</v>
      </c>
      <c r="Y50" s="51" t="s">
        <v>32</v>
      </c>
      <c r="Z50" s="129">
        <v>0.41</v>
      </c>
      <c r="AA50" s="129">
        <v>1.23</v>
      </c>
    </row>
    <row r="51" spans="1:27" x14ac:dyDescent="0.25">
      <c r="A51" s="51" t="s">
        <v>96</v>
      </c>
      <c r="B51" s="51" t="s">
        <v>96</v>
      </c>
      <c r="C51" s="80">
        <v>8520</v>
      </c>
      <c r="D51" s="80" t="s">
        <v>186</v>
      </c>
      <c r="E51" s="80" t="s">
        <v>15</v>
      </c>
      <c r="F51" s="80">
        <v>199</v>
      </c>
      <c r="G51" s="80" t="s">
        <v>124</v>
      </c>
      <c r="H51" s="80" t="s">
        <v>20</v>
      </c>
      <c r="I51" s="132" t="s">
        <v>326</v>
      </c>
      <c r="J51" s="51" t="s">
        <v>41</v>
      </c>
      <c r="K51" s="51" t="s">
        <v>249</v>
      </c>
      <c r="L51" s="128">
        <v>42643</v>
      </c>
      <c r="M51" s="54" t="s">
        <v>109</v>
      </c>
      <c r="N51" s="54" t="s">
        <v>10</v>
      </c>
      <c r="O51" s="76">
        <v>42709</v>
      </c>
      <c r="P51" s="76" t="s">
        <v>261</v>
      </c>
      <c r="Q51" s="81">
        <v>184</v>
      </c>
      <c r="R51" s="76" t="s">
        <v>99</v>
      </c>
      <c r="S51" s="54">
        <v>97200</v>
      </c>
      <c r="T51" s="54" t="s">
        <v>119</v>
      </c>
      <c r="U51" s="51" t="s">
        <v>101</v>
      </c>
      <c r="V51" s="129">
        <v>1.34</v>
      </c>
      <c r="W51" s="51">
        <v>1</v>
      </c>
      <c r="X51" s="51" t="s">
        <v>133</v>
      </c>
      <c r="Y51" s="51" t="s">
        <v>32</v>
      </c>
      <c r="Z51" s="129">
        <v>0.33500000000000002</v>
      </c>
      <c r="AA51" s="129">
        <v>1.0050000000000001</v>
      </c>
    </row>
    <row r="52" spans="1:27" x14ac:dyDescent="0.25">
      <c r="A52" s="51" t="s">
        <v>96</v>
      </c>
      <c r="B52" s="51" t="s">
        <v>96</v>
      </c>
      <c r="C52" s="80">
        <v>8520</v>
      </c>
      <c r="D52" s="80" t="s">
        <v>186</v>
      </c>
      <c r="E52" s="80" t="s">
        <v>15</v>
      </c>
      <c r="F52" s="80">
        <v>199</v>
      </c>
      <c r="G52" s="80" t="s">
        <v>124</v>
      </c>
      <c r="H52" s="80" t="s">
        <v>20</v>
      </c>
      <c r="I52" s="132" t="s">
        <v>327</v>
      </c>
      <c r="J52" s="51" t="s">
        <v>41</v>
      </c>
      <c r="K52" s="51" t="s">
        <v>249</v>
      </c>
      <c r="L52" s="128">
        <v>42643</v>
      </c>
      <c r="M52" s="54" t="s">
        <v>109</v>
      </c>
      <c r="N52" s="54" t="s">
        <v>10</v>
      </c>
      <c r="O52" s="76">
        <v>42709</v>
      </c>
      <c r="P52" s="76" t="s">
        <v>261</v>
      </c>
      <c r="Q52" s="81">
        <v>184</v>
      </c>
      <c r="R52" s="76" t="s">
        <v>99</v>
      </c>
      <c r="S52" s="54">
        <v>108000</v>
      </c>
      <c r="T52" s="54" t="s">
        <v>119</v>
      </c>
      <c r="U52" s="51" t="s">
        <v>101</v>
      </c>
      <c r="V52" s="129">
        <v>1.49</v>
      </c>
      <c r="W52" s="51">
        <v>1</v>
      </c>
      <c r="X52" s="51" t="s">
        <v>133</v>
      </c>
      <c r="Y52" s="51" t="s">
        <v>32</v>
      </c>
      <c r="Z52" s="129">
        <v>0.3725</v>
      </c>
      <c r="AA52" s="129">
        <v>1.1174999999999999</v>
      </c>
    </row>
    <row r="53" spans="1:27" x14ac:dyDescent="0.25">
      <c r="A53" s="51" t="s">
        <v>96</v>
      </c>
      <c r="B53" s="51" t="s">
        <v>96</v>
      </c>
      <c r="C53" s="80">
        <v>8520</v>
      </c>
      <c r="D53" s="80" t="s">
        <v>186</v>
      </c>
      <c r="E53" s="80" t="s">
        <v>15</v>
      </c>
      <c r="F53" s="80">
        <v>199</v>
      </c>
      <c r="G53" s="80" t="s">
        <v>124</v>
      </c>
      <c r="H53" s="80" t="s">
        <v>20</v>
      </c>
      <c r="I53" s="132" t="s">
        <v>328</v>
      </c>
      <c r="J53" s="51" t="s">
        <v>41</v>
      </c>
      <c r="K53" s="51" t="s">
        <v>249</v>
      </c>
      <c r="L53" s="128">
        <v>42643</v>
      </c>
      <c r="M53" s="54" t="s">
        <v>109</v>
      </c>
      <c r="N53" s="54" t="s">
        <v>10</v>
      </c>
      <c r="O53" s="76">
        <v>42709</v>
      </c>
      <c r="P53" s="76" t="s">
        <v>261</v>
      </c>
      <c r="Q53" s="81">
        <v>184</v>
      </c>
      <c r="R53" s="76" t="s">
        <v>99</v>
      </c>
      <c r="S53" s="54">
        <v>59400</v>
      </c>
      <c r="T53" s="54" t="s">
        <v>119</v>
      </c>
      <c r="U53" s="51" t="s">
        <v>101</v>
      </c>
      <c r="V53" s="129">
        <v>0.82</v>
      </c>
      <c r="W53" s="51">
        <v>1</v>
      </c>
      <c r="X53" s="51" t="s">
        <v>133</v>
      </c>
      <c r="Y53" s="51" t="s">
        <v>32</v>
      </c>
      <c r="Z53" s="129">
        <v>0.20499999999999999</v>
      </c>
      <c r="AA53" s="129">
        <v>0.61499999999999999</v>
      </c>
    </row>
    <row r="54" spans="1:27" x14ac:dyDescent="0.25">
      <c r="A54" s="51" t="s">
        <v>96</v>
      </c>
      <c r="B54" s="51" t="s">
        <v>96</v>
      </c>
      <c r="C54" s="80">
        <v>8520</v>
      </c>
      <c r="D54" s="80" t="s">
        <v>186</v>
      </c>
      <c r="E54" s="80" t="s">
        <v>15</v>
      </c>
      <c r="F54" s="80">
        <v>199</v>
      </c>
      <c r="G54" s="80" t="s">
        <v>124</v>
      </c>
      <c r="H54" s="80" t="s">
        <v>20</v>
      </c>
      <c r="I54" s="132" t="s">
        <v>425</v>
      </c>
      <c r="J54" s="51" t="s">
        <v>54</v>
      </c>
      <c r="K54" s="51" t="s">
        <v>137</v>
      </c>
      <c r="L54" s="128">
        <v>42643</v>
      </c>
      <c r="M54" s="54" t="s">
        <v>122</v>
      </c>
      <c r="N54" s="54" t="s">
        <v>9</v>
      </c>
      <c r="O54" s="76">
        <v>42709</v>
      </c>
      <c r="P54" s="76" t="s">
        <v>261</v>
      </c>
      <c r="Q54" s="81">
        <v>184</v>
      </c>
      <c r="R54" s="76" t="s">
        <v>99</v>
      </c>
      <c r="S54" s="54">
        <v>337572</v>
      </c>
      <c r="T54" s="54" t="s">
        <v>119</v>
      </c>
      <c r="U54" s="51" t="s">
        <v>101</v>
      </c>
      <c r="V54" s="129">
        <v>4.67</v>
      </c>
      <c r="W54" s="51">
        <v>1</v>
      </c>
      <c r="X54" s="51" t="s">
        <v>140</v>
      </c>
      <c r="Y54" s="51" t="s">
        <v>31</v>
      </c>
      <c r="Z54" s="129">
        <v>2.335</v>
      </c>
      <c r="AA54" s="129">
        <v>2.335</v>
      </c>
    </row>
    <row r="55" spans="1:27" x14ac:dyDescent="0.25">
      <c r="A55" s="51" t="s">
        <v>96</v>
      </c>
      <c r="B55" s="51" t="s">
        <v>96</v>
      </c>
      <c r="C55" s="80">
        <v>8520</v>
      </c>
      <c r="D55" s="80" t="s">
        <v>186</v>
      </c>
      <c r="E55" s="80" t="s">
        <v>15</v>
      </c>
      <c r="F55" s="80">
        <v>199</v>
      </c>
      <c r="G55" s="80" t="s">
        <v>124</v>
      </c>
      <c r="H55" s="80" t="s">
        <v>20</v>
      </c>
      <c r="I55" s="132" t="s">
        <v>329</v>
      </c>
      <c r="J55" s="51" t="s">
        <v>41</v>
      </c>
      <c r="K55" s="51" t="s">
        <v>249</v>
      </c>
      <c r="L55" s="128">
        <v>42643</v>
      </c>
      <c r="M55" s="54" t="s">
        <v>109</v>
      </c>
      <c r="N55" s="54" t="s">
        <v>10</v>
      </c>
      <c r="O55" s="76">
        <v>42709</v>
      </c>
      <c r="P55" s="76" t="s">
        <v>261</v>
      </c>
      <c r="Q55" s="81">
        <v>184</v>
      </c>
      <c r="R55" s="76" t="s">
        <v>99</v>
      </c>
      <c r="S55" s="54">
        <v>48000</v>
      </c>
      <c r="T55" s="54" t="s">
        <v>119</v>
      </c>
      <c r="U55" s="51" t="s">
        <v>101</v>
      </c>
      <c r="V55" s="129">
        <v>0.66</v>
      </c>
      <c r="W55" s="51">
        <v>1</v>
      </c>
      <c r="X55" s="51" t="s">
        <v>133</v>
      </c>
      <c r="Y55" s="51" t="s">
        <v>32</v>
      </c>
      <c r="Z55" s="129">
        <v>0.16500000000000001</v>
      </c>
      <c r="AA55" s="129">
        <v>0.495</v>
      </c>
    </row>
    <row r="56" spans="1:27" x14ac:dyDescent="0.25">
      <c r="A56" s="51" t="s">
        <v>96</v>
      </c>
      <c r="B56" s="51" t="s">
        <v>96</v>
      </c>
      <c r="C56" s="80">
        <v>8520</v>
      </c>
      <c r="D56" s="80" t="s">
        <v>186</v>
      </c>
      <c r="E56" s="80" t="s">
        <v>15</v>
      </c>
      <c r="F56" s="80">
        <v>199</v>
      </c>
      <c r="G56" s="80" t="s">
        <v>124</v>
      </c>
      <c r="H56" s="80" t="s">
        <v>20</v>
      </c>
      <c r="I56" s="132" t="s">
        <v>330</v>
      </c>
      <c r="J56" s="51" t="s">
        <v>41</v>
      </c>
      <c r="K56" s="51" t="s">
        <v>249</v>
      </c>
      <c r="L56" s="128">
        <v>42643</v>
      </c>
      <c r="M56" s="54" t="s">
        <v>109</v>
      </c>
      <c r="N56" s="54" t="s">
        <v>10</v>
      </c>
      <c r="O56" s="76">
        <v>42709</v>
      </c>
      <c r="P56" s="76" t="s">
        <v>261</v>
      </c>
      <c r="Q56" s="81">
        <v>184</v>
      </c>
      <c r="R56" s="76" t="s">
        <v>99</v>
      </c>
      <c r="S56" s="54">
        <v>91200</v>
      </c>
      <c r="T56" s="54" t="s">
        <v>119</v>
      </c>
      <c r="U56" s="51" t="s">
        <v>101</v>
      </c>
      <c r="V56" s="129">
        <v>1.26</v>
      </c>
      <c r="W56" s="51">
        <v>1</v>
      </c>
      <c r="X56" s="51" t="s">
        <v>133</v>
      </c>
      <c r="Y56" s="51" t="s">
        <v>32</v>
      </c>
      <c r="Z56" s="129">
        <v>0.315</v>
      </c>
      <c r="AA56" s="129">
        <v>0.94500000000000006</v>
      </c>
    </row>
    <row r="57" spans="1:27" x14ac:dyDescent="0.25">
      <c r="A57" s="51" t="s">
        <v>96</v>
      </c>
      <c r="B57" s="51" t="s">
        <v>96</v>
      </c>
      <c r="C57" s="80">
        <v>8520</v>
      </c>
      <c r="D57" s="80" t="s">
        <v>186</v>
      </c>
      <c r="E57" s="80" t="s">
        <v>15</v>
      </c>
      <c r="F57" s="80">
        <v>199</v>
      </c>
      <c r="G57" s="80" t="s">
        <v>124</v>
      </c>
      <c r="H57" s="80" t="s">
        <v>20</v>
      </c>
      <c r="I57" s="132" t="s">
        <v>331</v>
      </c>
      <c r="J57" s="51" t="s">
        <v>41</v>
      </c>
      <c r="K57" s="51" t="s">
        <v>249</v>
      </c>
      <c r="L57" s="128">
        <v>42643</v>
      </c>
      <c r="M57" s="54" t="s">
        <v>109</v>
      </c>
      <c r="N57" s="54" t="s">
        <v>10</v>
      </c>
      <c r="O57" s="76">
        <v>42709</v>
      </c>
      <c r="P57" s="76" t="s">
        <v>261</v>
      </c>
      <c r="Q57" s="81">
        <v>184</v>
      </c>
      <c r="R57" s="76" t="s">
        <v>99</v>
      </c>
      <c r="S57" s="54">
        <v>100800</v>
      </c>
      <c r="T57" s="54" t="s">
        <v>119</v>
      </c>
      <c r="U57" s="51" t="s">
        <v>101</v>
      </c>
      <c r="V57" s="129">
        <v>1.39</v>
      </c>
      <c r="W57" s="51">
        <v>1</v>
      </c>
      <c r="X57" s="51" t="s">
        <v>133</v>
      </c>
      <c r="Y57" s="51" t="s">
        <v>32</v>
      </c>
      <c r="Z57" s="129">
        <v>0.34749999999999998</v>
      </c>
      <c r="AA57" s="129">
        <v>1.0425</v>
      </c>
    </row>
    <row r="58" spans="1:27" x14ac:dyDescent="0.25">
      <c r="A58" s="51" t="s">
        <v>96</v>
      </c>
      <c r="B58" s="51" t="s">
        <v>96</v>
      </c>
      <c r="C58" s="80">
        <v>8520</v>
      </c>
      <c r="D58" s="80" t="s">
        <v>186</v>
      </c>
      <c r="E58" s="80" t="s">
        <v>15</v>
      </c>
      <c r="F58" s="80">
        <v>199</v>
      </c>
      <c r="G58" s="80" t="s">
        <v>124</v>
      </c>
      <c r="H58" s="80" t="s">
        <v>20</v>
      </c>
      <c r="I58" s="132" t="s">
        <v>332</v>
      </c>
      <c r="J58" s="51" t="s">
        <v>41</v>
      </c>
      <c r="K58" s="51" t="s">
        <v>249</v>
      </c>
      <c r="L58" s="128">
        <v>42643</v>
      </c>
      <c r="M58" s="54" t="s">
        <v>109</v>
      </c>
      <c r="N58" s="54" t="s">
        <v>10</v>
      </c>
      <c r="O58" s="76">
        <v>42709</v>
      </c>
      <c r="P58" s="76" t="s">
        <v>261</v>
      </c>
      <c r="Q58" s="81">
        <v>184</v>
      </c>
      <c r="R58" s="76" t="s">
        <v>99</v>
      </c>
      <c r="S58" s="54">
        <v>100800</v>
      </c>
      <c r="T58" s="54" t="s">
        <v>119</v>
      </c>
      <c r="U58" s="51" t="s">
        <v>101</v>
      </c>
      <c r="V58" s="129">
        <v>1.39</v>
      </c>
      <c r="W58" s="51">
        <v>1</v>
      </c>
      <c r="X58" s="51" t="s">
        <v>133</v>
      </c>
      <c r="Y58" s="51" t="s">
        <v>32</v>
      </c>
      <c r="Z58" s="129">
        <v>0.34749999999999998</v>
      </c>
      <c r="AA58" s="129">
        <v>1.0425</v>
      </c>
    </row>
    <row r="59" spans="1:27" x14ac:dyDescent="0.25">
      <c r="A59" s="51" t="s">
        <v>96</v>
      </c>
      <c r="B59" s="51" t="s">
        <v>96</v>
      </c>
      <c r="C59" s="80">
        <v>8520</v>
      </c>
      <c r="D59" s="80" t="s">
        <v>186</v>
      </c>
      <c r="E59" s="80" t="s">
        <v>15</v>
      </c>
      <c r="F59" s="80">
        <v>199</v>
      </c>
      <c r="G59" s="80" t="s">
        <v>124</v>
      </c>
      <c r="H59" s="80" t="s">
        <v>20</v>
      </c>
      <c r="I59" s="132" t="s">
        <v>333</v>
      </c>
      <c r="J59" s="51" t="s">
        <v>41</v>
      </c>
      <c r="K59" s="51" t="s">
        <v>249</v>
      </c>
      <c r="L59" s="128">
        <v>42643</v>
      </c>
      <c r="M59" s="54" t="s">
        <v>109</v>
      </c>
      <c r="N59" s="54" t="s">
        <v>10</v>
      </c>
      <c r="O59" s="76">
        <v>42709</v>
      </c>
      <c r="P59" s="76" t="s">
        <v>261</v>
      </c>
      <c r="Q59" s="81">
        <v>184</v>
      </c>
      <c r="R59" s="76" t="s">
        <v>99</v>
      </c>
      <c r="S59" s="54">
        <v>86400</v>
      </c>
      <c r="T59" s="54" t="s">
        <v>119</v>
      </c>
      <c r="U59" s="51" t="s">
        <v>101</v>
      </c>
      <c r="V59" s="129">
        <v>1.19</v>
      </c>
      <c r="W59" s="51">
        <v>1</v>
      </c>
      <c r="X59" s="51" t="s">
        <v>133</v>
      </c>
      <c r="Y59" s="51" t="s">
        <v>32</v>
      </c>
      <c r="Z59" s="129">
        <v>0.29749999999999999</v>
      </c>
      <c r="AA59" s="129">
        <v>0.89249999999999996</v>
      </c>
    </row>
    <row r="60" spans="1:27" x14ac:dyDescent="0.25">
      <c r="A60" s="51" t="s">
        <v>96</v>
      </c>
      <c r="B60" s="51" t="s">
        <v>96</v>
      </c>
      <c r="C60" s="80">
        <v>8520</v>
      </c>
      <c r="D60" s="80" t="s">
        <v>186</v>
      </c>
      <c r="E60" s="80" t="s">
        <v>15</v>
      </c>
      <c r="F60" s="80">
        <v>199</v>
      </c>
      <c r="G60" s="80" t="s">
        <v>124</v>
      </c>
      <c r="H60" s="80" t="s">
        <v>20</v>
      </c>
      <c r="I60" s="132" t="s">
        <v>334</v>
      </c>
      <c r="J60" s="51" t="s">
        <v>41</v>
      </c>
      <c r="K60" s="51" t="s">
        <v>249</v>
      </c>
      <c r="L60" s="128">
        <v>42643</v>
      </c>
      <c r="M60" s="54" t="s">
        <v>109</v>
      </c>
      <c r="N60" s="54" t="s">
        <v>10</v>
      </c>
      <c r="O60" s="76">
        <v>42709</v>
      </c>
      <c r="P60" s="76" t="s">
        <v>261</v>
      </c>
      <c r="Q60" s="81">
        <v>184</v>
      </c>
      <c r="R60" s="76" t="s">
        <v>99</v>
      </c>
      <c r="S60" s="54">
        <v>91200</v>
      </c>
      <c r="T60" s="54" t="s">
        <v>119</v>
      </c>
      <c r="U60" s="51" t="s">
        <v>101</v>
      </c>
      <c r="V60" s="129">
        <v>1.26</v>
      </c>
      <c r="W60" s="51">
        <v>1</v>
      </c>
      <c r="X60" s="51" t="s">
        <v>133</v>
      </c>
      <c r="Y60" s="51" t="s">
        <v>32</v>
      </c>
      <c r="Z60" s="129">
        <v>0.315</v>
      </c>
      <c r="AA60" s="129">
        <v>0.94500000000000006</v>
      </c>
    </row>
    <row r="61" spans="1:27" x14ac:dyDescent="0.25">
      <c r="A61" s="51" t="s">
        <v>96</v>
      </c>
      <c r="B61" s="51" t="s">
        <v>96</v>
      </c>
      <c r="C61" s="80">
        <v>8520</v>
      </c>
      <c r="D61" s="80" t="s">
        <v>186</v>
      </c>
      <c r="E61" s="80" t="s">
        <v>15</v>
      </c>
      <c r="F61" s="80">
        <v>199</v>
      </c>
      <c r="G61" s="80" t="s">
        <v>124</v>
      </c>
      <c r="H61" s="80" t="s">
        <v>20</v>
      </c>
      <c r="I61" s="132" t="s">
        <v>335</v>
      </c>
      <c r="J61" s="51" t="s">
        <v>41</v>
      </c>
      <c r="K61" s="51" t="s">
        <v>249</v>
      </c>
      <c r="L61" s="128">
        <v>42643</v>
      </c>
      <c r="M61" s="54" t="s">
        <v>109</v>
      </c>
      <c r="N61" s="54" t="s">
        <v>10</v>
      </c>
      <c r="O61" s="76">
        <v>42709</v>
      </c>
      <c r="P61" s="76" t="s">
        <v>261</v>
      </c>
      <c r="Q61" s="81">
        <v>184</v>
      </c>
      <c r="R61" s="76" t="s">
        <v>99</v>
      </c>
      <c r="S61" s="54">
        <v>110400</v>
      </c>
      <c r="T61" s="54" t="s">
        <v>119</v>
      </c>
      <c r="U61" s="51" t="s">
        <v>101</v>
      </c>
      <c r="V61" s="129">
        <v>1.53</v>
      </c>
      <c r="W61" s="51">
        <v>1</v>
      </c>
      <c r="X61" s="51" t="s">
        <v>133</v>
      </c>
      <c r="Y61" s="51" t="s">
        <v>32</v>
      </c>
      <c r="Z61" s="129">
        <v>0.38250000000000001</v>
      </c>
      <c r="AA61" s="129">
        <v>1.1475</v>
      </c>
    </row>
    <row r="62" spans="1:27" x14ac:dyDescent="0.25">
      <c r="A62" s="51" t="s">
        <v>96</v>
      </c>
      <c r="B62" s="51" t="s">
        <v>96</v>
      </c>
      <c r="C62" s="80">
        <v>8520</v>
      </c>
      <c r="D62" s="80" t="s">
        <v>186</v>
      </c>
      <c r="E62" s="80" t="s">
        <v>15</v>
      </c>
      <c r="F62" s="80">
        <v>199</v>
      </c>
      <c r="G62" s="80" t="s">
        <v>124</v>
      </c>
      <c r="H62" s="80" t="s">
        <v>20</v>
      </c>
      <c r="I62" s="132" t="s">
        <v>336</v>
      </c>
      <c r="J62" s="51" t="s">
        <v>41</v>
      </c>
      <c r="K62" s="51" t="s">
        <v>249</v>
      </c>
      <c r="L62" s="128">
        <v>42643</v>
      </c>
      <c r="M62" s="54" t="s">
        <v>109</v>
      </c>
      <c r="N62" s="54" t="s">
        <v>10</v>
      </c>
      <c r="O62" s="76">
        <v>42709</v>
      </c>
      <c r="P62" s="76" t="s">
        <v>261</v>
      </c>
      <c r="Q62" s="81">
        <v>184</v>
      </c>
      <c r="R62" s="76" t="s">
        <v>99</v>
      </c>
      <c r="S62" s="54">
        <v>91200</v>
      </c>
      <c r="T62" s="54" t="s">
        <v>119</v>
      </c>
      <c r="U62" s="51" t="s">
        <v>101</v>
      </c>
      <c r="V62" s="129">
        <v>1.26</v>
      </c>
      <c r="W62" s="51">
        <v>1</v>
      </c>
      <c r="X62" s="51" t="s">
        <v>133</v>
      </c>
      <c r="Y62" s="51" t="s">
        <v>32</v>
      </c>
      <c r="Z62" s="129">
        <v>0.315</v>
      </c>
      <c r="AA62" s="129">
        <v>0.94500000000000006</v>
      </c>
    </row>
    <row r="63" spans="1:27" x14ac:dyDescent="0.25">
      <c r="A63" s="51" t="s">
        <v>96</v>
      </c>
      <c r="B63" s="51" t="s">
        <v>96</v>
      </c>
      <c r="C63" s="80">
        <v>8520</v>
      </c>
      <c r="D63" s="80" t="s">
        <v>186</v>
      </c>
      <c r="E63" s="80" t="s">
        <v>15</v>
      </c>
      <c r="F63" s="80">
        <v>199</v>
      </c>
      <c r="G63" s="80" t="s">
        <v>124</v>
      </c>
      <c r="H63" s="80" t="s">
        <v>20</v>
      </c>
      <c r="I63" s="132" t="s">
        <v>337</v>
      </c>
      <c r="J63" s="51" t="s">
        <v>41</v>
      </c>
      <c r="K63" s="51" t="s">
        <v>249</v>
      </c>
      <c r="L63" s="128">
        <v>42643</v>
      </c>
      <c r="M63" s="54" t="s">
        <v>109</v>
      </c>
      <c r="N63" s="54" t="s">
        <v>10</v>
      </c>
      <c r="O63" s="76">
        <v>42709</v>
      </c>
      <c r="P63" s="76" t="s">
        <v>261</v>
      </c>
      <c r="Q63" s="81">
        <v>184</v>
      </c>
      <c r="R63" s="76" t="s">
        <v>99</v>
      </c>
      <c r="S63" s="54">
        <v>67200</v>
      </c>
      <c r="T63" s="54" t="s">
        <v>119</v>
      </c>
      <c r="U63" s="51" t="s">
        <v>101</v>
      </c>
      <c r="V63" s="129">
        <v>0.93</v>
      </c>
      <c r="W63" s="51">
        <v>1</v>
      </c>
      <c r="X63" s="51" t="s">
        <v>133</v>
      </c>
      <c r="Y63" s="51" t="s">
        <v>32</v>
      </c>
      <c r="Z63" s="129">
        <v>0.23250000000000001</v>
      </c>
      <c r="AA63" s="129">
        <v>0.69750000000000001</v>
      </c>
    </row>
    <row r="64" spans="1:27" x14ac:dyDescent="0.25">
      <c r="A64" s="51" t="s">
        <v>102</v>
      </c>
      <c r="B64" s="51" t="s">
        <v>277</v>
      </c>
      <c r="C64" s="80">
        <v>8520</v>
      </c>
      <c r="D64" s="80" t="s">
        <v>186</v>
      </c>
      <c r="E64" s="80" t="s">
        <v>15</v>
      </c>
      <c r="F64" s="80">
        <v>8420</v>
      </c>
      <c r="G64" s="80" t="s">
        <v>120</v>
      </c>
      <c r="H64" s="80" t="s">
        <v>15</v>
      </c>
      <c r="I64" s="132" t="s">
        <v>426</v>
      </c>
      <c r="J64" s="51" t="s">
        <v>54</v>
      </c>
      <c r="K64" s="51" t="s">
        <v>137</v>
      </c>
      <c r="L64" s="128">
        <v>42643</v>
      </c>
      <c r="M64" s="54" t="s">
        <v>104</v>
      </c>
      <c r="N64" s="54" t="s">
        <v>9</v>
      </c>
      <c r="O64" s="76">
        <v>42678</v>
      </c>
      <c r="P64" s="76" t="s">
        <v>261</v>
      </c>
      <c r="Q64" s="81">
        <v>215</v>
      </c>
      <c r="R64" s="76" t="s">
        <v>99</v>
      </c>
      <c r="S64" s="54">
        <v>537831</v>
      </c>
      <c r="T64" s="54" t="s">
        <v>119</v>
      </c>
      <c r="U64" s="51" t="s">
        <v>105</v>
      </c>
      <c r="V64" s="129">
        <v>7.44</v>
      </c>
      <c r="W64" s="51">
        <v>1</v>
      </c>
      <c r="X64" s="51" t="s">
        <v>134</v>
      </c>
      <c r="Y64" s="51" t="s">
        <v>31</v>
      </c>
      <c r="Z64" s="129">
        <v>3.72</v>
      </c>
      <c r="AA64" s="129">
        <v>3.72</v>
      </c>
    </row>
    <row r="65" spans="1:27" x14ac:dyDescent="0.25">
      <c r="A65" s="51" t="s">
        <v>96</v>
      </c>
      <c r="B65" s="51" t="s">
        <v>96</v>
      </c>
      <c r="C65" s="80">
        <v>8520</v>
      </c>
      <c r="D65" s="80" t="s">
        <v>186</v>
      </c>
      <c r="E65" s="80" t="s">
        <v>15</v>
      </c>
      <c r="F65" s="80">
        <v>95</v>
      </c>
      <c r="G65" s="80" t="s">
        <v>110</v>
      </c>
      <c r="H65" s="80" t="s">
        <v>18</v>
      </c>
      <c r="I65" s="132" t="s">
        <v>399</v>
      </c>
      <c r="J65" s="51" t="s">
        <v>47</v>
      </c>
      <c r="K65" s="51" t="s">
        <v>273</v>
      </c>
      <c r="L65" s="128">
        <v>42643</v>
      </c>
      <c r="M65" s="54" t="s">
        <v>121</v>
      </c>
      <c r="N65" s="54" t="s">
        <v>9</v>
      </c>
      <c r="O65" s="76">
        <v>42709</v>
      </c>
      <c r="P65" s="76" t="s">
        <v>261</v>
      </c>
      <c r="Q65" s="81">
        <v>184</v>
      </c>
      <c r="R65" s="76" t="s">
        <v>99</v>
      </c>
      <c r="S65" s="54">
        <v>216000</v>
      </c>
      <c r="T65" s="54" t="s">
        <v>119</v>
      </c>
      <c r="U65" s="51" t="s">
        <v>101</v>
      </c>
      <c r="V65" s="129">
        <v>2.99</v>
      </c>
      <c r="W65" s="51">
        <v>1</v>
      </c>
      <c r="X65" s="51" t="s">
        <v>138</v>
      </c>
      <c r="Y65" s="51" t="s">
        <v>31</v>
      </c>
      <c r="Z65" s="129">
        <v>1.4950000000000001</v>
      </c>
      <c r="AA65" s="129">
        <v>1.4950000000000001</v>
      </c>
    </row>
    <row r="66" spans="1:27" x14ac:dyDescent="0.25">
      <c r="A66" s="51" t="s">
        <v>96</v>
      </c>
      <c r="B66" s="51" t="s">
        <v>96</v>
      </c>
      <c r="C66" s="80">
        <v>8520</v>
      </c>
      <c r="D66" s="80" t="s">
        <v>186</v>
      </c>
      <c r="E66" s="80" t="s">
        <v>15</v>
      </c>
      <c r="F66" s="80">
        <v>3011</v>
      </c>
      <c r="G66" s="80" t="s">
        <v>106</v>
      </c>
      <c r="H66" s="80" t="s">
        <v>20</v>
      </c>
      <c r="I66" s="132" t="s">
        <v>338</v>
      </c>
      <c r="J66" s="51" t="s">
        <v>41</v>
      </c>
      <c r="K66" s="51" t="s">
        <v>139</v>
      </c>
      <c r="L66" s="128">
        <v>42643</v>
      </c>
      <c r="M66" s="54" t="s">
        <v>122</v>
      </c>
      <c r="N66" s="54" t="s">
        <v>9</v>
      </c>
      <c r="O66" s="76">
        <v>42681</v>
      </c>
      <c r="P66" s="76" t="s">
        <v>261</v>
      </c>
      <c r="Q66" s="81">
        <v>212</v>
      </c>
      <c r="R66" s="76" t="s">
        <v>99</v>
      </c>
      <c r="S66" s="54">
        <v>156092.51999999999</v>
      </c>
      <c r="T66" s="54" t="s">
        <v>119</v>
      </c>
      <c r="U66" s="51" t="s">
        <v>101</v>
      </c>
      <c r="V66" s="129">
        <v>2.16</v>
      </c>
      <c r="W66" s="51">
        <v>1</v>
      </c>
      <c r="X66" s="51" t="s">
        <v>140</v>
      </c>
      <c r="Y66" s="51" t="s">
        <v>31</v>
      </c>
      <c r="Z66" s="129">
        <v>1.08</v>
      </c>
      <c r="AA66" s="129">
        <v>1.08</v>
      </c>
    </row>
    <row r="67" spans="1:27" x14ac:dyDescent="0.25">
      <c r="A67" s="51" t="s">
        <v>102</v>
      </c>
      <c r="B67" s="51" t="s">
        <v>277</v>
      </c>
      <c r="C67" s="80">
        <v>8520</v>
      </c>
      <c r="D67" s="80" t="s">
        <v>186</v>
      </c>
      <c r="E67" s="80" t="s">
        <v>15</v>
      </c>
      <c r="F67" s="80">
        <v>8420</v>
      </c>
      <c r="G67" s="80" t="s">
        <v>120</v>
      </c>
      <c r="H67" s="80" t="s">
        <v>15</v>
      </c>
      <c r="I67" s="132" t="s">
        <v>427</v>
      </c>
      <c r="J67" s="51" t="s">
        <v>54</v>
      </c>
      <c r="K67" s="51" t="s">
        <v>137</v>
      </c>
      <c r="L67" s="128">
        <v>42643</v>
      </c>
      <c r="M67" s="54" t="s">
        <v>104</v>
      </c>
      <c r="N67" s="54" t="s">
        <v>9</v>
      </c>
      <c r="O67" s="76">
        <v>42678</v>
      </c>
      <c r="P67" s="76" t="s">
        <v>261</v>
      </c>
      <c r="Q67" s="81">
        <v>215</v>
      </c>
      <c r="R67" s="76" t="s">
        <v>99</v>
      </c>
      <c r="S67" s="54">
        <v>124200</v>
      </c>
      <c r="T67" s="54" t="s">
        <v>119</v>
      </c>
      <c r="U67" s="51" t="s">
        <v>105</v>
      </c>
      <c r="V67" s="129">
        <v>1.72</v>
      </c>
      <c r="W67" s="51">
        <v>1</v>
      </c>
      <c r="X67" s="51" t="s">
        <v>134</v>
      </c>
      <c r="Y67" s="51" t="s">
        <v>31</v>
      </c>
      <c r="Z67" s="129">
        <v>0.86</v>
      </c>
      <c r="AA67" s="129">
        <v>0.86</v>
      </c>
    </row>
    <row r="68" spans="1:27" x14ac:dyDescent="0.25">
      <c r="A68" s="51" t="s">
        <v>102</v>
      </c>
      <c r="B68" s="51" t="s">
        <v>277</v>
      </c>
      <c r="C68" s="80">
        <v>8520</v>
      </c>
      <c r="D68" s="80" t="s">
        <v>186</v>
      </c>
      <c r="E68" s="80" t="s">
        <v>15</v>
      </c>
      <c r="F68" s="80">
        <v>8420</v>
      </c>
      <c r="G68" s="80" t="s">
        <v>120</v>
      </c>
      <c r="H68" s="80" t="s">
        <v>15</v>
      </c>
      <c r="I68" s="132" t="s">
        <v>428</v>
      </c>
      <c r="J68" s="51" t="s">
        <v>54</v>
      </c>
      <c r="K68" s="51" t="s">
        <v>137</v>
      </c>
      <c r="L68" s="128">
        <v>42643</v>
      </c>
      <c r="M68" s="54" t="s">
        <v>104</v>
      </c>
      <c r="N68" s="54" t="s">
        <v>9</v>
      </c>
      <c r="O68" s="76">
        <v>42678</v>
      </c>
      <c r="P68" s="76" t="s">
        <v>261</v>
      </c>
      <c r="Q68" s="81">
        <v>215</v>
      </c>
      <c r="R68" s="76" t="s">
        <v>99</v>
      </c>
      <c r="S68" s="54">
        <v>113400</v>
      </c>
      <c r="T68" s="54" t="s">
        <v>119</v>
      </c>
      <c r="U68" s="51" t="s">
        <v>105</v>
      </c>
      <c r="V68" s="129">
        <v>1.57</v>
      </c>
      <c r="W68" s="51">
        <v>1</v>
      </c>
      <c r="X68" s="51" t="s">
        <v>134</v>
      </c>
      <c r="Y68" s="51" t="s">
        <v>31</v>
      </c>
      <c r="Z68" s="129">
        <v>0.78500000000000003</v>
      </c>
      <c r="AA68" s="129">
        <v>0.78500000000000003</v>
      </c>
    </row>
    <row r="69" spans="1:27" x14ac:dyDescent="0.25">
      <c r="A69" s="51" t="s">
        <v>96</v>
      </c>
      <c r="B69" s="51" t="s">
        <v>96</v>
      </c>
      <c r="C69" s="80">
        <v>8520</v>
      </c>
      <c r="D69" s="80" t="s">
        <v>186</v>
      </c>
      <c r="E69" s="80" t="s">
        <v>15</v>
      </c>
      <c r="F69" s="80">
        <v>3011</v>
      </c>
      <c r="G69" s="80" t="s">
        <v>106</v>
      </c>
      <c r="H69" s="80" t="s">
        <v>20</v>
      </c>
      <c r="I69" s="132" t="s">
        <v>339</v>
      </c>
      <c r="J69" s="51" t="s">
        <v>41</v>
      </c>
      <c r="K69" s="51" t="s">
        <v>139</v>
      </c>
      <c r="L69" s="128">
        <v>42643</v>
      </c>
      <c r="M69" s="54" t="s">
        <v>122</v>
      </c>
      <c r="N69" s="54" t="s">
        <v>9</v>
      </c>
      <c r="O69" s="76">
        <v>42681</v>
      </c>
      <c r="P69" s="76" t="s">
        <v>261</v>
      </c>
      <c r="Q69" s="81">
        <v>212</v>
      </c>
      <c r="R69" s="76" t="s">
        <v>99</v>
      </c>
      <c r="S69" s="54">
        <v>150160</v>
      </c>
      <c r="T69" s="54" t="s">
        <v>119</v>
      </c>
      <c r="U69" s="51" t="s">
        <v>101</v>
      </c>
      <c r="V69" s="129">
        <v>2.08</v>
      </c>
      <c r="W69" s="51">
        <v>1</v>
      </c>
      <c r="X69" s="51" t="s">
        <v>140</v>
      </c>
      <c r="Y69" s="51" t="s">
        <v>31</v>
      </c>
      <c r="Z69" s="129">
        <v>1.04</v>
      </c>
      <c r="AA69" s="129">
        <v>1.04</v>
      </c>
    </row>
    <row r="70" spans="1:27" x14ac:dyDescent="0.25">
      <c r="A70" s="51" t="s">
        <v>102</v>
      </c>
      <c r="B70" s="51" t="s">
        <v>277</v>
      </c>
      <c r="C70" s="80">
        <v>8520</v>
      </c>
      <c r="D70" s="80" t="s">
        <v>186</v>
      </c>
      <c r="E70" s="80" t="s">
        <v>15</v>
      </c>
      <c r="F70" s="80">
        <v>8420</v>
      </c>
      <c r="G70" s="80" t="s">
        <v>120</v>
      </c>
      <c r="H70" s="80" t="s">
        <v>15</v>
      </c>
      <c r="I70" s="132" t="s">
        <v>429</v>
      </c>
      <c r="J70" s="51" t="s">
        <v>54</v>
      </c>
      <c r="K70" s="51" t="s">
        <v>137</v>
      </c>
      <c r="L70" s="128">
        <v>42643</v>
      </c>
      <c r="M70" s="54" t="s">
        <v>104</v>
      </c>
      <c r="N70" s="54" t="s">
        <v>9</v>
      </c>
      <c r="O70" s="76">
        <v>42678</v>
      </c>
      <c r="P70" s="76" t="s">
        <v>261</v>
      </c>
      <c r="Q70" s="81">
        <v>215</v>
      </c>
      <c r="R70" s="76" t="s">
        <v>99</v>
      </c>
      <c r="S70" s="54">
        <v>191970</v>
      </c>
      <c r="T70" s="54" t="s">
        <v>119</v>
      </c>
      <c r="U70" s="51" t="s">
        <v>105</v>
      </c>
      <c r="V70" s="129">
        <v>2.65</v>
      </c>
      <c r="W70" s="51">
        <v>1</v>
      </c>
      <c r="X70" s="51" t="s">
        <v>134</v>
      </c>
      <c r="Y70" s="51" t="s">
        <v>31</v>
      </c>
      <c r="Z70" s="129">
        <v>1.325</v>
      </c>
      <c r="AA70" s="129">
        <v>1.325</v>
      </c>
    </row>
    <row r="71" spans="1:27" x14ac:dyDescent="0.25">
      <c r="A71" s="51" t="s">
        <v>102</v>
      </c>
      <c r="B71" s="51" t="s">
        <v>277</v>
      </c>
      <c r="C71" s="80">
        <v>8520</v>
      </c>
      <c r="D71" s="80" t="s">
        <v>186</v>
      </c>
      <c r="E71" s="80" t="s">
        <v>15</v>
      </c>
      <c r="F71" s="80">
        <v>8420</v>
      </c>
      <c r="G71" s="80" t="s">
        <v>120</v>
      </c>
      <c r="H71" s="80" t="s">
        <v>15</v>
      </c>
      <c r="I71" s="132" t="s">
        <v>430</v>
      </c>
      <c r="J71" s="51" t="s">
        <v>54</v>
      </c>
      <c r="K71" s="51" t="s">
        <v>137</v>
      </c>
      <c r="L71" s="128">
        <v>42643</v>
      </c>
      <c r="M71" s="54" t="s">
        <v>104</v>
      </c>
      <c r="N71" s="54" t="s">
        <v>9</v>
      </c>
      <c r="O71" s="76">
        <v>42678</v>
      </c>
      <c r="P71" s="76" t="s">
        <v>261</v>
      </c>
      <c r="Q71" s="81">
        <v>215</v>
      </c>
      <c r="R71" s="76" t="s">
        <v>99</v>
      </c>
      <c r="S71" s="54">
        <v>121581</v>
      </c>
      <c r="T71" s="54" t="s">
        <v>119</v>
      </c>
      <c r="U71" s="51" t="s">
        <v>105</v>
      </c>
      <c r="V71" s="129">
        <v>1.68</v>
      </c>
      <c r="W71" s="51">
        <v>1</v>
      </c>
      <c r="X71" s="51" t="s">
        <v>134</v>
      </c>
      <c r="Y71" s="51" t="s">
        <v>31</v>
      </c>
      <c r="Z71" s="129">
        <v>0.84</v>
      </c>
      <c r="AA71" s="129">
        <v>0.84</v>
      </c>
    </row>
    <row r="72" spans="1:27" x14ac:dyDescent="0.25">
      <c r="A72" s="51" t="s">
        <v>96</v>
      </c>
      <c r="B72" s="51" t="s">
        <v>96</v>
      </c>
      <c r="C72" s="80">
        <v>8520</v>
      </c>
      <c r="D72" s="80" t="s">
        <v>186</v>
      </c>
      <c r="E72" s="80" t="s">
        <v>15</v>
      </c>
      <c r="F72" s="80">
        <v>3011</v>
      </c>
      <c r="G72" s="80" t="s">
        <v>106</v>
      </c>
      <c r="H72" s="80" t="s">
        <v>20</v>
      </c>
      <c r="I72" s="132" t="s">
        <v>444</v>
      </c>
      <c r="J72" s="51" t="s">
        <v>52</v>
      </c>
      <c r="K72" s="51" t="s">
        <v>132</v>
      </c>
      <c r="L72" s="128">
        <v>42646</v>
      </c>
      <c r="M72" s="54" t="s">
        <v>121</v>
      </c>
      <c r="N72" s="54" t="s">
        <v>9</v>
      </c>
      <c r="O72" s="76">
        <v>42681</v>
      </c>
      <c r="P72" s="76" t="s">
        <v>261</v>
      </c>
      <c r="Q72" s="81">
        <v>212</v>
      </c>
      <c r="R72" s="76" t="s">
        <v>99</v>
      </c>
      <c r="S72" s="54">
        <v>329400</v>
      </c>
      <c r="T72" s="54" t="s">
        <v>119</v>
      </c>
      <c r="U72" s="51" t="s">
        <v>101</v>
      </c>
      <c r="V72" s="129">
        <v>4.55</v>
      </c>
      <c r="W72" s="51">
        <v>1</v>
      </c>
      <c r="X72" s="51" t="s">
        <v>138</v>
      </c>
      <c r="Y72" s="51" t="s">
        <v>31</v>
      </c>
      <c r="Z72" s="129">
        <v>2.2749999999999999</v>
      </c>
      <c r="AA72" s="129">
        <v>2.2749999999999999</v>
      </c>
    </row>
    <row r="73" spans="1:27" x14ac:dyDescent="0.25">
      <c r="A73" s="51" t="s">
        <v>102</v>
      </c>
      <c r="B73" s="51" t="s">
        <v>223</v>
      </c>
      <c r="C73" s="80">
        <v>8520</v>
      </c>
      <c r="D73" s="80" t="s">
        <v>186</v>
      </c>
      <c r="E73" s="80" t="s">
        <v>15</v>
      </c>
      <c r="F73" s="80">
        <v>199</v>
      </c>
      <c r="G73" s="80" t="s">
        <v>124</v>
      </c>
      <c r="H73" s="80" t="s">
        <v>20</v>
      </c>
      <c r="I73" s="132" t="s">
        <v>340</v>
      </c>
      <c r="J73" s="51" t="s">
        <v>41</v>
      </c>
      <c r="K73" s="51" t="s">
        <v>201</v>
      </c>
      <c r="L73" s="128">
        <v>42584</v>
      </c>
      <c r="M73" s="54" t="s">
        <v>109</v>
      </c>
      <c r="N73" s="54" t="s">
        <v>10</v>
      </c>
      <c r="O73" s="76">
        <v>42586</v>
      </c>
      <c r="P73" s="76" t="s">
        <v>206</v>
      </c>
      <c r="Q73" s="81">
        <v>307</v>
      </c>
      <c r="R73" s="76" t="s">
        <v>99</v>
      </c>
      <c r="S73" s="54">
        <v>295307.09999999998</v>
      </c>
      <c r="T73" s="54" t="s">
        <v>119</v>
      </c>
      <c r="U73" s="51" t="s">
        <v>101</v>
      </c>
      <c r="V73" s="129">
        <v>4.08</v>
      </c>
      <c r="W73" s="51">
        <v>1</v>
      </c>
      <c r="X73" s="51" t="s">
        <v>133</v>
      </c>
      <c r="Y73" s="51" t="s">
        <v>32</v>
      </c>
      <c r="Z73" s="129">
        <v>1.02</v>
      </c>
      <c r="AA73" s="129">
        <v>3.06</v>
      </c>
    </row>
    <row r="74" spans="1:27" x14ac:dyDescent="0.25">
      <c r="A74" s="51" t="s">
        <v>102</v>
      </c>
      <c r="B74" s="51" t="s">
        <v>223</v>
      </c>
      <c r="C74" s="80">
        <v>8520</v>
      </c>
      <c r="D74" s="80" t="s">
        <v>186</v>
      </c>
      <c r="E74" s="80" t="s">
        <v>15</v>
      </c>
      <c r="F74" s="80">
        <v>199</v>
      </c>
      <c r="G74" s="80" t="s">
        <v>124</v>
      </c>
      <c r="H74" s="80" t="s">
        <v>20</v>
      </c>
      <c r="I74" s="132" t="s">
        <v>341</v>
      </c>
      <c r="J74" s="51" t="s">
        <v>41</v>
      </c>
      <c r="K74" s="51" t="s">
        <v>139</v>
      </c>
      <c r="L74" s="128">
        <v>42584</v>
      </c>
      <c r="M74" s="54" t="s">
        <v>98</v>
      </c>
      <c r="N74" s="54" t="s">
        <v>9</v>
      </c>
      <c r="O74" s="76">
        <v>42586</v>
      </c>
      <c r="P74" s="76" t="s">
        <v>206</v>
      </c>
      <c r="Q74" s="81">
        <v>307</v>
      </c>
      <c r="R74" s="76" t="s">
        <v>99</v>
      </c>
      <c r="S74" s="54">
        <v>15632</v>
      </c>
      <c r="T74" s="54" t="s">
        <v>119</v>
      </c>
      <c r="U74" s="51" t="s">
        <v>101</v>
      </c>
      <c r="V74" s="129">
        <v>0.22</v>
      </c>
      <c r="W74" s="51">
        <v>1</v>
      </c>
      <c r="X74" s="51" t="s">
        <v>135</v>
      </c>
      <c r="Y74" s="51" t="s">
        <v>30</v>
      </c>
      <c r="Z74" s="129">
        <v>0.22</v>
      </c>
      <c r="AA74" s="129">
        <v>0</v>
      </c>
    </row>
    <row r="75" spans="1:27" x14ac:dyDescent="0.25">
      <c r="A75" s="51" t="s">
        <v>102</v>
      </c>
      <c r="B75" s="51" t="s">
        <v>253</v>
      </c>
      <c r="C75" s="80">
        <v>8520</v>
      </c>
      <c r="D75" s="80" t="s">
        <v>186</v>
      </c>
      <c r="E75" s="80" t="s">
        <v>15</v>
      </c>
      <c r="F75" s="80">
        <v>199</v>
      </c>
      <c r="G75" s="80" t="s">
        <v>124</v>
      </c>
      <c r="H75" s="80" t="s">
        <v>20</v>
      </c>
      <c r="I75" s="132" t="s">
        <v>421</v>
      </c>
      <c r="J75" s="51" t="s">
        <v>56</v>
      </c>
      <c r="K75" s="51" t="s">
        <v>200</v>
      </c>
      <c r="L75" s="128">
        <v>42584</v>
      </c>
      <c r="M75" s="54" t="s">
        <v>109</v>
      </c>
      <c r="N75" s="54" t="s">
        <v>10</v>
      </c>
      <c r="O75" s="76">
        <v>42618</v>
      </c>
      <c r="P75" s="76" t="s">
        <v>206</v>
      </c>
      <c r="Q75" s="81">
        <v>275</v>
      </c>
      <c r="R75" s="76" t="s">
        <v>99</v>
      </c>
      <c r="S75" s="54">
        <v>386956.25</v>
      </c>
      <c r="T75" s="54" t="s">
        <v>119</v>
      </c>
      <c r="U75" s="51" t="s">
        <v>101</v>
      </c>
      <c r="V75" s="129">
        <v>5.35</v>
      </c>
      <c r="W75" s="51">
        <v>1</v>
      </c>
      <c r="X75" s="51" t="s">
        <v>133</v>
      </c>
      <c r="Y75" s="51" t="s">
        <v>32</v>
      </c>
      <c r="Z75" s="129">
        <v>1.3374999999999999</v>
      </c>
      <c r="AA75" s="129">
        <v>4.0124999999999993</v>
      </c>
    </row>
    <row r="76" spans="1:27" x14ac:dyDescent="0.25">
      <c r="A76" s="51" t="s">
        <v>102</v>
      </c>
      <c r="B76" s="51" t="s">
        <v>253</v>
      </c>
      <c r="C76" s="80">
        <v>8520</v>
      </c>
      <c r="D76" s="80" t="s">
        <v>186</v>
      </c>
      <c r="E76" s="80" t="s">
        <v>15</v>
      </c>
      <c r="F76" s="80">
        <v>199</v>
      </c>
      <c r="G76" s="80" t="s">
        <v>124</v>
      </c>
      <c r="H76" s="80" t="s">
        <v>20</v>
      </c>
      <c r="I76" s="132" t="s">
        <v>400</v>
      </c>
      <c r="J76" s="51" t="s">
        <v>47</v>
      </c>
      <c r="K76" s="51" t="s">
        <v>142</v>
      </c>
      <c r="L76" s="128">
        <v>42584</v>
      </c>
      <c r="M76" s="54" t="s">
        <v>109</v>
      </c>
      <c r="N76" s="54" t="s">
        <v>10</v>
      </c>
      <c r="O76" s="76">
        <v>42618</v>
      </c>
      <c r="P76" s="76" t="s">
        <v>206</v>
      </c>
      <c r="Q76" s="81">
        <v>275</v>
      </c>
      <c r="R76" s="76" t="s">
        <v>99</v>
      </c>
      <c r="S76" s="54">
        <v>311508.09000000003</v>
      </c>
      <c r="T76" s="54" t="s">
        <v>119</v>
      </c>
      <c r="U76" s="51" t="s">
        <v>101</v>
      </c>
      <c r="V76" s="129">
        <v>4.3099999999999996</v>
      </c>
      <c r="W76" s="51">
        <v>1</v>
      </c>
      <c r="X76" s="51" t="s">
        <v>133</v>
      </c>
      <c r="Y76" s="51" t="s">
        <v>32</v>
      </c>
      <c r="Z76" s="129">
        <v>1.0774999999999999</v>
      </c>
      <c r="AA76" s="129">
        <v>3.2324999999999999</v>
      </c>
    </row>
    <row r="77" spans="1:27" x14ac:dyDescent="0.25">
      <c r="A77" s="51" t="s">
        <v>102</v>
      </c>
      <c r="B77" s="51" t="s">
        <v>210</v>
      </c>
      <c r="C77" s="80">
        <v>8520</v>
      </c>
      <c r="D77" s="80" t="s">
        <v>186</v>
      </c>
      <c r="E77" s="80" t="s">
        <v>15</v>
      </c>
      <c r="F77" s="80">
        <v>260</v>
      </c>
      <c r="G77" s="80" t="s">
        <v>114</v>
      </c>
      <c r="H77" s="80" t="s">
        <v>17</v>
      </c>
      <c r="I77" s="132" t="s">
        <v>342</v>
      </c>
      <c r="J77" s="51" t="s">
        <v>41</v>
      </c>
      <c r="K77" s="51" t="s">
        <v>141</v>
      </c>
      <c r="L77" s="128">
        <v>42544</v>
      </c>
      <c r="M77" s="54" t="s">
        <v>121</v>
      </c>
      <c r="N77" s="54" t="s">
        <v>9</v>
      </c>
      <c r="O77" s="76">
        <v>42549</v>
      </c>
      <c r="P77" s="76" t="s">
        <v>207</v>
      </c>
      <c r="Q77" s="81">
        <v>344</v>
      </c>
      <c r="R77" s="76" t="s">
        <v>99</v>
      </c>
      <c r="S77" s="54">
        <v>107314</v>
      </c>
      <c r="T77" s="54" t="s">
        <v>119</v>
      </c>
      <c r="U77" s="51" t="s">
        <v>101</v>
      </c>
      <c r="V77" s="129">
        <v>1.48</v>
      </c>
      <c r="W77" s="51">
        <v>1</v>
      </c>
      <c r="X77" s="51" t="s">
        <v>138</v>
      </c>
      <c r="Y77" s="51" t="s">
        <v>31</v>
      </c>
      <c r="Z77" s="129">
        <v>0.74</v>
      </c>
      <c r="AA77" s="129">
        <v>0.74</v>
      </c>
    </row>
    <row r="78" spans="1:27" x14ac:dyDescent="0.25">
      <c r="A78" s="51" t="s">
        <v>102</v>
      </c>
      <c r="B78" s="51" t="s">
        <v>253</v>
      </c>
      <c r="C78" s="80">
        <v>8520</v>
      </c>
      <c r="D78" s="80" t="s">
        <v>186</v>
      </c>
      <c r="E78" s="80" t="s">
        <v>15</v>
      </c>
      <c r="F78" s="80">
        <v>8420</v>
      </c>
      <c r="G78" s="80" t="s">
        <v>120</v>
      </c>
      <c r="H78" s="80" t="s">
        <v>15</v>
      </c>
      <c r="I78" s="132" t="s">
        <v>431</v>
      </c>
      <c r="J78" s="51" t="s">
        <v>54</v>
      </c>
      <c r="K78" s="51" t="s">
        <v>137</v>
      </c>
      <c r="L78" s="128">
        <v>42544</v>
      </c>
      <c r="M78" s="54" t="s">
        <v>104</v>
      </c>
      <c r="N78" s="54" t="s">
        <v>9</v>
      </c>
      <c r="O78" s="76">
        <v>42618</v>
      </c>
      <c r="P78" s="76" t="s">
        <v>206</v>
      </c>
      <c r="Q78" s="81">
        <v>275</v>
      </c>
      <c r="R78" s="76" t="s">
        <v>99</v>
      </c>
      <c r="S78" s="54">
        <v>124200</v>
      </c>
      <c r="T78" s="54" t="s">
        <v>119</v>
      </c>
      <c r="U78" s="51" t="s">
        <v>105</v>
      </c>
      <c r="V78" s="129">
        <v>1.72</v>
      </c>
      <c r="W78" s="51">
        <v>1</v>
      </c>
      <c r="X78" s="51" t="s">
        <v>134</v>
      </c>
      <c r="Y78" s="51" t="s">
        <v>31</v>
      </c>
      <c r="Z78" s="129">
        <v>0.86</v>
      </c>
      <c r="AA78" s="129">
        <v>0.86</v>
      </c>
    </row>
    <row r="79" spans="1:27" x14ac:dyDescent="0.25">
      <c r="A79" s="51" t="s">
        <v>102</v>
      </c>
      <c r="B79" s="51" t="s">
        <v>253</v>
      </c>
      <c r="C79" s="80">
        <v>8520</v>
      </c>
      <c r="D79" s="80" t="s">
        <v>186</v>
      </c>
      <c r="E79" s="80" t="s">
        <v>15</v>
      </c>
      <c r="F79" s="80">
        <v>8420</v>
      </c>
      <c r="G79" s="80" t="s">
        <v>120</v>
      </c>
      <c r="H79" s="80" t="s">
        <v>15</v>
      </c>
      <c r="I79" s="132" t="s">
        <v>432</v>
      </c>
      <c r="J79" s="51" t="s">
        <v>54</v>
      </c>
      <c r="K79" s="51" t="s">
        <v>137</v>
      </c>
      <c r="L79" s="128">
        <v>42544</v>
      </c>
      <c r="M79" s="54" t="s">
        <v>104</v>
      </c>
      <c r="N79" s="54" t="s">
        <v>9</v>
      </c>
      <c r="O79" s="76">
        <v>42618</v>
      </c>
      <c r="P79" s="76" t="s">
        <v>206</v>
      </c>
      <c r="Q79" s="81">
        <v>275</v>
      </c>
      <c r="R79" s="76" t="s">
        <v>99</v>
      </c>
      <c r="S79" s="54">
        <v>70200</v>
      </c>
      <c r="T79" s="54" t="s">
        <v>119</v>
      </c>
      <c r="U79" s="51" t="s">
        <v>105</v>
      </c>
      <c r="V79" s="129">
        <v>0.97</v>
      </c>
      <c r="W79" s="51">
        <v>1</v>
      </c>
      <c r="X79" s="51" t="s">
        <v>134</v>
      </c>
      <c r="Y79" s="51" t="s">
        <v>31</v>
      </c>
      <c r="Z79" s="129">
        <v>0.48499999999999999</v>
      </c>
      <c r="AA79" s="129">
        <v>0.48499999999999999</v>
      </c>
    </row>
    <row r="80" spans="1:27" x14ac:dyDescent="0.25">
      <c r="A80" s="51" t="s">
        <v>102</v>
      </c>
      <c r="B80" s="51" t="s">
        <v>223</v>
      </c>
      <c r="C80" s="80">
        <v>8520</v>
      </c>
      <c r="D80" s="80" t="s">
        <v>186</v>
      </c>
      <c r="E80" s="80" t="s">
        <v>15</v>
      </c>
      <c r="F80" s="80">
        <v>8420</v>
      </c>
      <c r="G80" s="80" t="s">
        <v>120</v>
      </c>
      <c r="H80" s="80" t="s">
        <v>15</v>
      </c>
      <c r="I80" s="132" t="s">
        <v>390</v>
      </c>
      <c r="J80" s="51" t="s">
        <v>37</v>
      </c>
      <c r="K80" s="51" t="s">
        <v>199</v>
      </c>
      <c r="L80" s="128">
        <v>42544</v>
      </c>
      <c r="M80" s="54" t="s">
        <v>121</v>
      </c>
      <c r="N80" s="54" t="s">
        <v>9</v>
      </c>
      <c r="O80" s="76">
        <v>42585</v>
      </c>
      <c r="P80" s="76" t="s">
        <v>206</v>
      </c>
      <c r="Q80" s="81">
        <v>308</v>
      </c>
      <c r="R80" s="76" t="s">
        <v>99</v>
      </c>
      <c r="S80" s="54">
        <v>3290</v>
      </c>
      <c r="T80" s="54" t="s">
        <v>119</v>
      </c>
      <c r="U80" s="51" t="s">
        <v>105</v>
      </c>
      <c r="V80" s="129">
        <v>0.05</v>
      </c>
      <c r="W80" s="51">
        <v>1</v>
      </c>
      <c r="X80" s="51" t="s">
        <v>138</v>
      </c>
      <c r="Y80" s="51" t="s">
        <v>31</v>
      </c>
      <c r="Z80" s="129">
        <v>2.5000000000000001E-2</v>
      </c>
      <c r="AA80" s="129">
        <v>2.5000000000000001E-2</v>
      </c>
    </row>
    <row r="81" spans="1:27" x14ac:dyDescent="0.25">
      <c r="A81" s="51" t="s">
        <v>102</v>
      </c>
      <c r="B81" s="51" t="s">
        <v>253</v>
      </c>
      <c r="C81" s="80">
        <v>8520</v>
      </c>
      <c r="D81" s="80" t="s">
        <v>186</v>
      </c>
      <c r="E81" s="80" t="s">
        <v>15</v>
      </c>
      <c r="F81" s="80">
        <v>8420</v>
      </c>
      <c r="G81" s="80" t="s">
        <v>120</v>
      </c>
      <c r="H81" s="80" t="s">
        <v>15</v>
      </c>
      <c r="I81" s="132" t="s">
        <v>433</v>
      </c>
      <c r="J81" s="51" t="s">
        <v>54</v>
      </c>
      <c r="K81" s="51" t="s">
        <v>137</v>
      </c>
      <c r="L81" s="128">
        <v>42544</v>
      </c>
      <c r="M81" s="54" t="s">
        <v>104</v>
      </c>
      <c r="N81" s="54" t="s">
        <v>9</v>
      </c>
      <c r="O81" s="76">
        <v>42618</v>
      </c>
      <c r="P81" s="76" t="s">
        <v>206</v>
      </c>
      <c r="Q81" s="81">
        <v>275</v>
      </c>
      <c r="R81" s="76" t="s">
        <v>99</v>
      </c>
      <c r="S81" s="54">
        <v>187200</v>
      </c>
      <c r="T81" s="54" t="s">
        <v>119</v>
      </c>
      <c r="U81" s="51" t="s">
        <v>105</v>
      </c>
      <c r="V81" s="129">
        <v>2.59</v>
      </c>
      <c r="W81" s="51">
        <v>1</v>
      </c>
      <c r="X81" s="51" t="s">
        <v>134</v>
      </c>
      <c r="Y81" s="51" t="s">
        <v>31</v>
      </c>
      <c r="Z81" s="129">
        <v>1.2949999999999999</v>
      </c>
      <c r="AA81" s="129">
        <v>1.2949999999999999</v>
      </c>
    </row>
    <row r="82" spans="1:27" x14ac:dyDescent="0.25">
      <c r="A82" s="51" t="s">
        <v>102</v>
      </c>
      <c r="B82" s="51" t="s">
        <v>253</v>
      </c>
      <c r="C82" s="80">
        <v>8520</v>
      </c>
      <c r="D82" s="80" t="s">
        <v>186</v>
      </c>
      <c r="E82" s="80" t="s">
        <v>15</v>
      </c>
      <c r="F82" s="80">
        <v>8420</v>
      </c>
      <c r="G82" s="80" t="s">
        <v>120</v>
      </c>
      <c r="H82" s="80" t="s">
        <v>15</v>
      </c>
      <c r="I82" s="132" t="s">
        <v>434</v>
      </c>
      <c r="J82" s="51" t="s">
        <v>54</v>
      </c>
      <c r="K82" s="51" t="s">
        <v>137</v>
      </c>
      <c r="L82" s="128">
        <v>42544</v>
      </c>
      <c r="M82" s="54" t="s">
        <v>104</v>
      </c>
      <c r="N82" s="54" t="s">
        <v>9</v>
      </c>
      <c r="O82" s="76">
        <v>42618</v>
      </c>
      <c r="P82" s="76" t="s">
        <v>206</v>
      </c>
      <c r="Q82" s="81">
        <v>275</v>
      </c>
      <c r="R82" s="76" t="s">
        <v>99</v>
      </c>
      <c r="S82" s="54">
        <v>582408</v>
      </c>
      <c r="T82" s="54" t="s">
        <v>119</v>
      </c>
      <c r="U82" s="51" t="s">
        <v>105</v>
      </c>
      <c r="V82" s="129">
        <v>8.0500000000000007</v>
      </c>
      <c r="W82" s="51">
        <v>1</v>
      </c>
      <c r="X82" s="51" t="s">
        <v>134</v>
      </c>
      <c r="Y82" s="51" t="s">
        <v>31</v>
      </c>
      <c r="Z82" s="129">
        <v>4.0250000000000004</v>
      </c>
      <c r="AA82" s="129">
        <v>4.0250000000000004</v>
      </c>
    </row>
    <row r="83" spans="1:27" x14ac:dyDescent="0.25">
      <c r="A83" s="51" t="s">
        <v>96</v>
      </c>
      <c r="B83" s="51" t="s">
        <v>96</v>
      </c>
      <c r="C83" s="80">
        <v>8520</v>
      </c>
      <c r="D83" s="80" t="s">
        <v>186</v>
      </c>
      <c r="E83" s="80" t="s">
        <v>15</v>
      </c>
      <c r="F83" s="80">
        <v>199</v>
      </c>
      <c r="G83" s="80" t="s">
        <v>124</v>
      </c>
      <c r="H83" s="80" t="s">
        <v>20</v>
      </c>
      <c r="I83" s="132" t="s">
        <v>343</v>
      </c>
      <c r="J83" s="51" t="s">
        <v>41</v>
      </c>
      <c r="K83" s="51" t="s">
        <v>249</v>
      </c>
      <c r="L83" s="128">
        <v>42614</v>
      </c>
      <c r="M83" s="54" t="s">
        <v>109</v>
      </c>
      <c r="N83" s="54" t="s">
        <v>10</v>
      </c>
      <c r="O83" s="76">
        <v>42681</v>
      </c>
      <c r="P83" s="76" t="s">
        <v>261</v>
      </c>
      <c r="Q83" s="81">
        <v>212</v>
      </c>
      <c r="R83" s="76" t="s">
        <v>99</v>
      </c>
      <c r="S83" s="54">
        <v>81738</v>
      </c>
      <c r="T83" s="54" t="s">
        <v>119</v>
      </c>
      <c r="U83" s="51" t="s">
        <v>101</v>
      </c>
      <c r="V83" s="129">
        <v>1.1299999999999999</v>
      </c>
      <c r="W83" s="51">
        <v>1</v>
      </c>
      <c r="X83" s="51" t="s">
        <v>133</v>
      </c>
      <c r="Y83" s="51" t="s">
        <v>32</v>
      </c>
      <c r="Z83" s="129">
        <v>0.28249999999999997</v>
      </c>
      <c r="AA83" s="129">
        <v>0.84749999999999992</v>
      </c>
    </row>
    <row r="84" spans="1:27" x14ac:dyDescent="0.25">
      <c r="A84" s="51" t="s">
        <v>96</v>
      </c>
      <c r="B84" s="51" t="s">
        <v>96</v>
      </c>
      <c r="C84" s="80">
        <v>8520</v>
      </c>
      <c r="D84" s="80" t="s">
        <v>186</v>
      </c>
      <c r="E84" s="80" t="s">
        <v>15</v>
      </c>
      <c r="F84" s="80">
        <v>199</v>
      </c>
      <c r="G84" s="80" t="s">
        <v>124</v>
      </c>
      <c r="H84" s="80" t="s">
        <v>20</v>
      </c>
      <c r="I84" s="132" t="s">
        <v>344</v>
      </c>
      <c r="J84" s="51" t="s">
        <v>41</v>
      </c>
      <c r="K84" s="51" t="s">
        <v>249</v>
      </c>
      <c r="L84" s="128">
        <v>42614</v>
      </c>
      <c r="M84" s="54" t="s">
        <v>109</v>
      </c>
      <c r="N84" s="54" t="s">
        <v>10</v>
      </c>
      <c r="O84" s="76">
        <v>42681</v>
      </c>
      <c r="P84" s="76" t="s">
        <v>261</v>
      </c>
      <c r="Q84" s="81">
        <v>212</v>
      </c>
      <c r="R84" s="76" t="s">
        <v>99</v>
      </c>
      <c r="S84" s="54">
        <v>90342</v>
      </c>
      <c r="T84" s="54" t="s">
        <v>119</v>
      </c>
      <c r="U84" s="51" t="s">
        <v>101</v>
      </c>
      <c r="V84" s="129">
        <v>1.25</v>
      </c>
      <c r="W84" s="51">
        <v>1</v>
      </c>
      <c r="X84" s="51" t="s">
        <v>133</v>
      </c>
      <c r="Y84" s="51" t="s">
        <v>32</v>
      </c>
      <c r="Z84" s="129">
        <v>0.3125</v>
      </c>
      <c r="AA84" s="129">
        <v>0.9375</v>
      </c>
    </row>
    <row r="85" spans="1:27" x14ac:dyDescent="0.25">
      <c r="A85" s="51" t="s">
        <v>96</v>
      </c>
      <c r="B85" s="51" t="s">
        <v>96</v>
      </c>
      <c r="C85" s="80">
        <v>8520</v>
      </c>
      <c r="D85" s="80" t="s">
        <v>186</v>
      </c>
      <c r="E85" s="80" t="s">
        <v>15</v>
      </c>
      <c r="F85" s="80">
        <v>199</v>
      </c>
      <c r="G85" s="80" t="s">
        <v>124</v>
      </c>
      <c r="H85" s="80" t="s">
        <v>20</v>
      </c>
      <c r="I85" s="132" t="s">
        <v>345</v>
      </c>
      <c r="J85" s="51" t="s">
        <v>41</v>
      </c>
      <c r="K85" s="51" t="s">
        <v>249</v>
      </c>
      <c r="L85" s="128">
        <v>42614</v>
      </c>
      <c r="M85" s="54" t="s">
        <v>109</v>
      </c>
      <c r="N85" s="54" t="s">
        <v>10</v>
      </c>
      <c r="O85" s="76">
        <v>42681</v>
      </c>
      <c r="P85" s="76" t="s">
        <v>261</v>
      </c>
      <c r="Q85" s="81">
        <v>212</v>
      </c>
      <c r="R85" s="76" t="s">
        <v>99</v>
      </c>
      <c r="S85" s="54">
        <v>94644</v>
      </c>
      <c r="T85" s="54" t="s">
        <v>119</v>
      </c>
      <c r="U85" s="51" t="s">
        <v>101</v>
      </c>
      <c r="V85" s="129">
        <v>1.31</v>
      </c>
      <c r="W85" s="51">
        <v>1</v>
      </c>
      <c r="X85" s="51" t="s">
        <v>133</v>
      </c>
      <c r="Y85" s="51" t="s">
        <v>32</v>
      </c>
      <c r="Z85" s="129">
        <v>0.32750000000000001</v>
      </c>
      <c r="AA85" s="129">
        <v>0.98250000000000004</v>
      </c>
    </row>
    <row r="86" spans="1:27" x14ac:dyDescent="0.25">
      <c r="A86" s="51" t="s">
        <v>96</v>
      </c>
      <c r="B86" s="51" t="s">
        <v>96</v>
      </c>
      <c r="C86" s="80">
        <v>8520</v>
      </c>
      <c r="D86" s="80" t="s">
        <v>186</v>
      </c>
      <c r="E86" s="80" t="s">
        <v>15</v>
      </c>
      <c r="F86" s="80">
        <v>199</v>
      </c>
      <c r="G86" s="80" t="s">
        <v>124</v>
      </c>
      <c r="H86" s="80" t="s">
        <v>20</v>
      </c>
      <c r="I86" s="132" t="s">
        <v>346</v>
      </c>
      <c r="J86" s="51" t="s">
        <v>41</v>
      </c>
      <c r="K86" s="51" t="s">
        <v>249</v>
      </c>
      <c r="L86" s="128">
        <v>42614</v>
      </c>
      <c r="M86" s="54" t="s">
        <v>109</v>
      </c>
      <c r="N86" s="54" t="s">
        <v>10</v>
      </c>
      <c r="O86" s="76">
        <v>42681</v>
      </c>
      <c r="P86" s="76" t="s">
        <v>261</v>
      </c>
      <c r="Q86" s="81">
        <v>212</v>
      </c>
      <c r="R86" s="76" t="s">
        <v>99</v>
      </c>
      <c r="S86" s="54">
        <v>81738</v>
      </c>
      <c r="T86" s="54" t="s">
        <v>119</v>
      </c>
      <c r="U86" s="51" t="s">
        <v>101</v>
      </c>
      <c r="V86" s="129">
        <v>1.1299999999999999</v>
      </c>
      <c r="W86" s="51">
        <v>1</v>
      </c>
      <c r="X86" s="51" t="s">
        <v>133</v>
      </c>
      <c r="Y86" s="51" t="s">
        <v>32</v>
      </c>
      <c r="Z86" s="129">
        <v>0.28249999999999997</v>
      </c>
      <c r="AA86" s="129">
        <v>0.84749999999999992</v>
      </c>
    </row>
    <row r="87" spans="1:27" x14ac:dyDescent="0.25">
      <c r="A87" s="51" t="s">
        <v>96</v>
      </c>
      <c r="B87" s="51" t="s">
        <v>96</v>
      </c>
      <c r="C87" s="80">
        <v>8520</v>
      </c>
      <c r="D87" s="80" t="s">
        <v>186</v>
      </c>
      <c r="E87" s="80" t="s">
        <v>15</v>
      </c>
      <c r="F87" s="80">
        <v>199</v>
      </c>
      <c r="G87" s="80" t="s">
        <v>124</v>
      </c>
      <c r="H87" s="80" t="s">
        <v>20</v>
      </c>
      <c r="I87" s="132" t="s">
        <v>347</v>
      </c>
      <c r="J87" s="51" t="s">
        <v>41</v>
      </c>
      <c r="K87" s="51" t="s">
        <v>249</v>
      </c>
      <c r="L87" s="128">
        <v>42614</v>
      </c>
      <c r="M87" s="54" t="s">
        <v>109</v>
      </c>
      <c r="N87" s="54" t="s">
        <v>10</v>
      </c>
      <c r="O87" s="76">
        <v>42681</v>
      </c>
      <c r="P87" s="76" t="s">
        <v>261</v>
      </c>
      <c r="Q87" s="81">
        <v>212</v>
      </c>
      <c r="R87" s="76" t="s">
        <v>99</v>
      </c>
      <c r="S87" s="54">
        <v>94644</v>
      </c>
      <c r="T87" s="54" t="s">
        <v>119</v>
      </c>
      <c r="U87" s="51" t="s">
        <v>101</v>
      </c>
      <c r="V87" s="129">
        <v>1.31</v>
      </c>
      <c r="W87" s="51">
        <v>1</v>
      </c>
      <c r="X87" s="51" t="s">
        <v>133</v>
      </c>
      <c r="Y87" s="51" t="s">
        <v>32</v>
      </c>
      <c r="Z87" s="129">
        <v>0.32750000000000001</v>
      </c>
      <c r="AA87" s="129">
        <v>0.98250000000000004</v>
      </c>
    </row>
    <row r="88" spans="1:27" x14ac:dyDescent="0.25">
      <c r="A88" s="51" t="s">
        <v>96</v>
      </c>
      <c r="B88" s="51" t="s">
        <v>96</v>
      </c>
      <c r="C88" s="80">
        <v>8520</v>
      </c>
      <c r="D88" s="80" t="s">
        <v>186</v>
      </c>
      <c r="E88" s="80" t="s">
        <v>15</v>
      </c>
      <c r="F88" s="80">
        <v>199</v>
      </c>
      <c r="G88" s="80" t="s">
        <v>124</v>
      </c>
      <c r="H88" s="80" t="s">
        <v>20</v>
      </c>
      <c r="I88" s="132" t="s">
        <v>348</v>
      </c>
      <c r="J88" s="51" t="s">
        <v>41</v>
      </c>
      <c r="K88" s="51" t="s">
        <v>249</v>
      </c>
      <c r="L88" s="128">
        <v>42614</v>
      </c>
      <c r="M88" s="54" t="s">
        <v>109</v>
      </c>
      <c r="N88" s="54" t="s">
        <v>10</v>
      </c>
      <c r="O88" s="76">
        <v>42681</v>
      </c>
      <c r="P88" s="76" t="s">
        <v>261</v>
      </c>
      <c r="Q88" s="81">
        <v>212</v>
      </c>
      <c r="R88" s="76" t="s">
        <v>99</v>
      </c>
      <c r="S88" s="54">
        <v>90342</v>
      </c>
      <c r="T88" s="54" t="s">
        <v>119</v>
      </c>
      <c r="U88" s="51" t="s">
        <v>101</v>
      </c>
      <c r="V88" s="129">
        <v>1.25</v>
      </c>
      <c r="W88" s="51">
        <v>1</v>
      </c>
      <c r="X88" s="51" t="s">
        <v>133</v>
      </c>
      <c r="Y88" s="51" t="s">
        <v>32</v>
      </c>
      <c r="Z88" s="129">
        <v>0.3125</v>
      </c>
      <c r="AA88" s="129">
        <v>0.9375</v>
      </c>
    </row>
    <row r="89" spans="1:27" x14ac:dyDescent="0.25">
      <c r="A89" s="51" t="s">
        <v>96</v>
      </c>
      <c r="B89" s="51" t="s">
        <v>96</v>
      </c>
      <c r="C89" s="80">
        <v>8520</v>
      </c>
      <c r="D89" s="80" t="s">
        <v>186</v>
      </c>
      <c r="E89" s="80" t="s">
        <v>15</v>
      </c>
      <c r="F89" s="80">
        <v>199</v>
      </c>
      <c r="G89" s="80" t="s">
        <v>124</v>
      </c>
      <c r="H89" s="80" t="s">
        <v>20</v>
      </c>
      <c r="I89" s="132" t="s">
        <v>349</v>
      </c>
      <c r="J89" s="51" t="s">
        <v>41</v>
      </c>
      <c r="K89" s="51" t="s">
        <v>249</v>
      </c>
      <c r="L89" s="128">
        <v>42614</v>
      </c>
      <c r="M89" s="54" t="s">
        <v>109</v>
      </c>
      <c r="N89" s="54" t="s">
        <v>10</v>
      </c>
      <c r="O89" s="76">
        <v>42681</v>
      </c>
      <c r="P89" s="76" t="s">
        <v>261</v>
      </c>
      <c r="Q89" s="81">
        <v>212</v>
      </c>
      <c r="R89" s="76" t="s">
        <v>99</v>
      </c>
      <c r="S89" s="54">
        <v>97990</v>
      </c>
      <c r="T89" s="54" t="s">
        <v>119</v>
      </c>
      <c r="U89" s="51" t="s">
        <v>101</v>
      </c>
      <c r="V89" s="129">
        <v>1.35</v>
      </c>
      <c r="W89" s="51">
        <v>1</v>
      </c>
      <c r="X89" s="51" t="s">
        <v>133</v>
      </c>
      <c r="Y89" s="51" t="s">
        <v>32</v>
      </c>
      <c r="Z89" s="129">
        <v>0.33750000000000002</v>
      </c>
      <c r="AA89" s="129">
        <v>1.0125000000000002</v>
      </c>
    </row>
    <row r="90" spans="1:27" x14ac:dyDescent="0.25">
      <c r="A90" s="51" t="s">
        <v>96</v>
      </c>
      <c r="B90" s="51" t="s">
        <v>96</v>
      </c>
      <c r="C90" s="80">
        <v>8520</v>
      </c>
      <c r="D90" s="80" t="s">
        <v>186</v>
      </c>
      <c r="E90" s="80" t="s">
        <v>15</v>
      </c>
      <c r="F90" s="80">
        <v>199</v>
      </c>
      <c r="G90" s="80" t="s">
        <v>124</v>
      </c>
      <c r="H90" s="80" t="s">
        <v>20</v>
      </c>
      <c r="I90" s="132" t="s">
        <v>350</v>
      </c>
      <c r="J90" s="51" t="s">
        <v>41</v>
      </c>
      <c r="K90" s="51" t="s">
        <v>249</v>
      </c>
      <c r="L90" s="128">
        <v>42614</v>
      </c>
      <c r="M90" s="54" t="s">
        <v>109</v>
      </c>
      <c r="N90" s="54" t="s">
        <v>10</v>
      </c>
      <c r="O90" s="76">
        <v>42681</v>
      </c>
      <c r="P90" s="76" t="s">
        <v>261</v>
      </c>
      <c r="Q90" s="81">
        <v>212</v>
      </c>
      <c r="R90" s="76" t="s">
        <v>99</v>
      </c>
      <c r="S90" s="54">
        <v>70389</v>
      </c>
      <c r="T90" s="54" t="s">
        <v>119</v>
      </c>
      <c r="U90" s="51" t="s">
        <v>101</v>
      </c>
      <c r="V90" s="129">
        <v>0.97</v>
      </c>
      <c r="W90" s="51">
        <v>1</v>
      </c>
      <c r="X90" s="51" t="s">
        <v>133</v>
      </c>
      <c r="Y90" s="51" t="s">
        <v>32</v>
      </c>
      <c r="Z90" s="129">
        <v>0.24249999999999999</v>
      </c>
      <c r="AA90" s="129">
        <v>0.72750000000000004</v>
      </c>
    </row>
    <row r="91" spans="1:27" x14ac:dyDescent="0.25">
      <c r="A91" s="51" t="s">
        <v>96</v>
      </c>
      <c r="B91" s="51" t="s">
        <v>96</v>
      </c>
      <c r="C91" s="80">
        <v>8520</v>
      </c>
      <c r="D91" s="80" t="s">
        <v>186</v>
      </c>
      <c r="E91" s="80" t="s">
        <v>15</v>
      </c>
      <c r="F91" s="80">
        <v>199</v>
      </c>
      <c r="G91" s="80" t="s">
        <v>124</v>
      </c>
      <c r="H91" s="80" t="s">
        <v>20</v>
      </c>
      <c r="I91" s="132" t="s">
        <v>351</v>
      </c>
      <c r="J91" s="51" t="s">
        <v>41</v>
      </c>
      <c r="K91" s="51" t="s">
        <v>249</v>
      </c>
      <c r="L91" s="128">
        <v>42614</v>
      </c>
      <c r="M91" s="54" t="s">
        <v>109</v>
      </c>
      <c r="N91" s="54" t="s">
        <v>10</v>
      </c>
      <c r="O91" s="76">
        <v>42681</v>
      </c>
      <c r="P91" s="76" t="s">
        <v>261</v>
      </c>
      <c r="Q91" s="81">
        <v>212</v>
      </c>
      <c r="R91" s="76" t="s">
        <v>99</v>
      </c>
      <c r="S91" s="54">
        <v>140778</v>
      </c>
      <c r="T91" s="54" t="s">
        <v>119</v>
      </c>
      <c r="U91" s="51" t="s">
        <v>101</v>
      </c>
      <c r="V91" s="129">
        <v>1.95</v>
      </c>
      <c r="W91" s="51">
        <v>1</v>
      </c>
      <c r="X91" s="51" t="s">
        <v>133</v>
      </c>
      <c r="Y91" s="51" t="s">
        <v>32</v>
      </c>
      <c r="Z91" s="129">
        <v>0.48749999999999999</v>
      </c>
      <c r="AA91" s="129">
        <v>1.4624999999999999</v>
      </c>
    </row>
    <row r="92" spans="1:27" x14ac:dyDescent="0.25">
      <c r="A92" s="51" t="s">
        <v>96</v>
      </c>
      <c r="B92" s="51" t="s">
        <v>96</v>
      </c>
      <c r="C92" s="80">
        <v>8520</v>
      </c>
      <c r="D92" s="80" t="s">
        <v>186</v>
      </c>
      <c r="E92" s="80" t="s">
        <v>15</v>
      </c>
      <c r="F92" s="80">
        <v>199</v>
      </c>
      <c r="G92" s="80" t="s">
        <v>124</v>
      </c>
      <c r="H92" s="80" t="s">
        <v>20</v>
      </c>
      <c r="I92" s="132" t="s">
        <v>352</v>
      </c>
      <c r="J92" s="51" t="s">
        <v>41</v>
      </c>
      <c r="K92" s="51" t="s">
        <v>249</v>
      </c>
      <c r="L92" s="128">
        <v>42614</v>
      </c>
      <c r="M92" s="54" t="s">
        <v>109</v>
      </c>
      <c r="N92" s="54" t="s">
        <v>10</v>
      </c>
      <c r="O92" s="76">
        <v>42681</v>
      </c>
      <c r="P92" s="76" t="s">
        <v>261</v>
      </c>
      <c r="Q92" s="81">
        <v>212</v>
      </c>
      <c r="R92" s="76" t="s">
        <v>99</v>
      </c>
      <c r="S92" s="54">
        <v>127980</v>
      </c>
      <c r="T92" s="54" t="s">
        <v>119</v>
      </c>
      <c r="U92" s="51" t="s">
        <v>101</v>
      </c>
      <c r="V92" s="129">
        <v>1.77</v>
      </c>
      <c r="W92" s="51">
        <v>1</v>
      </c>
      <c r="X92" s="51" t="s">
        <v>133</v>
      </c>
      <c r="Y92" s="51" t="s">
        <v>32</v>
      </c>
      <c r="Z92" s="129">
        <v>0.4425</v>
      </c>
      <c r="AA92" s="129">
        <v>1.3275000000000001</v>
      </c>
    </row>
    <row r="93" spans="1:27" x14ac:dyDescent="0.25">
      <c r="A93" s="51" t="s">
        <v>96</v>
      </c>
      <c r="B93" s="51" t="s">
        <v>96</v>
      </c>
      <c r="C93" s="80">
        <v>8520</v>
      </c>
      <c r="D93" s="80" t="s">
        <v>186</v>
      </c>
      <c r="E93" s="80" t="s">
        <v>15</v>
      </c>
      <c r="F93" s="80">
        <v>199</v>
      </c>
      <c r="G93" s="80" t="s">
        <v>124</v>
      </c>
      <c r="H93" s="80" t="s">
        <v>20</v>
      </c>
      <c r="I93" s="132" t="s">
        <v>353</v>
      </c>
      <c r="J93" s="51" t="s">
        <v>41</v>
      </c>
      <c r="K93" s="51" t="s">
        <v>249</v>
      </c>
      <c r="L93" s="128">
        <v>42614</v>
      </c>
      <c r="M93" s="54" t="s">
        <v>109</v>
      </c>
      <c r="N93" s="54" t="s">
        <v>10</v>
      </c>
      <c r="O93" s="76">
        <v>42681</v>
      </c>
      <c r="P93" s="76" t="s">
        <v>261</v>
      </c>
      <c r="Q93" s="81">
        <v>212</v>
      </c>
      <c r="R93" s="76" t="s">
        <v>99</v>
      </c>
      <c r="S93" s="54">
        <v>140778</v>
      </c>
      <c r="T93" s="54" t="s">
        <v>119</v>
      </c>
      <c r="U93" s="51" t="s">
        <v>101</v>
      </c>
      <c r="V93" s="129">
        <v>1.95</v>
      </c>
      <c r="W93" s="51">
        <v>1</v>
      </c>
      <c r="X93" s="51" t="s">
        <v>133</v>
      </c>
      <c r="Y93" s="51" t="s">
        <v>32</v>
      </c>
      <c r="Z93" s="129">
        <v>0.48749999999999999</v>
      </c>
      <c r="AA93" s="129">
        <v>1.4624999999999999</v>
      </c>
    </row>
    <row r="94" spans="1:27" x14ac:dyDescent="0.25">
      <c r="A94" s="51" t="s">
        <v>96</v>
      </c>
      <c r="B94" s="51" t="s">
        <v>96</v>
      </c>
      <c r="C94" s="80">
        <v>8520</v>
      </c>
      <c r="D94" s="80" t="s">
        <v>186</v>
      </c>
      <c r="E94" s="80" t="s">
        <v>15</v>
      </c>
      <c r="F94" s="80">
        <v>199</v>
      </c>
      <c r="G94" s="80" t="s">
        <v>124</v>
      </c>
      <c r="H94" s="80" t="s">
        <v>20</v>
      </c>
      <c r="I94" s="132" t="s">
        <v>354</v>
      </c>
      <c r="J94" s="51" t="s">
        <v>41</v>
      </c>
      <c r="K94" s="51" t="s">
        <v>249</v>
      </c>
      <c r="L94" s="128">
        <v>42614</v>
      </c>
      <c r="M94" s="54" t="s">
        <v>109</v>
      </c>
      <c r="N94" s="54" t="s">
        <v>10</v>
      </c>
      <c r="O94" s="76">
        <v>42681</v>
      </c>
      <c r="P94" s="76" t="s">
        <v>261</v>
      </c>
      <c r="Q94" s="81">
        <v>212</v>
      </c>
      <c r="R94" s="76" t="s">
        <v>99</v>
      </c>
      <c r="S94" s="54">
        <v>140778</v>
      </c>
      <c r="T94" s="54" t="s">
        <v>119</v>
      </c>
      <c r="U94" s="51" t="s">
        <v>101</v>
      </c>
      <c r="V94" s="129">
        <v>1.95</v>
      </c>
      <c r="W94" s="51">
        <v>1</v>
      </c>
      <c r="X94" s="51" t="s">
        <v>133</v>
      </c>
      <c r="Y94" s="51" t="s">
        <v>32</v>
      </c>
      <c r="Z94" s="129">
        <v>0.48749999999999999</v>
      </c>
      <c r="AA94" s="129">
        <v>1.4624999999999999</v>
      </c>
    </row>
    <row r="95" spans="1:27" x14ac:dyDescent="0.25">
      <c r="A95" s="51" t="s">
        <v>96</v>
      </c>
      <c r="B95" s="51" t="s">
        <v>96</v>
      </c>
      <c r="C95" s="80">
        <v>8520</v>
      </c>
      <c r="D95" s="80" t="s">
        <v>186</v>
      </c>
      <c r="E95" s="80" t="s">
        <v>15</v>
      </c>
      <c r="F95" s="80">
        <v>199</v>
      </c>
      <c r="G95" s="80" t="s">
        <v>124</v>
      </c>
      <c r="H95" s="80" t="s">
        <v>20</v>
      </c>
      <c r="I95" s="132" t="s">
        <v>355</v>
      </c>
      <c r="J95" s="51" t="s">
        <v>41</v>
      </c>
      <c r="K95" s="51" t="s">
        <v>249</v>
      </c>
      <c r="L95" s="128">
        <v>42614</v>
      </c>
      <c r="M95" s="54" t="s">
        <v>109</v>
      </c>
      <c r="N95" s="54" t="s">
        <v>10</v>
      </c>
      <c r="O95" s="76">
        <v>42681</v>
      </c>
      <c r="P95" s="76" t="s">
        <v>261</v>
      </c>
      <c r="Q95" s="81">
        <v>212</v>
      </c>
      <c r="R95" s="76" t="s">
        <v>99</v>
      </c>
      <c r="S95" s="54">
        <v>145755</v>
      </c>
      <c r="T95" s="54" t="s">
        <v>119</v>
      </c>
      <c r="U95" s="51" t="s">
        <v>101</v>
      </c>
      <c r="V95" s="129">
        <v>2.02</v>
      </c>
      <c r="W95" s="51">
        <v>1</v>
      </c>
      <c r="X95" s="51" t="s">
        <v>133</v>
      </c>
      <c r="Y95" s="51" t="s">
        <v>32</v>
      </c>
      <c r="Z95" s="129">
        <v>0.505</v>
      </c>
      <c r="AA95" s="129">
        <v>1.5150000000000001</v>
      </c>
    </row>
    <row r="96" spans="1:27" x14ac:dyDescent="0.25">
      <c r="A96" s="51" t="s">
        <v>102</v>
      </c>
      <c r="B96" s="51" t="s">
        <v>262</v>
      </c>
      <c r="C96" s="80">
        <v>8520</v>
      </c>
      <c r="D96" s="80" t="s">
        <v>186</v>
      </c>
      <c r="E96" s="80" t="s">
        <v>15</v>
      </c>
      <c r="F96" s="80">
        <v>8420</v>
      </c>
      <c r="G96" s="80" t="s">
        <v>120</v>
      </c>
      <c r="H96" s="80" t="s">
        <v>15</v>
      </c>
      <c r="I96" s="132" t="s">
        <v>437</v>
      </c>
      <c r="J96" s="51" t="s">
        <v>54</v>
      </c>
      <c r="K96" s="51" t="s">
        <v>137</v>
      </c>
      <c r="L96" s="128">
        <v>42614</v>
      </c>
      <c r="M96" s="54" t="s">
        <v>104</v>
      </c>
      <c r="N96" s="54" t="s">
        <v>9</v>
      </c>
      <c r="O96" s="76">
        <v>42648</v>
      </c>
      <c r="P96" s="76" t="s">
        <v>206</v>
      </c>
      <c r="Q96" s="81">
        <v>245</v>
      </c>
      <c r="R96" s="76" t="s">
        <v>99</v>
      </c>
      <c r="S96" s="54">
        <v>227187</v>
      </c>
      <c r="T96" s="54" t="s">
        <v>119</v>
      </c>
      <c r="U96" s="51" t="s">
        <v>105</v>
      </c>
      <c r="V96" s="129">
        <v>3.14</v>
      </c>
      <c r="W96" s="51">
        <v>1</v>
      </c>
      <c r="X96" s="51" t="s">
        <v>134</v>
      </c>
      <c r="Y96" s="51" t="s">
        <v>31</v>
      </c>
      <c r="Z96" s="129">
        <v>1.57</v>
      </c>
      <c r="AA96" s="129">
        <v>1.57</v>
      </c>
    </row>
    <row r="97" spans="1:27" x14ac:dyDescent="0.25">
      <c r="A97" s="51" t="s">
        <v>102</v>
      </c>
      <c r="B97" s="51" t="s">
        <v>262</v>
      </c>
      <c r="C97" s="80">
        <v>8520</v>
      </c>
      <c r="D97" s="80" t="s">
        <v>186</v>
      </c>
      <c r="E97" s="80" t="s">
        <v>15</v>
      </c>
      <c r="F97" s="80">
        <v>8420</v>
      </c>
      <c r="G97" s="80" t="s">
        <v>120</v>
      </c>
      <c r="H97" s="80" t="s">
        <v>15</v>
      </c>
      <c r="I97" s="132" t="s">
        <v>435</v>
      </c>
      <c r="J97" s="51" t="s">
        <v>54</v>
      </c>
      <c r="K97" s="51" t="s">
        <v>137</v>
      </c>
      <c r="L97" s="128">
        <v>42614</v>
      </c>
      <c r="M97" s="54" t="s">
        <v>104</v>
      </c>
      <c r="N97" s="54" t="s">
        <v>9</v>
      </c>
      <c r="O97" s="76">
        <v>42648</v>
      </c>
      <c r="P97" s="76" t="s">
        <v>206</v>
      </c>
      <c r="Q97" s="81">
        <v>245</v>
      </c>
      <c r="R97" s="76" t="s">
        <v>99</v>
      </c>
      <c r="S97" s="54">
        <v>555580.42000000004</v>
      </c>
      <c r="T97" s="54" t="s">
        <v>119</v>
      </c>
      <c r="U97" s="51" t="s">
        <v>105</v>
      </c>
      <c r="V97" s="129">
        <v>7.68</v>
      </c>
      <c r="W97" s="51">
        <v>1</v>
      </c>
      <c r="X97" s="51" t="s">
        <v>134</v>
      </c>
      <c r="Y97" s="51" t="s">
        <v>31</v>
      </c>
      <c r="Z97" s="129">
        <v>3.84</v>
      </c>
      <c r="AA97" s="129">
        <v>3.84</v>
      </c>
    </row>
    <row r="98" spans="1:27" x14ac:dyDescent="0.25">
      <c r="A98" s="51" t="s">
        <v>102</v>
      </c>
      <c r="B98" s="51" t="s">
        <v>262</v>
      </c>
      <c r="C98" s="80">
        <v>8520</v>
      </c>
      <c r="D98" s="80" t="s">
        <v>186</v>
      </c>
      <c r="E98" s="80" t="s">
        <v>15</v>
      </c>
      <c r="F98" s="80">
        <v>8420</v>
      </c>
      <c r="G98" s="80" t="s">
        <v>120</v>
      </c>
      <c r="H98" s="80" t="s">
        <v>15</v>
      </c>
      <c r="I98" s="132" t="s">
        <v>436</v>
      </c>
      <c r="J98" s="51" t="s">
        <v>54</v>
      </c>
      <c r="K98" s="51" t="s">
        <v>137</v>
      </c>
      <c r="L98" s="128">
        <v>42614</v>
      </c>
      <c r="M98" s="54" t="s">
        <v>104</v>
      </c>
      <c r="N98" s="54" t="s">
        <v>9</v>
      </c>
      <c r="O98" s="76">
        <v>42648</v>
      </c>
      <c r="P98" s="76" t="s">
        <v>206</v>
      </c>
      <c r="Q98" s="81">
        <v>245</v>
      </c>
      <c r="R98" s="76" t="s">
        <v>99</v>
      </c>
      <c r="S98" s="54">
        <v>121581</v>
      </c>
      <c r="T98" s="54" t="s">
        <v>119</v>
      </c>
      <c r="U98" s="51" t="s">
        <v>105</v>
      </c>
      <c r="V98" s="129">
        <v>1.68</v>
      </c>
      <c r="W98" s="51">
        <v>1</v>
      </c>
      <c r="X98" s="51" t="s">
        <v>134</v>
      </c>
      <c r="Y98" s="51" t="s">
        <v>31</v>
      </c>
      <c r="Z98" s="129">
        <v>0.84</v>
      </c>
      <c r="AA98" s="129">
        <v>0.84</v>
      </c>
    </row>
    <row r="99" spans="1:27" x14ac:dyDescent="0.25">
      <c r="A99" s="51" t="s">
        <v>102</v>
      </c>
      <c r="B99" s="51" t="s">
        <v>277</v>
      </c>
      <c r="C99" s="80">
        <v>8520</v>
      </c>
      <c r="D99" s="80" t="s">
        <v>186</v>
      </c>
      <c r="E99" s="80" t="s">
        <v>15</v>
      </c>
      <c r="F99" s="80">
        <v>8420</v>
      </c>
      <c r="G99" s="80" t="s">
        <v>120</v>
      </c>
      <c r="H99" s="80" t="s">
        <v>15</v>
      </c>
      <c r="I99" s="132" t="s">
        <v>391</v>
      </c>
      <c r="J99" s="51" t="s">
        <v>37</v>
      </c>
      <c r="K99" s="51" t="s">
        <v>221</v>
      </c>
      <c r="L99" s="128">
        <v>42614</v>
      </c>
      <c r="M99" s="54" t="s">
        <v>121</v>
      </c>
      <c r="N99" s="54" t="s">
        <v>9</v>
      </c>
      <c r="O99" s="76">
        <v>42678</v>
      </c>
      <c r="P99" s="76" t="s">
        <v>261</v>
      </c>
      <c r="Q99" s="81">
        <v>215</v>
      </c>
      <c r="R99" s="76" t="s">
        <v>99</v>
      </c>
      <c r="S99" s="54">
        <v>1239284.04</v>
      </c>
      <c r="T99" s="54" t="s">
        <v>119</v>
      </c>
      <c r="U99" s="51" t="s">
        <v>105</v>
      </c>
      <c r="V99" s="129">
        <v>17.13</v>
      </c>
      <c r="W99" s="51">
        <v>1</v>
      </c>
      <c r="X99" s="51" t="s">
        <v>138</v>
      </c>
      <c r="Y99" s="51" t="s">
        <v>31</v>
      </c>
      <c r="Z99" s="129">
        <v>8.5649999999999995</v>
      </c>
      <c r="AA99" s="129">
        <v>8.5649999999999995</v>
      </c>
    </row>
    <row r="100" spans="1:27" x14ac:dyDescent="0.25">
      <c r="A100" s="51" t="s">
        <v>102</v>
      </c>
      <c r="B100" s="51" t="s">
        <v>262</v>
      </c>
      <c r="C100" s="80">
        <v>8520</v>
      </c>
      <c r="D100" s="80" t="s">
        <v>186</v>
      </c>
      <c r="E100" s="80" t="s">
        <v>15</v>
      </c>
      <c r="F100" s="80">
        <v>8420</v>
      </c>
      <c r="G100" s="80" t="s">
        <v>120</v>
      </c>
      <c r="H100" s="80" t="s">
        <v>15</v>
      </c>
      <c r="I100" s="132" t="s">
        <v>438</v>
      </c>
      <c r="J100" s="51" t="s">
        <v>54</v>
      </c>
      <c r="K100" s="51" t="s">
        <v>137</v>
      </c>
      <c r="L100" s="128">
        <v>42614</v>
      </c>
      <c r="M100" s="54" t="s">
        <v>104</v>
      </c>
      <c r="N100" s="54" t="s">
        <v>9</v>
      </c>
      <c r="O100" s="76">
        <v>42648</v>
      </c>
      <c r="P100" s="76" t="s">
        <v>206</v>
      </c>
      <c r="Q100" s="81">
        <v>245</v>
      </c>
      <c r="R100" s="76" t="s">
        <v>99</v>
      </c>
      <c r="S100" s="54">
        <v>124200</v>
      </c>
      <c r="T100" s="54" t="s">
        <v>119</v>
      </c>
      <c r="U100" s="51" t="s">
        <v>105</v>
      </c>
      <c r="V100" s="129">
        <v>1.72</v>
      </c>
      <c r="W100" s="51">
        <v>1</v>
      </c>
      <c r="X100" s="51" t="s">
        <v>134</v>
      </c>
      <c r="Y100" s="51" t="s">
        <v>31</v>
      </c>
      <c r="Z100" s="129">
        <v>0.86</v>
      </c>
      <c r="AA100" s="129">
        <v>0.86</v>
      </c>
    </row>
    <row r="101" spans="1:27" x14ac:dyDescent="0.25">
      <c r="A101" s="51" t="s">
        <v>102</v>
      </c>
      <c r="B101" s="51" t="s">
        <v>262</v>
      </c>
      <c r="C101" s="80">
        <v>8520</v>
      </c>
      <c r="D101" s="80" t="s">
        <v>186</v>
      </c>
      <c r="E101" s="80" t="s">
        <v>15</v>
      </c>
      <c r="F101" s="80">
        <v>8420</v>
      </c>
      <c r="G101" s="80" t="s">
        <v>120</v>
      </c>
      <c r="H101" s="80" t="s">
        <v>15</v>
      </c>
      <c r="I101" s="132" t="s">
        <v>439</v>
      </c>
      <c r="J101" s="51" t="s">
        <v>54</v>
      </c>
      <c r="K101" s="51" t="s">
        <v>137</v>
      </c>
      <c r="L101" s="128">
        <v>42614</v>
      </c>
      <c r="M101" s="54" t="s">
        <v>104</v>
      </c>
      <c r="N101" s="54" t="s">
        <v>9</v>
      </c>
      <c r="O101" s="76">
        <v>42648</v>
      </c>
      <c r="P101" s="76" t="s">
        <v>206</v>
      </c>
      <c r="Q101" s="81">
        <v>245</v>
      </c>
      <c r="R101" s="76" t="s">
        <v>99</v>
      </c>
      <c r="S101" s="54">
        <v>108000</v>
      </c>
      <c r="T101" s="54" t="s">
        <v>119</v>
      </c>
      <c r="U101" s="51" t="s">
        <v>105</v>
      </c>
      <c r="V101" s="129">
        <v>1.49</v>
      </c>
      <c r="W101" s="51">
        <v>1</v>
      </c>
      <c r="X101" s="51" t="s">
        <v>134</v>
      </c>
      <c r="Y101" s="51" t="s">
        <v>31</v>
      </c>
      <c r="Z101" s="129">
        <v>0.745</v>
      </c>
      <c r="AA101" s="129">
        <v>0.745</v>
      </c>
    </row>
    <row r="102" spans="1:27" x14ac:dyDescent="0.25">
      <c r="A102" s="51" t="s">
        <v>96</v>
      </c>
      <c r="B102" s="51" t="s">
        <v>96</v>
      </c>
      <c r="C102" s="80">
        <v>8520</v>
      </c>
      <c r="D102" s="80" t="s">
        <v>186</v>
      </c>
      <c r="E102" s="80" t="s">
        <v>15</v>
      </c>
      <c r="F102" s="80">
        <v>199</v>
      </c>
      <c r="G102" s="80" t="s">
        <v>124</v>
      </c>
      <c r="H102" s="80" t="s">
        <v>20</v>
      </c>
      <c r="I102" s="132" t="s">
        <v>401</v>
      </c>
      <c r="J102" s="51" t="s">
        <v>47</v>
      </c>
      <c r="K102" s="51" t="s">
        <v>274</v>
      </c>
      <c r="L102" s="128">
        <v>42614</v>
      </c>
      <c r="M102" s="54" t="s">
        <v>109</v>
      </c>
      <c r="N102" s="54" t="s">
        <v>10</v>
      </c>
      <c r="O102" s="76">
        <v>42681</v>
      </c>
      <c r="P102" s="76" t="s">
        <v>261</v>
      </c>
      <c r="Q102" s="81">
        <v>212</v>
      </c>
      <c r="R102" s="76" t="s">
        <v>99</v>
      </c>
      <c r="S102" s="54">
        <v>59200</v>
      </c>
      <c r="T102" s="54" t="s">
        <v>119</v>
      </c>
      <c r="U102" s="51" t="s">
        <v>101</v>
      </c>
      <c r="V102" s="129">
        <v>0.82</v>
      </c>
      <c r="W102" s="51">
        <v>1</v>
      </c>
      <c r="X102" s="51" t="s">
        <v>133</v>
      </c>
      <c r="Y102" s="51" t="s">
        <v>32</v>
      </c>
      <c r="Z102" s="129">
        <v>0.20499999999999999</v>
      </c>
      <c r="AA102" s="129">
        <v>0.61499999999999999</v>
      </c>
    </row>
    <row r="103" spans="1:27" x14ac:dyDescent="0.25">
      <c r="A103" s="51" t="s">
        <v>102</v>
      </c>
      <c r="B103" s="51" t="s">
        <v>253</v>
      </c>
      <c r="C103" s="80">
        <v>8520</v>
      </c>
      <c r="D103" s="80" t="s">
        <v>186</v>
      </c>
      <c r="E103" s="80" t="s">
        <v>15</v>
      </c>
      <c r="F103" s="80">
        <v>9701</v>
      </c>
      <c r="G103" s="80" t="s">
        <v>173</v>
      </c>
      <c r="H103" s="80" t="s">
        <v>14</v>
      </c>
      <c r="I103" s="132" t="s">
        <v>392</v>
      </c>
      <c r="J103" s="51" t="s">
        <v>37</v>
      </c>
      <c r="K103" s="51" t="s">
        <v>199</v>
      </c>
      <c r="L103" s="128">
        <v>42614</v>
      </c>
      <c r="M103" s="54" t="s">
        <v>104</v>
      </c>
      <c r="N103" s="54" t="s">
        <v>9</v>
      </c>
      <c r="O103" s="76">
        <v>42615</v>
      </c>
      <c r="P103" s="76" t="s">
        <v>206</v>
      </c>
      <c r="Q103" s="81">
        <v>278</v>
      </c>
      <c r="R103" s="76" t="s">
        <v>99</v>
      </c>
      <c r="S103" s="54">
        <v>78615</v>
      </c>
      <c r="T103" s="54" t="s">
        <v>119</v>
      </c>
      <c r="U103" s="51" t="s">
        <v>101</v>
      </c>
      <c r="V103" s="129">
        <v>1.0900000000000001</v>
      </c>
      <c r="W103" s="51">
        <v>1</v>
      </c>
      <c r="X103" s="51" t="s">
        <v>134</v>
      </c>
      <c r="Y103" s="51" t="s">
        <v>31</v>
      </c>
      <c r="Z103" s="129">
        <v>0.54500000000000004</v>
      </c>
      <c r="AA103" s="129">
        <v>0.54500000000000004</v>
      </c>
    </row>
    <row r="104" spans="1:27" x14ac:dyDescent="0.25">
      <c r="A104" s="51" t="s">
        <v>96</v>
      </c>
      <c r="B104" s="51" t="s">
        <v>96</v>
      </c>
      <c r="C104" s="80">
        <v>8520</v>
      </c>
      <c r="D104" s="80" t="s">
        <v>186</v>
      </c>
      <c r="E104" s="80" t="s">
        <v>15</v>
      </c>
      <c r="F104" s="80">
        <v>199</v>
      </c>
      <c r="G104" s="80" t="s">
        <v>124</v>
      </c>
      <c r="H104" s="80" t="s">
        <v>20</v>
      </c>
      <c r="I104" s="132" t="s">
        <v>445</v>
      </c>
      <c r="J104" s="51" t="s">
        <v>52</v>
      </c>
      <c r="K104" s="51" t="s">
        <v>132</v>
      </c>
      <c r="L104" s="128">
        <v>42614</v>
      </c>
      <c r="M104" s="54" t="s">
        <v>109</v>
      </c>
      <c r="N104" s="54" t="s">
        <v>10</v>
      </c>
      <c r="O104" s="76">
        <v>42681</v>
      </c>
      <c r="P104" s="76" t="s">
        <v>261</v>
      </c>
      <c r="Q104" s="81">
        <v>212</v>
      </c>
      <c r="R104" s="76" t="s">
        <v>99</v>
      </c>
      <c r="S104" s="54">
        <v>203300</v>
      </c>
      <c r="T104" s="54" t="s">
        <v>119</v>
      </c>
      <c r="U104" s="51" t="s">
        <v>101</v>
      </c>
      <c r="V104" s="129">
        <v>2.81</v>
      </c>
      <c r="W104" s="51">
        <v>1</v>
      </c>
      <c r="X104" s="51" t="s">
        <v>133</v>
      </c>
      <c r="Y104" s="51" t="s">
        <v>32</v>
      </c>
      <c r="Z104" s="129">
        <v>0.70250000000000001</v>
      </c>
      <c r="AA104" s="129">
        <v>2.1074999999999999</v>
      </c>
    </row>
    <row r="105" spans="1:27" x14ac:dyDescent="0.25">
      <c r="A105" s="51" t="s">
        <v>102</v>
      </c>
      <c r="B105" s="51" t="s">
        <v>223</v>
      </c>
      <c r="C105" s="80">
        <v>8520</v>
      </c>
      <c r="D105" s="80" t="s">
        <v>186</v>
      </c>
      <c r="E105" s="80" t="s">
        <v>15</v>
      </c>
      <c r="F105" s="80">
        <v>199</v>
      </c>
      <c r="G105" s="80" t="s">
        <v>124</v>
      </c>
      <c r="H105" s="80" t="s">
        <v>20</v>
      </c>
      <c r="I105" s="132" t="s">
        <v>192</v>
      </c>
      <c r="J105" s="51" t="s">
        <v>52</v>
      </c>
      <c r="K105" s="51" t="s">
        <v>132</v>
      </c>
      <c r="L105" s="128">
        <v>42579</v>
      </c>
      <c r="M105" s="54" t="s">
        <v>122</v>
      </c>
      <c r="N105" s="54" t="s">
        <v>9</v>
      </c>
      <c r="O105" s="76">
        <v>42586</v>
      </c>
      <c r="P105" s="76" t="s">
        <v>206</v>
      </c>
      <c r="Q105" s="81">
        <v>307</v>
      </c>
      <c r="R105" s="76" t="s">
        <v>99</v>
      </c>
      <c r="S105" s="54">
        <v>110285</v>
      </c>
      <c r="T105" s="54" t="s">
        <v>119</v>
      </c>
      <c r="U105" s="51" t="s">
        <v>101</v>
      </c>
      <c r="V105" s="129">
        <v>1.52</v>
      </c>
      <c r="W105" s="51">
        <v>1</v>
      </c>
      <c r="X105" s="51" t="s">
        <v>140</v>
      </c>
      <c r="Y105" s="51" t="s">
        <v>31</v>
      </c>
      <c r="Z105" s="129">
        <v>0.76</v>
      </c>
      <c r="AA105" s="129">
        <v>0.76</v>
      </c>
    </row>
    <row r="106" spans="1:27" x14ac:dyDescent="0.25">
      <c r="A106" s="51" t="s">
        <v>102</v>
      </c>
      <c r="B106" s="51" t="s">
        <v>223</v>
      </c>
      <c r="C106" s="80">
        <v>8520</v>
      </c>
      <c r="D106" s="80" t="s">
        <v>186</v>
      </c>
      <c r="E106" s="80" t="s">
        <v>15</v>
      </c>
      <c r="F106" s="80">
        <v>199</v>
      </c>
      <c r="G106" s="80" t="s">
        <v>124</v>
      </c>
      <c r="H106" s="80" t="s">
        <v>20</v>
      </c>
      <c r="I106" s="132" t="s">
        <v>193</v>
      </c>
      <c r="J106" s="51" t="s">
        <v>52</v>
      </c>
      <c r="K106" s="51" t="s">
        <v>132</v>
      </c>
      <c r="L106" s="128">
        <v>42579</v>
      </c>
      <c r="M106" s="54" t="s">
        <v>109</v>
      </c>
      <c r="N106" s="54" t="s">
        <v>10</v>
      </c>
      <c r="O106" s="76">
        <v>42586</v>
      </c>
      <c r="P106" s="76" t="s">
        <v>206</v>
      </c>
      <c r="Q106" s="81">
        <v>307</v>
      </c>
      <c r="R106" s="76" t="s">
        <v>99</v>
      </c>
      <c r="S106" s="54">
        <v>168945</v>
      </c>
      <c r="T106" s="54" t="s">
        <v>119</v>
      </c>
      <c r="U106" s="51" t="s">
        <v>101</v>
      </c>
      <c r="V106" s="129">
        <v>2.34</v>
      </c>
      <c r="W106" s="51">
        <v>1</v>
      </c>
      <c r="X106" s="51" t="s">
        <v>133</v>
      </c>
      <c r="Y106" s="51" t="s">
        <v>32</v>
      </c>
      <c r="Z106" s="129">
        <v>0.58499999999999996</v>
      </c>
      <c r="AA106" s="129">
        <v>1.7549999999999999</v>
      </c>
    </row>
    <row r="107" spans="1:27" x14ac:dyDescent="0.25">
      <c r="A107" s="51" t="s">
        <v>102</v>
      </c>
      <c r="B107" s="51" t="s">
        <v>223</v>
      </c>
      <c r="C107" s="80">
        <v>8520</v>
      </c>
      <c r="D107" s="80" t="s">
        <v>186</v>
      </c>
      <c r="E107" s="80" t="s">
        <v>15</v>
      </c>
      <c r="F107" s="80">
        <v>199</v>
      </c>
      <c r="G107" s="80" t="s">
        <v>124</v>
      </c>
      <c r="H107" s="80" t="s">
        <v>20</v>
      </c>
      <c r="I107" s="132" t="s">
        <v>194</v>
      </c>
      <c r="J107" s="51" t="s">
        <v>52</v>
      </c>
      <c r="K107" s="51" t="s">
        <v>132</v>
      </c>
      <c r="L107" s="128">
        <v>42579</v>
      </c>
      <c r="M107" s="54" t="s">
        <v>122</v>
      </c>
      <c r="N107" s="54" t="s">
        <v>9</v>
      </c>
      <c r="O107" s="76">
        <v>42586</v>
      </c>
      <c r="P107" s="76" t="s">
        <v>206</v>
      </c>
      <c r="Q107" s="81">
        <v>307</v>
      </c>
      <c r="R107" s="76" t="s">
        <v>99</v>
      </c>
      <c r="S107" s="54">
        <v>218135</v>
      </c>
      <c r="T107" s="54" t="s">
        <v>119</v>
      </c>
      <c r="U107" s="51" t="s">
        <v>101</v>
      </c>
      <c r="V107" s="129">
        <v>3.02</v>
      </c>
      <c r="W107" s="51">
        <v>1</v>
      </c>
      <c r="X107" s="51" t="s">
        <v>140</v>
      </c>
      <c r="Y107" s="51" t="s">
        <v>31</v>
      </c>
      <c r="Z107" s="129">
        <v>1.51</v>
      </c>
      <c r="AA107" s="129">
        <v>1.51</v>
      </c>
    </row>
    <row r="108" spans="1:27" x14ac:dyDescent="0.25">
      <c r="A108" s="51" t="s">
        <v>102</v>
      </c>
      <c r="B108" s="51" t="s">
        <v>223</v>
      </c>
      <c r="C108" s="80">
        <v>8520</v>
      </c>
      <c r="D108" s="80" t="s">
        <v>186</v>
      </c>
      <c r="E108" s="80" t="s">
        <v>15</v>
      </c>
      <c r="F108" s="80">
        <v>199</v>
      </c>
      <c r="G108" s="80" t="s">
        <v>124</v>
      </c>
      <c r="H108" s="80" t="s">
        <v>20</v>
      </c>
      <c r="I108" s="132" t="s">
        <v>195</v>
      </c>
      <c r="J108" s="51" t="s">
        <v>52</v>
      </c>
      <c r="K108" s="51" t="s">
        <v>132</v>
      </c>
      <c r="L108" s="128">
        <v>42579</v>
      </c>
      <c r="M108" s="54" t="s">
        <v>117</v>
      </c>
      <c r="N108" s="54" t="s">
        <v>118</v>
      </c>
      <c r="O108" s="76">
        <v>42586</v>
      </c>
      <c r="P108" s="76" t="s">
        <v>206</v>
      </c>
      <c r="Q108" s="81">
        <v>307</v>
      </c>
      <c r="R108" s="76" t="s">
        <v>99</v>
      </c>
      <c r="S108" s="54">
        <v>239469</v>
      </c>
      <c r="T108" s="54" t="s">
        <v>119</v>
      </c>
      <c r="U108" s="51" t="s">
        <v>101</v>
      </c>
      <c r="V108" s="129">
        <v>3.31</v>
      </c>
      <c r="W108" s="51">
        <v>1</v>
      </c>
      <c r="X108" s="51" t="s">
        <v>13</v>
      </c>
      <c r="Y108" s="51" t="s">
        <v>31</v>
      </c>
      <c r="Z108" s="129">
        <v>1.655</v>
      </c>
      <c r="AA108" s="129">
        <v>1.655</v>
      </c>
    </row>
    <row r="109" spans="1:27" x14ac:dyDescent="0.25">
      <c r="A109" s="51" t="s">
        <v>102</v>
      </c>
      <c r="B109" s="51" t="s">
        <v>223</v>
      </c>
      <c r="C109" s="80">
        <v>8520</v>
      </c>
      <c r="D109" s="80" t="s">
        <v>186</v>
      </c>
      <c r="E109" s="80" t="s">
        <v>15</v>
      </c>
      <c r="F109" s="80">
        <v>199</v>
      </c>
      <c r="G109" s="80" t="s">
        <v>124</v>
      </c>
      <c r="H109" s="80" t="s">
        <v>20</v>
      </c>
      <c r="I109" s="132" t="s">
        <v>196</v>
      </c>
      <c r="J109" s="51" t="s">
        <v>52</v>
      </c>
      <c r="K109" s="51" t="s">
        <v>132</v>
      </c>
      <c r="L109" s="128">
        <v>42579</v>
      </c>
      <c r="M109" s="54" t="s">
        <v>109</v>
      </c>
      <c r="N109" s="54" t="s">
        <v>10</v>
      </c>
      <c r="O109" s="76">
        <v>42586</v>
      </c>
      <c r="P109" s="76" t="s">
        <v>206</v>
      </c>
      <c r="Q109" s="81">
        <v>307</v>
      </c>
      <c r="R109" s="76" t="s">
        <v>99</v>
      </c>
      <c r="S109" s="54">
        <v>459040</v>
      </c>
      <c r="T109" s="54" t="s">
        <v>119</v>
      </c>
      <c r="U109" s="51" t="s">
        <v>101</v>
      </c>
      <c r="V109" s="129">
        <v>6.35</v>
      </c>
      <c r="W109" s="51">
        <v>1</v>
      </c>
      <c r="X109" s="51" t="s">
        <v>133</v>
      </c>
      <c r="Y109" s="51" t="s">
        <v>32</v>
      </c>
      <c r="Z109" s="129">
        <v>1.5874999999999999</v>
      </c>
      <c r="AA109" s="129">
        <v>4.7624999999999993</v>
      </c>
    </row>
    <row r="110" spans="1:27" x14ac:dyDescent="0.25">
      <c r="A110" s="51" t="s">
        <v>102</v>
      </c>
      <c r="B110" s="51" t="s">
        <v>262</v>
      </c>
      <c r="C110" s="80">
        <v>8520</v>
      </c>
      <c r="D110" s="80" t="s">
        <v>186</v>
      </c>
      <c r="E110" s="80" t="s">
        <v>15</v>
      </c>
      <c r="F110" s="80">
        <v>199</v>
      </c>
      <c r="G110" s="80" t="s">
        <v>124</v>
      </c>
      <c r="H110" s="80" t="s">
        <v>20</v>
      </c>
      <c r="I110" s="132" t="s">
        <v>446</v>
      </c>
      <c r="J110" s="51" t="s">
        <v>52</v>
      </c>
      <c r="K110" s="51" t="s">
        <v>132</v>
      </c>
      <c r="L110" s="128">
        <v>42583</v>
      </c>
      <c r="M110" s="54" t="s">
        <v>109</v>
      </c>
      <c r="N110" s="54" t="s">
        <v>10</v>
      </c>
      <c r="O110" s="76">
        <v>42648</v>
      </c>
      <c r="P110" s="76" t="s">
        <v>206</v>
      </c>
      <c r="Q110" s="81">
        <v>245</v>
      </c>
      <c r="R110" s="76" t="s">
        <v>99</v>
      </c>
      <c r="S110" s="54">
        <v>316800</v>
      </c>
      <c r="T110" s="54" t="s">
        <v>119</v>
      </c>
      <c r="U110" s="51" t="s">
        <v>101</v>
      </c>
      <c r="V110" s="129">
        <v>4.38</v>
      </c>
      <c r="W110" s="51">
        <v>1</v>
      </c>
      <c r="X110" s="51" t="s">
        <v>133</v>
      </c>
      <c r="Y110" s="51" t="s">
        <v>32</v>
      </c>
      <c r="Z110" s="129">
        <v>1.095</v>
      </c>
      <c r="AA110" s="129">
        <v>3.2850000000000001</v>
      </c>
    </row>
    <row r="111" spans="1:27" x14ac:dyDescent="0.25">
      <c r="A111" s="51" t="s">
        <v>102</v>
      </c>
      <c r="B111" s="51" t="s">
        <v>253</v>
      </c>
      <c r="C111" s="80">
        <v>8520</v>
      </c>
      <c r="D111" s="80" t="s">
        <v>186</v>
      </c>
      <c r="E111" s="80" t="s">
        <v>15</v>
      </c>
      <c r="F111" s="80">
        <v>199</v>
      </c>
      <c r="G111" s="80" t="s">
        <v>124</v>
      </c>
      <c r="H111" s="80" t="s">
        <v>20</v>
      </c>
      <c r="I111" s="132" t="s">
        <v>447</v>
      </c>
      <c r="J111" s="51" t="s">
        <v>52</v>
      </c>
      <c r="K111" s="51" t="s">
        <v>132</v>
      </c>
      <c r="L111" s="128">
        <v>42583</v>
      </c>
      <c r="M111" s="54" t="s">
        <v>109</v>
      </c>
      <c r="N111" s="54" t="s">
        <v>10</v>
      </c>
      <c r="O111" s="76">
        <v>42618</v>
      </c>
      <c r="P111" s="76" t="s">
        <v>206</v>
      </c>
      <c r="Q111" s="81">
        <v>275</v>
      </c>
      <c r="R111" s="76" t="s">
        <v>99</v>
      </c>
      <c r="S111" s="54">
        <v>439100</v>
      </c>
      <c r="T111" s="54" t="s">
        <v>119</v>
      </c>
      <c r="U111" s="51" t="s">
        <v>101</v>
      </c>
      <c r="V111" s="129">
        <v>6.07</v>
      </c>
      <c r="W111" s="51">
        <v>1</v>
      </c>
      <c r="X111" s="51" t="s">
        <v>133</v>
      </c>
      <c r="Y111" s="51" t="s">
        <v>32</v>
      </c>
      <c r="Z111" s="129">
        <v>1.5175000000000001</v>
      </c>
      <c r="AA111" s="129">
        <v>4.5525000000000002</v>
      </c>
    </row>
    <row r="112" spans="1:27" x14ac:dyDescent="0.25">
      <c r="A112" s="51" t="s">
        <v>102</v>
      </c>
      <c r="B112" s="51" t="s">
        <v>262</v>
      </c>
      <c r="C112" s="80">
        <v>8520</v>
      </c>
      <c r="D112" s="80" t="s">
        <v>186</v>
      </c>
      <c r="E112" s="80" t="s">
        <v>15</v>
      </c>
      <c r="F112" s="80">
        <v>199</v>
      </c>
      <c r="G112" s="80" t="s">
        <v>124</v>
      </c>
      <c r="H112" s="80" t="s">
        <v>20</v>
      </c>
      <c r="I112" s="132" t="s">
        <v>356</v>
      </c>
      <c r="J112" s="51" t="s">
        <v>41</v>
      </c>
      <c r="K112" s="51" t="s">
        <v>249</v>
      </c>
      <c r="L112" s="128">
        <v>42583</v>
      </c>
      <c r="M112" s="54" t="s">
        <v>109</v>
      </c>
      <c r="N112" s="54" t="s">
        <v>10</v>
      </c>
      <c r="O112" s="76">
        <v>42648</v>
      </c>
      <c r="P112" s="76" t="s">
        <v>206</v>
      </c>
      <c r="Q112" s="81">
        <v>245</v>
      </c>
      <c r="R112" s="76" t="s">
        <v>99</v>
      </c>
      <c r="S112" s="54">
        <v>124200</v>
      </c>
      <c r="T112" s="54" t="s">
        <v>119</v>
      </c>
      <c r="U112" s="51" t="s">
        <v>101</v>
      </c>
      <c r="V112" s="129">
        <v>1.72</v>
      </c>
      <c r="W112" s="51">
        <v>1</v>
      </c>
      <c r="X112" s="51" t="s">
        <v>133</v>
      </c>
      <c r="Y112" s="51" t="s">
        <v>32</v>
      </c>
      <c r="Z112" s="129">
        <v>0.43</v>
      </c>
      <c r="AA112" s="129">
        <v>1.29</v>
      </c>
    </row>
    <row r="113" spans="1:27" x14ac:dyDescent="0.25">
      <c r="A113" s="51" t="s">
        <v>102</v>
      </c>
      <c r="B113" s="51" t="s">
        <v>262</v>
      </c>
      <c r="C113" s="80">
        <v>8520</v>
      </c>
      <c r="D113" s="80" t="s">
        <v>186</v>
      </c>
      <c r="E113" s="80" t="s">
        <v>15</v>
      </c>
      <c r="F113" s="80">
        <v>199</v>
      </c>
      <c r="G113" s="80" t="s">
        <v>124</v>
      </c>
      <c r="H113" s="80" t="s">
        <v>20</v>
      </c>
      <c r="I113" s="132" t="s">
        <v>357</v>
      </c>
      <c r="J113" s="51" t="s">
        <v>41</v>
      </c>
      <c r="K113" s="51" t="s">
        <v>249</v>
      </c>
      <c r="L113" s="128">
        <v>42583</v>
      </c>
      <c r="M113" s="54" t="s">
        <v>109</v>
      </c>
      <c r="N113" s="54" t="s">
        <v>10</v>
      </c>
      <c r="O113" s="76">
        <v>42648</v>
      </c>
      <c r="P113" s="76" t="s">
        <v>206</v>
      </c>
      <c r="Q113" s="81">
        <v>245</v>
      </c>
      <c r="R113" s="76" t="s">
        <v>99</v>
      </c>
      <c r="S113" s="54">
        <v>108000</v>
      </c>
      <c r="T113" s="54" t="s">
        <v>119</v>
      </c>
      <c r="U113" s="51" t="s">
        <v>101</v>
      </c>
      <c r="V113" s="129">
        <v>1.49</v>
      </c>
      <c r="W113" s="51">
        <v>1</v>
      </c>
      <c r="X113" s="51" t="s">
        <v>133</v>
      </c>
      <c r="Y113" s="51" t="s">
        <v>32</v>
      </c>
      <c r="Z113" s="129">
        <v>0.3725</v>
      </c>
      <c r="AA113" s="129">
        <v>1.1174999999999999</v>
      </c>
    </row>
    <row r="114" spans="1:27" x14ac:dyDescent="0.25">
      <c r="A114" s="51" t="s">
        <v>102</v>
      </c>
      <c r="B114" s="51" t="s">
        <v>262</v>
      </c>
      <c r="C114" s="80">
        <v>8520</v>
      </c>
      <c r="D114" s="80" t="s">
        <v>186</v>
      </c>
      <c r="E114" s="80" t="s">
        <v>15</v>
      </c>
      <c r="F114" s="80">
        <v>199</v>
      </c>
      <c r="G114" s="80" t="s">
        <v>124</v>
      </c>
      <c r="H114" s="80" t="s">
        <v>20</v>
      </c>
      <c r="I114" s="132" t="s">
        <v>358</v>
      </c>
      <c r="J114" s="51" t="s">
        <v>41</v>
      </c>
      <c r="K114" s="51" t="s">
        <v>249</v>
      </c>
      <c r="L114" s="128">
        <v>42583</v>
      </c>
      <c r="M114" s="54" t="s">
        <v>109</v>
      </c>
      <c r="N114" s="54" t="s">
        <v>10</v>
      </c>
      <c r="O114" s="76">
        <v>42648</v>
      </c>
      <c r="P114" s="76" t="s">
        <v>206</v>
      </c>
      <c r="Q114" s="81">
        <v>245</v>
      </c>
      <c r="R114" s="76" t="s">
        <v>99</v>
      </c>
      <c r="S114" s="54">
        <v>118800</v>
      </c>
      <c r="T114" s="54" t="s">
        <v>119</v>
      </c>
      <c r="U114" s="51" t="s">
        <v>101</v>
      </c>
      <c r="V114" s="129">
        <v>1.64</v>
      </c>
      <c r="W114" s="51">
        <v>1</v>
      </c>
      <c r="X114" s="51" t="s">
        <v>133</v>
      </c>
      <c r="Y114" s="51" t="s">
        <v>32</v>
      </c>
      <c r="Z114" s="129">
        <v>0.41</v>
      </c>
      <c r="AA114" s="129">
        <v>1.23</v>
      </c>
    </row>
    <row r="115" spans="1:27" x14ac:dyDescent="0.25">
      <c r="A115" s="51" t="s">
        <v>102</v>
      </c>
      <c r="B115" s="51" t="s">
        <v>262</v>
      </c>
      <c r="C115" s="80">
        <v>8520</v>
      </c>
      <c r="D115" s="80" t="s">
        <v>186</v>
      </c>
      <c r="E115" s="80" t="s">
        <v>15</v>
      </c>
      <c r="F115" s="80">
        <v>199</v>
      </c>
      <c r="G115" s="80" t="s">
        <v>124</v>
      </c>
      <c r="H115" s="80" t="s">
        <v>20</v>
      </c>
      <c r="I115" s="132" t="s">
        <v>359</v>
      </c>
      <c r="J115" s="51" t="s">
        <v>41</v>
      </c>
      <c r="K115" s="51" t="s">
        <v>249</v>
      </c>
      <c r="L115" s="128">
        <v>42583</v>
      </c>
      <c r="M115" s="54" t="s">
        <v>109</v>
      </c>
      <c r="N115" s="54" t="s">
        <v>10</v>
      </c>
      <c r="O115" s="76">
        <v>42648</v>
      </c>
      <c r="P115" s="76" t="s">
        <v>206</v>
      </c>
      <c r="Q115" s="81">
        <v>245</v>
      </c>
      <c r="R115" s="76" t="s">
        <v>99</v>
      </c>
      <c r="S115" s="54">
        <v>118800</v>
      </c>
      <c r="T115" s="54" t="s">
        <v>119</v>
      </c>
      <c r="U115" s="51" t="s">
        <v>101</v>
      </c>
      <c r="V115" s="129">
        <v>1.64</v>
      </c>
      <c r="W115" s="51">
        <v>1</v>
      </c>
      <c r="X115" s="51" t="s">
        <v>133</v>
      </c>
      <c r="Y115" s="51" t="s">
        <v>32</v>
      </c>
      <c r="Z115" s="129">
        <v>0.41</v>
      </c>
      <c r="AA115" s="129">
        <v>1.23</v>
      </c>
    </row>
    <row r="116" spans="1:27" x14ac:dyDescent="0.25">
      <c r="A116" s="51" t="s">
        <v>102</v>
      </c>
      <c r="B116" s="51" t="s">
        <v>253</v>
      </c>
      <c r="C116" s="80">
        <v>8520</v>
      </c>
      <c r="D116" s="80" t="s">
        <v>186</v>
      </c>
      <c r="E116" s="80" t="s">
        <v>15</v>
      </c>
      <c r="F116" s="80">
        <v>9701</v>
      </c>
      <c r="G116" s="80" t="s">
        <v>173</v>
      </c>
      <c r="H116" s="80" t="s">
        <v>14</v>
      </c>
      <c r="I116" s="132" t="s">
        <v>393</v>
      </c>
      <c r="J116" s="51" t="s">
        <v>37</v>
      </c>
      <c r="K116" s="51" t="s">
        <v>199</v>
      </c>
      <c r="L116" s="128">
        <v>42583</v>
      </c>
      <c r="M116" s="54" t="s">
        <v>104</v>
      </c>
      <c r="N116" s="54" t="s">
        <v>9</v>
      </c>
      <c r="O116" s="76">
        <v>42615</v>
      </c>
      <c r="P116" s="76" t="s">
        <v>206</v>
      </c>
      <c r="Q116" s="81">
        <v>278</v>
      </c>
      <c r="R116" s="76" t="s">
        <v>99</v>
      </c>
      <c r="S116" s="54">
        <v>-209034</v>
      </c>
      <c r="T116" s="54" t="s">
        <v>119</v>
      </c>
      <c r="U116" s="51" t="s">
        <v>101</v>
      </c>
      <c r="V116" s="129">
        <v>-2.89</v>
      </c>
      <c r="W116" s="51">
        <v>1</v>
      </c>
      <c r="X116" s="51" t="s">
        <v>134</v>
      </c>
      <c r="Y116" s="51" t="s">
        <v>31</v>
      </c>
      <c r="Z116" s="129">
        <v>-1.4450000000000001</v>
      </c>
      <c r="AA116" s="129">
        <v>-1.4450000000000001</v>
      </c>
    </row>
    <row r="117" spans="1:27" x14ac:dyDescent="0.25">
      <c r="A117" s="51" t="s">
        <v>102</v>
      </c>
      <c r="B117" s="51" t="s">
        <v>262</v>
      </c>
      <c r="C117" s="80">
        <v>8520</v>
      </c>
      <c r="D117" s="80" t="s">
        <v>186</v>
      </c>
      <c r="E117" s="80" t="s">
        <v>15</v>
      </c>
      <c r="F117" s="80">
        <v>199</v>
      </c>
      <c r="G117" s="80" t="s">
        <v>124</v>
      </c>
      <c r="H117" s="80" t="s">
        <v>20</v>
      </c>
      <c r="I117" s="132" t="s">
        <v>360</v>
      </c>
      <c r="J117" s="51" t="s">
        <v>41</v>
      </c>
      <c r="K117" s="51" t="s">
        <v>139</v>
      </c>
      <c r="L117" s="128">
        <v>42583</v>
      </c>
      <c r="M117" s="54" t="s">
        <v>109</v>
      </c>
      <c r="N117" s="54" t="s">
        <v>10</v>
      </c>
      <c r="O117" s="76">
        <v>42648</v>
      </c>
      <c r="P117" s="76" t="s">
        <v>206</v>
      </c>
      <c r="Q117" s="81">
        <v>245</v>
      </c>
      <c r="R117" s="76" t="s">
        <v>99</v>
      </c>
      <c r="S117" s="54">
        <v>705311.2</v>
      </c>
      <c r="T117" s="54" t="s">
        <v>119</v>
      </c>
      <c r="U117" s="51" t="s">
        <v>101</v>
      </c>
      <c r="V117" s="129">
        <v>9.75</v>
      </c>
      <c r="W117" s="51">
        <v>1</v>
      </c>
      <c r="X117" s="51" t="s">
        <v>133</v>
      </c>
      <c r="Y117" s="51" t="s">
        <v>32</v>
      </c>
      <c r="Z117" s="129">
        <v>2.4375</v>
      </c>
      <c r="AA117" s="129">
        <v>7.3125</v>
      </c>
    </row>
    <row r="118" spans="1:27" x14ac:dyDescent="0.25">
      <c r="A118" s="51" t="s">
        <v>102</v>
      </c>
      <c r="B118" s="51" t="s">
        <v>262</v>
      </c>
      <c r="C118" s="80">
        <v>8520</v>
      </c>
      <c r="D118" s="80" t="s">
        <v>186</v>
      </c>
      <c r="E118" s="80" t="s">
        <v>15</v>
      </c>
      <c r="F118" s="80">
        <v>199</v>
      </c>
      <c r="G118" s="80" t="s">
        <v>124</v>
      </c>
      <c r="H118" s="80" t="s">
        <v>20</v>
      </c>
      <c r="I118" s="132" t="s">
        <v>361</v>
      </c>
      <c r="J118" s="51" t="s">
        <v>41</v>
      </c>
      <c r="K118" s="51" t="s">
        <v>139</v>
      </c>
      <c r="L118" s="128">
        <v>42583</v>
      </c>
      <c r="M118" s="54" t="s">
        <v>109</v>
      </c>
      <c r="N118" s="54" t="s">
        <v>10</v>
      </c>
      <c r="O118" s="76">
        <v>42648</v>
      </c>
      <c r="P118" s="76" t="s">
        <v>206</v>
      </c>
      <c r="Q118" s="81">
        <v>245</v>
      </c>
      <c r="R118" s="76" t="s">
        <v>99</v>
      </c>
      <c r="S118" s="54">
        <v>880228.7</v>
      </c>
      <c r="T118" s="54" t="s">
        <v>119</v>
      </c>
      <c r="U118" s="51" t="s">
        <v>101</v>
      </c>
      <c r="V118" s="129">
        <v>12.17</v>
      </c>
      <c r="W118" s="51">
        <v>1</v>
      </c>
      <c r="X118" s="51" t="s">
        <v>133</v>
      </c>
      <c r="Y118" s="51" t="s">
        <v>32</v>
      </c>
      <c r="Z118" s="129">
        <v>3.0425</v>
      </c>
      <c r="AA118" s="129">
        <v>9.1274999999999995</v>
      </c>
    </row>
    <row r="119" spans="1:27" x14ac:dyDescent="0.25">
      <c r="A119" s="51" t="s">
        <v>102</v>
      </c>
      <c r="B119" s="51" t="s">
        <v>262</v>
      </c>
      <c r="C119" s="80">
        <v>8520</v>
      </c>
      <c r="D119" s="80" t="s">
        <v>186</v>
      </c>
      <c r="E119" s="80" t="s">
        <v>15</v>
      </c>
      <c r="F119" s="80">
        <v>199</v>
      </c>
      <c r="G119" s="80" t="s">
        <v>124</v>
      </c>
      <c r="H119" s="80" t="s">
        <v>20</v>
      </c>
      <c r="I119" s="132" t="s">
        <v>362</v>
      </c>
      <c r="J119" s="51" t="s">
        <v>41</v>
      </c>
      <c r="K119" s="51" t="s">
        <v>139</v>
      </c>
      <c r="L119" s="128">
        <v>42583</v>
      </c>
      <c r="M119" s="54" t="s">
        <v>109</v>
      </c>
      <c r="N119" s="54" t="s">
        <v>10</v>
      </c>
      <c r="O119" s="76">
        <v>42648</v>
      </c>
      <c r="P119" s="76" t="s">
        <v>206</v>
      </c>
      <c r="Q119" s="81">
        <v>245</v>
      </c>
      <c r="R119" s="76" t="s">
        <v>99</v>
      </c>
      <c r="S119" s="54">
        <v>1315552.8500000001</v>
      </c>
      <c r="T119" s="54" t="s">
        <v>119</v>
      </c>
      <c r="U119" s="51" t="s">
        <v>101</v>
      </c>
      <c r="V119" s="129">
        <v>18.190000000000001</v>
      </c>
      <c r="W119" s="51">
        <v>1</v>
      </c>
      <c r="X119" s="51" t="s">
        <v>133</v>
      </c>
      <c r="Y119" s="51" t="s">
        <v>32</v>
      </c>
      <c r="Z119" s="129">
        <v>4.5475000000000003</v>
      </c>
      <c r="AA119" s="129">
        <v>13.642500000000002</v>
      </c>
    </row>
    <row r="120" spans="1:27" x14ac:dyDescent="0.25">
      <c r="A120" s="51" t="s">
        <v>102</v>
      </c>
      <c r="B120" s="51" t="s">
        <v>262</v>
      </c>
      <c r="C120" s="80">
        <v>8520</v>
      </c>
      <c r="D120" s="80" t="s">
        <v>186</v>
      </c>
      <c r="E120" s="80" t="s">
        <v>15</v>
      </c>
      <c r="F120" s="80">
        <v>199</v>
      </c>
      <c r="G120" s="80" t="s">
        <v>124</v>
      </c>
      <c r="H120" s="80" t="s">
        <v>20</v>
      </c>
      <c r="I120" s="132" t="s">
        <v>440</v>
      </c>
      <c r="J120" s="51" t="s">
        <v>54</v>
      </c>
      <c r="K120" s="51" t="s">
        <v>137</v>
      </c>
      <c r="L120" s="128">
        <v>42583</v>
      </c>
      <c r="M120" s="54" t="s">
        <v>109</v>
      </c>
      <c r="N120" s="54" t="s">
        <v>10</v>
      </c>
      <c r="O120" s="76">
        <v>42648</v>
      </c>
      <c r="P120" s="76" t="s">
        <v>206</v>
      </c>
      <c r="Q120" s="81">
        <v>245</v>
      </c>
      <c r="R120" s="76" t="s">
        <v>99</v>
      </c>
      <c r="S120" s="54">
        <v>990952.8</v>
      </c>
      <c r="T120" s="54" t="s">
        <v>119</v>
      </c>
      <c r="U120" s="51" t="s">
        <v>101</v>
      </c>
      <c r="V120" s="129">
        <v>13.7</v>
      </c>
      <c r="W120" s="51">
        <v>1</v>
      </c>
      <c r="X120" s="51" t="s">
        <v>133</v>
      </c>
      <c r="Y120" s="51" t="s">
        <v>32</v>
      </c>
      <c r="Z120" s="129">
        <v>3.4249999999999998</v>
      </c>
      <c r="AA120" s="129">
        <v>10.274999999999999</v>
      </c>
    </row>
    <row r="121" spans="1:27" x14ac:dyDescent="0.25">
      <c r="A121" s="51" t="s">
        <v>102</v>
      </c>
      <c r="B121" s="51" t="s">
        <v>262</v>
      </c>
      <c r="C121" s="80">
        <v>8520</v>
      </c>
      <c r="D121" s="80" t="s">
        <v>186</v>
      </c>
      <c r="E121" s="80" t="s">
        <v>15</v>
      </c>
      <c r="F121" s="80">
        <v>8105</v>
      </c>
      <c r="G121" s="80" t="s">
        <v>191</v>
      </c>
      <c r="H121" s="80" t="s">
        <v>20</v>
      </c>
      <c r="I121" s="132" t="s">
        <v>363</v>
      </c>
      <c r="J121" s="51" t="s">
        <v>41</v>
      </c>
      <c r="K121" s="51" t="s">
        <v>139</v>
      </c>
      <c r="L121" s="128">
        <v>42583</v>
      </c>
      <c r="M121" s="54" t="s">
        <v>98</v>
      </c>
      <c r="N121" s="54" t="s">
        <v>9</v>
      </c>
      <c r="O121" s="76">
        <v>42648</v>
      </c>
      <c r="P121" s="76" t="s">
        <v>206</v>
      </c>
      <c r="Q121" s="81">
        <v>245</v>
      </c>
      <c r="R121" s="76" t="s">
        <v>99</v>
      </c>
      <c r="S121" s="54">
        <v>622263</v>
      </c>
      <c r="T121" s="54" t="s">
        <v>119</v>
      </c>
      <c r="U121" s="51" t="s">
        <v>101</v>
      </c>
      <c r="V121" s="129">
        <v>8.6</v>
      </c>
      <c r="W121" s="51">
        <v>1</v>
      </c>
      <c r="X121" s="51" t="s">
        <v>135</v>
      </c>
      <c r="Y121" s="51" t="s">
        <v>30</v>
      </c>
      <c r="Z121" s="129">
        <v>8.6</v>
      </c>
      <c r="AA121" s="129">
        <v>0</v>
      </c>
    </row>
    <row r="122" spans="1:27" x14ac:dyDescent="0.25">
      <c r="A122" s="51" t="s">
        <v>102</v>
      </c>
      <c r="B122" s="51" t="s">
        <v>262</v>
      </c>
      <c r="C122" s="80">
        <v>8520</v>
      </c>
      <c r="D122" s="80" t="s">
        <v>186</v>
      </c>
      <c r="E122" s="80" t="s">
        <v>15</v>
      </c>
      <c r="F122" s="80">
        <v>199</v>
      </c>
      <c r="G122" s="80" t="s">
        <v>124</v>
      </c>
      <c r="H122" s="80" t="s">
        <v>20</v>
      </c>
      <c r="I122" s="132" t="s">
        <v>402</v>
      </c>
      <c r="J122" s="51" t="s">
        <v>47</v>
      </c>
      <c r="K122" s="51" t="s">
        <v>142</v>
      </c>
      <c r="L122" s="128">
        <v>42583</v>
      </c>
      <c r="M122" s="54" t="s">
        <v>109</v>
      </c>
      <c r="N122" s="54" t="s">
        <v>10</v>
      </c>
      <c r="O122" s="76">
        <v>42648</v>
      </c>
      <c r="P122" s="76" t="s">
        <v>206</v>
      </c>
      <c r="Q122" s="81">
        <v>245</v>
      </c>
      <c r="R122" s="76" t="s">
        <v>99</v>
      </c>
      <c r="S122" s="54">
        <v>29600</v>
      </c>
      <c r="T122" s="54" t="s">
        <v>119</v>
      </c>
      <c r="U122" s="51" t="s">
        <v>101</v>
      </c>
      <c r="V122" s="129">
        <v>0.41</v>
      </c>
      <c r="W122" s="51">
        <v>1</v>
      </c>
      <c r="X122" s="51" t="s">
        <v>133</v>
      </c>
      <c r="Y122" s="51" t="s">
        <v>32</v>
      </c>
      <c r="Z122" s="129">
        <v>0.10249999999999999</v>
      </c>
      <c r="AA122" s="129">
        <v>0.3075</v>
      </c>
    </row>
    <row r="123" spans="1:27" x14ac:dyDescent="0.25">
      <c r="A123" s="51" t="s">
        <v>102</v>
      </c>
      <c r="B123" s="51" t="s">
        <v>253</v>
      </c>
      <c r="C123" s="80">
        <v>8520</v>
      </c>
      <c r="D123" s="80" t="s">
        <v>186</v>
      </c>
      <c r="E123" s="80" t="s">
        <v>15</v>
      </c>
      <c r="F123" s="80">
        <v>8420</v>
      </c>
      <c r="G123" s="80" t="s">
        <v>120</v>
      </c>
      <c r="H123" s="80" t="s">
        <v>15</v>
      </c>
      <c r="I123" s="132" t="s">
        <v>441</v>
      </c>
      <c r="J123" s="51" t="s">
        <v>54</v>
      </c>
      <c r="K123" s="51" t="s">
        <v>137</v>
      </c>
      <c r="L123" s="128">
        <v>42583</v>
      </c>
      <c r="M123" s="54" t="s">
        <v>104</v>
      </c>
      <c r="N123" s="54" t="s">
        <v>9</v>
      </c>
      <c r="O123" s="76">
        <v>42618</v>
      </c>
      <c r="P123" s="76" t="s">
        <v>206</v>
      </c>
      <c r="Q123" s="81">
        <v>275</v>
      </c>
      <c r="R123" s="76" t="s">
        <v>99</v>
      </c>
      <c r="S123" s="54">
        <v>48600</v>
      </c>
      <c r="T123" s="54" t="s">
        <v>119</v>
      </c>
      <c r="U123" s="51" t="s">
        <v>105</v>
      </c>
      <c r="V123" s="129">
        <v>0.67</v>
      </c>
      <c r="W123" s="51">
        <v>1</v>
      </c>
      <c r="X123" s="51" t="s">
        <v>134</v>
      </c>
      <c r="Y123" s="51" t="s">
        <v>31</v>
      </c>
      <c r="Z123" s="129">
        <v>0.33500000000000002</v>
      </c>
      <c r="AA123" s="129">
        <v>0.33500000000000002</v>
      </c>
    </row>
    <row r="124" spans="1:27" x14ac:dyDescent="0.25">
      <c r="A124" s="51" t="s">
        <v>102</v>
      </c>
      <c r="B124" s="51" t="s">
        <v>253</v>
      </c>
      <c r="C124" s="80">
        <v>8520</v>
      </c>
      <c r="D124" s="80" t="s">
        <v>186</v>
      </c>
      <c r="E124" s="80" t="s">
        <v>15</v>
      </c>
      <c r="F124" s="80">
        <v>8420</v>
      </c>
      <c r="G124" s="80" t="s">
        <v>120</v>
      </c>
      <c r="H124" s="80" t="s">
        <v>15</v>
      </c>
      <c r="I124" s="132" t="s">
        <v>442</v>
      </c>
      <c r="J124" s="51" t="s">
        <v>54</v>
      </c>
      <c r="K124" s="51" t="s">
        <v>137</v>
      </c>
      <c r="L124" s="128">
        <v>42583</v>
      </c>
      <c r="M124" s="54" t="s">
        <v>104</v>
      </c>
      <c r="N124" s="54" t="s">
        <v>9</v>
      </c>
      <c r="O124" s="76">
        <v>42618</v>
      </c>
      <c r="P124" s="76" t="s">
        <v>206</v>
      </c>
      <c r="Q124" s="81">
        <v>275</v>
      </c>
      <c r="R124" s="76" t="s">
        <v>99</v>
      </c>
      <c r="S124" s="54">
        <v>44793</v>
      </c>
      <c r="T124" s="54" t="s">
        <v>119</v>
      </c>
      <c r="U124" s="51" t="s">
        <v>105</v>
      </c>
      <c r="V124" s="129">
        <v>0.62</v>
      </c>
      <c r="W124" s="51">
        <v>1</v>
      </c>
      <c r="X124" s="51" t="s">
        <v>134</v>
      </c>
      <c r="Y124" s="51" t="s">
        <v>31</v>
      </c>
      <c r="Z124" s="129">
        <v>0.31</v>
      </c>
      <c r="AA124" s="129">
        <v>0.31</v>
      </c>
    </row>
    <row r="125" spans="1:27" x14ac:dyDescent="0.25">
      <c r="A125" s="51" t="s">
        <v>102</v>
      </c>
      <c r="B125" s="51" t="s">
        <v>253</v>
      </c>
      <c r="C125" s="80">
        <v>8520</v>
      </c>
      <c r="D125" s="80" t="s">
        <v>186</v>
      </c>
      <c r="E125" s="80" t="s">
        <v>15</v>
      </c>
      <c r="F125" s="80">
        <v>8420</v>
      </c>
      <c r="G125" s="80" t="s">
        <v>120</v>
      </c>
      <c r="H125" s="80" t="s">
        <v>15</v>
      </c>
      <c r="I125" s="132" t="s">
        <v>443</v>
      </c>
      <c r="J125" s="51" t="s">
        <v>54</v>
      </c>
      <c r="K125" s="51" t="s">
        <v>137</v>
      </c>
      <c r="L125" s="128">
        <v>42583</v>
      </c>
      <c r="M125" s="54" t="s">
        <v>104</v>
      </c>
      <c r="N125" s="54" t="s">
        <v>9</v>
      </c>
      <c r="O125" s="76">
        <v>42618</v>
      </c>
      <c r="P125" s="76" t="s">
        <v>206</v>
      </c>
      <c r="Q125" s="81">
        <v>275</v>
      </c>
      <c r="R125" s="76" t="s">
        <v>99</v>
      </c>
      <c r="S125" s="54">
        <v>379206</v>
      </c>
      <c r="T125" s="54" t="s">
        <v>119</v>
      </c>
      <c r="U125" s="51" t="s">
        <v>105</v>
      </c>
      <c r="V125" s="129">
        <v>5.24</v>
      </c>
      <c r="W125" s="51">
        <v>1</v>
      </c>
      <c r="X125" s="51" t="s">
        <v>134</v>
      </c>
      <c r="Y125" s="51" t="s">
        <v>31</v>
      </c>
      <c r="Z125" s="129">
        <v>2.62</v>
      </c>
      <c r="AA125" s="129">
        <v>2.62</v>
      </c>
    </row>
    <row r="126" spans="1:27" x14ac:dyDescent="0.25">
      <c r="A126" s="51" t="s">
        <v>102</v>
      </c>
      <c r="B126" s="51" t="s">
        <v>223</v>
      </c>
      <c r="C126" s="80">
        <v>8520</v>
      </c>
      <c r="D126" s="80" t="s">
        <v>186</v>
      </c>
      <c r="E126" s="80" t="s">
        <v>15</v>
      </c>
      <c r="F126" s="80">
        <v>1350</v>
      </c>
      <c r="G126" s="80" t="s">
        <v>115</v>
      </c>
      <c r="H126" s="80" t="s">
        <v>19</v>
      </c>
      <c r="I126" s="132" t="s">
        <v>394</v>
      </c>
      <c r="J126" s="51" t="s">
        <v>37</v>
      </c>
      <c r="K126" s="51" t="s">
        <v>177</v>
      </c>
      <c r="L126" s="128">
        <v>42522</v>
      </c>
      <c r="M126" s="54" t="s">
        <v>117</v>
      </c>
      <c r="N126" s="54" t="s">
        <v>118</v>
      </c>
      <c r="O126" s="76">
        <v>42586</v>
      </c>
      <c r="P126" s="76" t="s">
        <v>206</v>
      </c>
      <c r="Q126" s="81">
        <v>307</v>
      </c>
      <c r="R126" s="76" t="s">
        <v>99</v>
      </c>
      <c r="S126" s="54">
        <v>183878.7</v>
      </c>
      <c r="T126" s="54" t="s">
        <v>119</v>
      </c>
      <c r="U126" s="51" t="s">
        <v>101</v>
      </c>
      <c r="V126" s="129">
        <v>2.54</v>
      </c>
      <c r="W126" s="51">
        <v>1</v>
      </c>
      <c r="X126" s="51" t="s">
        <v>13</v>
      </c>
      <c r="Y126" s="51" t="s">
        <v>31</v>
      </c>
      <c r="Z126" s="129">
        <v>1.27</v>
      </c>
      <c r="AA126" s="129">
        <v>1.27</v>
      </c>
    </row>
    <row r="127" spans="1:27" x14ac:dyDescent="0.25">
      <c r="A127" s="51" t="s">
        <v>102</v>
      </c>
      <c r="B127" s="51" t="s">
        <v>172</v>
      </c>
      <c r="C127" s="80">
        <v>8520</v>
      </c>
      <c r="D127" s="80" t="s">
        <v>186</v>
      </c>
      <c r="E127" s="80" t="s">
        <v>15</v>
      </c>
      <c r="F127" s="80">
        <v>95</v>
      </c>
      <c r="G127" s="80" t="s">
        <v>110</v>
      </c>
      <c r="H127" s="80" t="s">
        <v>18</v>
      </c>
      <c r="I127" s="132" t="s">
        <v>403</v>
      </c>
      <c r="J127" s="51" t="s">
        <v>47</v>
      </c>
      <c r="K127" s="51" t="s">
        <v>142</v>
      </c>
      <c r="L127" s="128">
        <v>42461</v>
      </c>
      <c r="M127" s="54" t="s">
        <v>109</v>
      </c>
      <c r="N127" s="54" t="s">
        <v>10</v>
      </c>
      <c r="O127" s="76">
        <v>42524</v>
      </c>
      <c r="P127" s="76" t="s">
        <v>207</v>
      </c>
      <c r="Q127" s="81">
        <v>369</v>
      </c>
      <c r="R127" s="76" t="s">
        <v>252</v>
      </c>
      <c r="S127" s="54">
        <v>14673</v>
      </c>
      <c r="T127" s="54" t="s">
        <v>119</v>
      </c>
      <c r="U127" s="51" t="s">
        <v>101</v>
      </c>
      <c r="V127" s="129">
        <v>0.2</v>
      </c>
      <c r="W127" s="51">
        <v>1</v>
      </c>
      <c r="X127" s="51" t="s">
        <v>133</v>
      </c>
      <c r="Y127" s="51" t="s">
        <v>32</v>
      </c>
      <c r="Z127" s="129">
        <v>0.05</v>
      </c>
      <c r="AA127" s="129">
        <v>0.15000000000000002</v>
      </c>
    </row>
    <row r="128" spans="1:27" x14ac:dyDescent="0.25">
      <c r="A128" s="51" t="s">
        <v>102</v>
      </c>
      <c r="B128" s="51" t="s">
        <v>103</v>
      </c>
      <c r="C128" s="80">
        <v>8520</v>
      </c>
      <c r="D128" s="80" t="s">
        <v>186</v>
      </c>
      <c r="E128" s="80" t="s">
        <v>15</v>
      </c>
      <c r="F128" s="80">
        <v>8420</v>
      </c>
      <c r="G128" s="80" t="s">
        <v>120</v>
      </c>
      <c r="H128" s="80" t="s">
        <v>15</v>
      </c>
      <c r="I128" s="132" t="s">
        <v>364</v>
      </c>
      <c r="J128" s="51" t="s">
        <v>41</v>
      </c>
      <c r="K128" s="51" t="s">
        <v>141</v>
      </c>
      <c r="L128" s="128">
        <v>42430</v>
      </c>
      <c r="M128" s="54" t="s">
        <v>121</v>
      </c>
      <c r="N128" s="54" t="s">
        <v>9</v>
      </c>
      <c r="O128" s="76">
        <v>42495</v>
      </c>
      <c r="P128" s="76" t="s">
        <v>207</v>
      </c>
      <c r="Q128" s="81">
        <v>398</v>
      </c>
      <c r="R128" s="76" t="s">
        <v>252</v>
      </c>
      <c r="S128" s="54">
        <v>1625000</v>
      </c>
      <c r="T128" s="54" t="s">
        <v>119</v>
      </c>
      <c r="U128" s="51" t="s">
        <v>105</v>
      </c>
      <c r="V128" s="129">
        <v>22.47</v>
      </c>
      <c r="W128" s="51">
        <v>1</v>
      </c>
      <c r="X128" s="51" t="s">
        <v>138</v>
      </c>
      <c r="Y128" s="51" t="s">
        <v>31</v>
      </c>
      <c r="Z128" s="129">
        <v>11.234999999999999</v>
      </c>
      <c r="AA128" s="129">
        <v>11.234999999999999</v>
      </c>
    </row>
    <row r="129" spans="1:27" x14ac:dyDescent="0.25">
      <c r="A129" s="51" t="s">
        <v>102</v>
      </c>
      <c r="B129" s="51" t="s">
        <v>103</v>
      </c>
      <c r="C129" s="80">
        <v>8520</v>
      </c>
      <c r="D129" s="80" t="s">
        <v>186</v>
      </c>
      <c r="E129" s="80" t="s">
        <v>15</v>
      </c>
      <c r="F129" s="80">
        <v>8420</v>
      </c>
      <c r="G129" s="80" t="s">
        <v>120</v>
      </c>
      <c r="H129" s="80" t="s">
        <v>15</v>
      </c>
      <c r="I129" s="132" t="s">
        <v>368</v>
      </c>
      <c r="J129" s="51" t="s">
        <v>41</v>
      </c>
      <c r="K129" s="51" t="s">
        <v>141</v>
      </c>
      <c r="L129" s="128">
        <v>42430</v>
      </c>
      <c r="M129" s="54" t="s">
        <v>122</v>
      </c>
      <c r="N129" s="54" t="s">
        <v>9</v>
      </c>
      <c r="O129" s="76">
        <v>42495</v>
      </c>
      <c r="P129" s="76" t="s">
        <v>207</v>
      </c>
      <c r="Q129" s="81">
        <v>398</v>
      </c>
      <c r="R129" s="76" t="s">
        <v>252</v>
      </c>
      <c r="S129" s="54">
        <v>425873.35</v>
      </c>
      <c r="T129" s="54" t="s">
        <v>119</v>
      </c>
      <c r="U129" s="51" t="s">
        <v>105</v>
      </c>
      <c r="V129" s="129">
        <v>5.89</v>
      </c>
      <c r="W129" s="51">
        <v>1</v>
      </c>
      <c r="X129" s="51" t="s">
        <v>140</v>
      </c>
      <c r="Y129" s="51" t="s">
        <v>31</v>
      </c>
      <c r="Z129" s="129">
        <v>2.9449999999999998</v>
      </c>
      <c r="AA129" s="129">
        <v>2.9449999999999998</v>
      </c>
    </row>
    <row r="130" spans="1:27" x14ac:dyDescent="0.25">
      <c r="A130" s="51" t="s">
        <v>102</v>
      </c>
      <c r="B130" s="51" t="s">
        <v>103</v>
      </c>
      <c r="C130" s="80">
        <v>8520</v>
      </c>
      <c r="D130" s="80" t="s">
        <v>186</v>
      </c>
      <c r="E130" s="80" t="s">
        <v>15</v>
      </c>
      <c r="F130" s="80">
        <v>8420</v>
      </c>
      <c r="G130" s="80" t="s">
        <v>120</v>
      </c>
      <c r="H130" s="80" t="s">
        <v>15</v>
      </c>
      <c r="I130" s="132" t="s">
        <v>369</v>
      </c>
      <c r="J130" s="51" t="s">
        <v>41</v>
      </c>
      <c r="K130" s="51" t="s">
        <v>141</v>
      </c>
      <c r="L130" s="128">
        <v>42430</v>
      </c>
      <c r="M130" s="54" t="s">
        <v>117</v>
      </c>
      <c r="N130" s="54" t="s">
        <v>118</v>
      </c>
      <c r="O130" s="76">
        <v>42495</v>
      </c>
      <c r="P130" s="76" t="s">
        <v>207</v>
      </c>
      <c r="Q130" s="81">
        <v>398</v>
      </c>
      <c r="R130" s="76" t="s">
        <v>252</v>
      </c>
      <c r="S130" s="54">
        <v>323739.81</v>
      </c>
      <c r="T130" s="54" t="s">
        <v>119</v>
      </c>
      <c r="U130" s="51" t="s">
        <v>105</v>
      </c>
      <c r="V130" s="129">
        <v>4.4800000000000004</v>
      </c>
      <c r="W130" s="51">
        <v>1</v>
      </c>
      <c r="X130" s="51" t="s">
        <v>13</v>
      </c>
      <c r="Y130" s="51" t="s">
        <v>31</v>
      </c>
      <c r="Z130" s="129">
        <v>2.2400000000000002</v>
      </c>
      <c r="AA130" s="129">
        <v>2.2400000000000002</v>
      </c>
    </row>
    <row r="131" spans="1:27" x14ac:dyDescent="0.25">
      <c r="A131" s="51" t="s">
        <v>102</v>
      </c>
      <c r="B131" s="51" t="s">
        <v>262</v>
      </c>
      <c r="C131" s="80">
        <v>8310</v>
      </c>
      <c r="D131" s="80" t="s">
        <v>112</v>
      </c>
      <c r="E131" s="80" t="s">
        <v>14</v>
      </c>
      <c r="F131" s="80">
        <v>260</v>
      </c>
      <c r="G131" s="80" t="s">
        <v>114</v>
      </c>
      <c r="H131" s="80" t="s">
        <v>17</v>
      </c>
      <c r="I131" s="132" t="s">
        <v>233</v>
      </c>
      <c r="J131" s="51" t="s">
        <v>37</v>
      </c>
      <c r="K131" s="51" t="s">
        <v>175</v>
      </c>
      <c r="L131" s="128">
        <v>42311</v>
      </c>
      <c r="M131" s="54" t="s">
        <v>117</v>
      </c>
      <c r="N131" s="54" t="s">
        <v>118</v>
      </c>
      <c r="O131" s="76">
        <v>42648</v>
      </c>
      <c r="P131" s="76" t="s">
        <v>206</v>
      </c>
      <c r="Q131" s="81">
        <v>245</v>
      </c>
      <c r="R131" s="76" t="s">
        <v>99</v>
      </c>
      <c r="S131" s="54">
        <v>35211.85</v>
      </c>
      <c r="T131" s="54" t="s">
        <v>209</v>
      </c>
      <c r="U131" s="51" t="s">
        <v>101</v>
      </c>
      <c r="V131" s="129">
        <v>8.44</v>
      </c>
      <c r="W131" s="51">
        <v>1</v>
      </c>
      <c r="X131" s="51" t="s">
        <v>13</v>
      </c>
      <c r="Y131" s="51" t="s">
        <v>31</v>
      </c>
      <c r="Z131" s="129">
        <v>4.22</v>
      </c>
      <c r="AA131" s="129">
        <v>4.22</v>
      </c>
    </row>
    <row r="132" spans="1:27" x14ac:dyDescent="0.25">
      <c r="A132" s="51" t="s">
        <v>102</v>
      </c>
      <c r="B132" s="51" t="s">
        <v>262</v>
      </c>
      <c r="C132" s="80">
        <v>8310</v>
      </c>
      <c r="D132" s="80" t="s">
        <v>112</v>
      </c>
      <c r="E132" s="80" t="s">
        <v>14</v>
      </c>
      <c r="F132" s="80">
        <v>260</v>
      </c>
      <c r="G132" s="80" t="s">
        <v>114</v>
      </c>
      <c r="H132" s="80" t="s">
        <v>17</v>
      </c>
      <c r="I132" s="132" t="s">
        <v>237</v>
      </c>
      <c r="J132" s="51" t="s">
        <v>37</v>
      </c>
      <c r="K132" s="51" t="s">
        <v>175</v>
      </c>
      <c r="L132" s="128">
        <v>42431</v>
      </c>
      <c r="M132" s="54" t="s">
        <v>117</v>
      </c>
      <c r="N132" s="54" t="s">
        <v>118</v>
      </c>
      <c r="O132" s="76">
        <v>42648</v>
      </c>
      <c r="P132" s="76" t="s">
        <v>206</v>
      </c>
      <c r="Q132" s="81">
        <v>245</v>
      </c>
      <c r="R132" s="76" t="s">
        <v>99</v>
      </c>
      <c r="S132" s="54">
        <v>68817.88</v>
      </c>
      <c r="T132" s="54" t="s">
        <v>209</v>
      </c>
      <c r="U132" s="51" t="s">
        <v>101</v>
      </c>
      <c r="V132" s="129">
        <v>16.5</v>
      </c>
      <c r="W132" s="51">
        <v>1</v>
      </c>
      <c r="X132" s="51" t="s">
        <v>13</v>
      </c>
      <c r="Y132" s="51" t="s">
        <v>31</v>
      </c>
      <c r="Z132" s="129">
        <v>8.25</v>
      </c>
      <c r="AA132" s="129">
        <v>8.25</v>
      </c>
    </row>
    <row r="133" spans="1:27" x14ac:dyDescent="0.25">
      <c r="A133" s="51" t="s">
        <v>102</v>
      </c>
      <c r="B133" s="51" t="s">
        <v>262</v>
      </c>
      <c r="C133" s="80">
        <v>8310</v>
      </c>
      <c r="D133" s="80" t="s">
        <v>112</v>
      </c>
      <c r="E133" s="80" t="s">
        <v>14</v>
      </c>
      <c r="F133" s="80">
        <v>260</v>
      </c>
      <c r="G133" s="80" t="s">
        <v>114</v>
      </c>
      <c r="H133" s="80" t="s">
        <v>17</v>
      </c>
      <c r="I133" s="132" t="s">
        <v>238</v>
      </c>
      <c r="J133" s="51" t="s">
        <v>37</v>
      </c>
      <c r="K133" s="51" t="s">
        <v>175</v>
      </c>
      <c r="L133" s="128">
        <v>42431</v>
      </c>
      <c r="M133" s="54" t="s">
        <v>117</v>
      </c>
      <c r="N133" s="54" t="s">
        <v>118</v>
      </c>
      <c r="O133" s="76">
        <v>42648</v>
      </c>
      <c r="P133" s="76" t="s">
        <v>206</v>
      </c>
      <c r="Q133" s="81">
        <v>245</v>
      </c>
      <c r="R133" s="76" t="s">
        <v>99</v>
      </c>
      <c r="S133" s="54">
        <v>68878.81</v>
      </c>
      <c r="T133" s="54" t="s">
        <v>209</v>
      </c>
      <c r="U133" s="51" t="s">
        <v>101</v>
      </c>
      <c r="V133" s="129">
        <v>16.510000000000002</v>
      </c>
      <c r="W133" s="51">
        <v>1</v>
      </c>
      <c r="X133" s="51" t="s">
        <v>13</v>
      </c>
      <c r="Y133" s="51" t="s">
        <v>31</v>
      </c>
      <c r="Z133" s="129">
        <v>8.2550000000000008</v>
      </c>
      <c r="AA133" s="129">
        <v>8.2550000000000008</v>
      </c>
    </row>
    <row r="134" spans="1:27" x14ac:dyDescent="0.25">
      <c r="A134" s="51" t="s">
        <v>102</v>
      </c>
      <c r="B134" s="51" t="s">
        <v>262</v>
      </c>
      <c r="C134" s="80">
        <v>8310</v>
      </c>
      <c r="D134" s="80" t="s">
        <v>112</v>
      </c>
      <c r="E134" s="80" t="s">
        <v>14</v>
      </c>
      <c r="F134" s="80">
        <v>260</v>
      </c>
      <c r="G134" s="80" t="s">
        <v>114</v>
      </c>
      <c r="H134" s="80" t="s">
        <v>17</v>
      </c>
      <c r="I134" s="132" t="s">
        <v>234</v>
      </c>
      <c r="J134" s="51" t="s">
        <v>37</v>
      </c>
      <c r="K134" s="51" t="s">
        <v>175</v>
      </c>
      <c r="L134" s="128">
        <v>42340</v>
      </c>
      <c r="M134" s="54" t="s">
        <v>117</v>
      </c>
      <c r="N134" s="54" t="s">
        <v>118</v>
      </c>
      <c r="O134" s="76">
        <v>42648</v>
      </c>
      <c r="P134" s="76" t="s">
        <v>206</v>
      </c>
      <c r="Q134" s="81">
        <v>245</v>
      </c>
      <c r="R134" s="76" t="s">
        <v>99</v>
      </c>
      <c r="S134" s="54">
        <v>70423.7</v>
      </c>
      <c r="T134" s="54" t="s">
        <v>209</v>
      </c>
      <c r="U134" s="51" t="s">
        <v>101</v>
      </c>
      <c r="V134" s="129">
        <v>16.88</v>
      </c>
      <c r="W134" s="51">
        <v>1</v>
      </c>
      <c r="X134" s="51" t="s">
        <v>13</v>
      </c>
      <c r="Y134" s="51" t="s">
        <v>31</v>
      </c>
      <c r="Z134" s="129">
        <v>8.44</v>
      </c>
      <c r="AA134" s="129">
        <v>8.44</v>
      </c>
    </row>
    <row r="135" spans="1:27" x14ac:dyDescent="0.25">
      <c r="A135" s="51" t="s">
        <v>102</v>
      </c>
      <c r="B135" s="51" t="s">
        <v>262</v>
      </c>
      <c r="C135" s="80">
        <v>8310</v>
      </c>
      <c r="D135" s="80" t="s">
        <v>112</v>
      </c>
      <c r="E135" s="80" t="s">
        <v>14</v>
      </c>
      <c r="F135" s="80">
        <v>260</v>
      </c>
      <c r="G135" s="80" t="s">
        <v>114</v>
      </c>
      <c r="H135" s="80" t="s">
        <v>17</v>
      </c>
      <c r="I135" s="132" t="s">
        <v>235</v>
      </c>
      <c r="J135" s="51" t="s">
        <v>37</v>
      </c>
      <c r="K135" s="51" t="s">
        <v>175</v>
      </c>
      <c r="L135" s="128">
        <v>42366</v>
      </c>
      <c r="M135" s="54" t="s">
        <v>117</v>
      </c>
      <c r="N135" s="54" t="s">
        <v>118</v>
      </c>
      <c r="O135" s="76">
        <v>42648</v>
      </c>
      <c r="P135" s="76" t="s">
        <v>206</v>
      </c>
      <c r="Q135" s="81">
        <v>245</v>
      </c>
      <c r="R135" s="76" t="s">
        <v>99</v>
      </c>
      <c r="S135" s="54">
        <v>70423.7</v>
      </c>
      <c r="T135" s="54" t="s">
        <v>209</v>
      </c>
      <c r="U135" s="51" t="s">
        <v>101</v>
      </c>
      <c r="V135" s="129">
        <v>16.88</v>
      </c>
      <c r="W135" s="51">
        <v>1</v>
      </c>
      <c r="X135" s="51" t="s">
        <v>13</v>
      </c>
      <c r="Y135" s="51" t="s">
        <v>31</v>
      </c>
      <c r="Z135" s="129">
        <v>8.44</v>
      </c>
      <c r="AA135" s="129">
        <v>8.44</v>
      </c>
    </row>
    <row r="136" spans="1:27" x14ac:dyDescent="0.25">
      <c r="A136" s="51" t="s">
        <v>102</v>
      </c>
      <c r="B136" s="51" t="s">
        <v>262</v>
      </c>
      <c r="C136" s="80">
        <v>8310</v>
      </c>
      <c r="D136" s="80" t="s">
        <v>112</v>
      </c>
      <c r="E136" s="80" t="s">
        <v>14</v>
      </c>
      <c r="F136" s="80">
        <v>260</v>
      </c>
      <c r="G136" s="80" t="s">
        <v>114</v>
      </c>
      <c r="H136" s="80" t="s">
        <v>17</v>
      </c>
      <c r="I136" s="132" t="s">
        <v>241</v>
      </c>
      <c r="J136" s="51" t="s">
        <v>37</v>
      </c>
      <c r="K136" s="51" t="s">
        <v>175</v>
      </c>
      <c r="L136" s="128">
        <v>42464</v>
      </c>
      <c r="M136" s="54" t="s">
        <v>117</v>
      </c>
      <c r="N136" s="54" t="s">
        <v>118</v>
      </c>
      <c r="O136" s="76">
        <v>42648</v>
      </c>
      <c r="P136" s="76" t="s">
        <v>206</v>
      </c>
      <c r="Q136" s="81">
        <v>245</v>
      </c>
      <c r="R136" s="76" t="s">
        <v>99</v>
      </c>
      <c r="S136" s="54">
        <v>84119.02</v>
      </c>
      <c r="T136" s="54" t="s">
        <v>209</v>
      </c>
      <c r="U136" s="51" t="s">
        <v>101</v>
      </c>
      <c r="V136" s="129">
        <v>20.170000000000002</v>
      </c>
      <c r="W136" s="51">
        <v>1</v>
      </c>
      <c r="X136" s="51" t="s">
        <v>13</v>
      </c>
      <c r="Y136" s="51" t="s">
        <v>31</v>
      </c>
      <c r="Z136" s="129">
        <v>10.085000000000001</v>
      </c>
      <c r="AA136" s="129">
        <v>10.085000000000001</v>
      </c>
    </row>
    <row r="137" spans="1:27" x14ac:dyDescent="0.25">
      <c r="A137" s="51" t="s">
        <v>102</v>
      </c>
      <c r="B137" s="51" t="s">
        <v>262</v>
      </c>
      <c r="C137" s="80">
        <v>8310</v>
      </c>
      <c r="D137" s="80" t="s">
        <v>112</v>
      </c>
      <c r="E137" s="80" t="s">
        <v>14</v>
      </c>
      <c r="F137" s="80">
        <v>199</v>
      </c>
      <c r="G137" s="80" t="s">
        <v>124</v>
      </c>
      <c r="H137" s="80" t="s">
        <v>20</v>
      </c>
      <c r="I137" s="132" t="s">
        <v>236</v>
      </c>
      <c r="J137" s="51" t="s">
        <v>37</v>
      </c>
      <c r="K137" s="51" t="s">
        <v>175</v>
      </c>
      <c r="L137" s="128">
        <v>42047</v>
      </c>
      <c r="M137" s="54" t="s">
        <v>109</v>
      </c>
      <c r="N137" s="54" t="s">
        <v>10</v>
      </c>
      <c r="O137" s="76">
        <v>42647</v>
      </c>
      <c r="P137" s="76" t="s">
        <v>206</v>
      </c>
      <c r="Q137" s="81">
        <v>246</v>
      </c>
      <c r="R137" s="76" t="s">
        <v>99</v>
      </c>
      <c r="S137" s="54">
        <v>16122</v>
      </c>
      <c r="T137" s="54" t="s">
        <v>209</v>
      </c>
      <c r="U137" s="51" t="s">
        <v>101</v>
      </c>
      <c r="V137" s="129">
        <v>3.87</v>
      </c>
      <c r="W137" s="51">
        <v>1</v>
      </c>
      <c r="X137" s="51" t="s">
        <v>133</v>
      </c>
      <c r="Y137" s="51" t="s">
        <v>32</v>
      </c>
      <c r="Z137" s="129">
        <v>0.96750000000000003</v>
      </c>
      <c r="AA137" s="129">
        <v>2.9024999999999999</v>
      </c>
    </row>
    <row r="138" spans="1:27" x14ac:dyDescent="0.25">
      <c r="A138" s="51" t="s">
        <v>102</v>
      </c>
      <c r="B138" s="51" t="s">
        <v>262</v>
      </c>
      <c r="C138" s="80">
        <v>8310</v>
      </c>
      <c r="D138" s="80" t="s">
        <v>112</v>
      </c>
      <c r="E138" s="80" t="s">
        <v>14</v>
      </c>
      <c r="F138" s="80">
        <v>199</v>
      </c>
      <c r="G138" s="80" t="s">
        <v>124</v>
      </c>
      <c r="H138" s="80" t="s">
        <v>20</v>
      </c>
      <c r="I138" s="132" t="s">
        <v>239</v>
      </c>
      <c r="J138" s="51" t="s">
        <v>47</v>
      </c>
      <c r="K138" s="51" t="s">
        <v>250</v>
      </c>
      <c r="L138" s="128">
        <v>42584</v>
      </c>
      <c r="M138" s="54" t="s">
        <v>98</v>
      </c>
      <c r="N138" s="54" t="s">
        <v>9</v>
      </c>
      <c r="O138" s="76">
        <v>42647</v>
      </c>
      <c r="P138" s="76" t="s">
        <v>206</v>
      </c>
      <c r="Q138" s="81">
        <v>246</v>
      </c>
      <c r="R138" s="76" t="s">
        <v>99</v>
      </c>
      <c r="S138" s="54">
        <v>4409</v>
      </c>
      <c r="T138" s="54" t="s">
        <v>209</v>
      </c>
      <c r="U138" s="51" t="s">
        <v>101</v>
      </c>
      <c r="V138" s="129">
        <v>1.06</v>
      </c>
      <c r="W138" s="51">
        <v>1</v>
      </c>
      <c r="X138" s="51" t="s">
        <v>135</v>
      </c>
      <c r="Y138" s="51" t="s">
        <v>30</v>
      </c>
      <c r="Z138" s="129">
        <v>1.06</v>
      </c>
      <c r="AA138" s="129">
        <v>0</v>
      </c>
    </row>
    <row r="139" spans="1:27" x14ac:dyDescent="0.25">
      <c r="A139" s="51" t="s">
        <v>102</v>
      </c>
      <c r="B139" s="51" t="s">
        <v>253</v>
      </c>
      <c r="C139" s="80">
        <v>8310</v>
      </c>
      <c r="D139" s="80" t="s">
        <v>112</v>
      </c>
      <c r="E139" s="80" t="s">
        <v>14</v>
      </c>
      <c r="F139" s="80">
        <v>692</v>
      </c>
      <c r="G139" s="80" t="s">
        <v>174</v>
      </c>
      <c r="H139" s="80" t="s">
        <v>21</v>
      </c>
      <c r="I139" s="132" t="s">
        <v>215</v>
      </c>
      <c r="J139" s="51" t="s">
        <v>37</v>
      </c>
      <c r="K139" s="51" t="s">
        <v>175</v>
      </c>
      <c r="L139" s="128">
        <v>42584</v>
      </c>
      <c r="M139" s="54" t="s">
        <v>117</v>
      </c>
      <c r="N139" s="54" t="s">
        <v>118</v>
      </c>
      <c r="O139" s="76">
        <v>42618</v>
      </c>
      <c r="P139" s="76" t="s">
        <v>206</v>
      </c>
      <c r="Q139" s="81">
        <v>275</v>
      </c>
      <c r="R139" s="76" t="s">
        <v>99</v>
      </c>
      <c r="S139" s="54">
        <v>221551.85</v>
      </c>
      <c r="T139" s="54" t="s">
        <v>209</v>
      </c>
      <c r="U139" s="51" t="s">
        <v>101</v>
      </c>
      <c r="V139" s="129">
        <v>53.11</v>
      </c>
      <c r="W139" s="51">
        <v>1</v>
      </c>
      <c r="X139" s="51" t="s">
        <v>13</v>
      </c>
      <c r="Y139" s="51" t="s">
        <v>31</v>
      </c>
      <c r="Z139" s="129">
        <v>26.555</v>
      </c>
      <c r="AA139" s="129">
        <v>26.555</v>
      </c>
    </row>
    <row r="140" spans="1:27" x14ac:dyDescent="0.25">
      <c r="A140" s="51" t="s">
        <v>102</v>
      </c>
      <c r="B140" s="51" t="s">
        <v>253</v>
      </c>
      <c r="C140" s="80">
        <v>8310</v>
      </c>
      <c r="D140" s="80" t="s">
        <v>112</v>
      </c>
      <c r="E140" s="80" t="s">
        <v>14</v>
      </c>
      <c r="F140" s="80">
        <v>692</v>
      </c>
      <c r="G140" s="80" t="s">
        <v>174</v>
      </c>
      <c r="H140" s="80" t="s">
        <v>21</v>
      </c>
      <c r="I140" s="132" t="s">
        <v>216</v>
      </c>
      <c r="J140" s="51" t="s">
        <v>37</v>
      </c>
      <c r="K140" s="51" t="s">
        <v>175</v>
      </c>
      <c r="L140" s="128">
        <v>42584</v>
      </c>
      <c r="M140" s="54" t="s">
        <v>117</v>
      </c>
      <c r="N140" s="54" t="s">
        <v>118</v>
      </c>
      <c r="O140" s="76">
        <v>42618</v>
      </c>
      <c r="P140" s="76" t="s">
        <v>206</v>
      </c>
      <c r="Q140" s="81">
        <v>275</v>
      </c>
      <c r="R140" s="76" t="s">
        <v>99</v>
      </c>
      <c r="S140" s="54">
        <v>173696.89</v>
      </c>
      <c r="T140" s="54" t="s">
        <v>209</v>
      </c>
      <c r="U140" s="51" t="s">
        <v>101</v>
      </c>
      <c r="V140" s="129">
        <v>41.64</v>
      </c>
      <c r="W140" s="51">
        <v>1</v>
      </c>
      <c r="X140" s="51" t="s">
        <v>13</v>
      </c>
      <c r="Y140" s="51" t="s">
        <v>31</v>
      </c>
      <c r="Z140" s="129">
        <v>20.82</v>
      </c>
      <c r="AA140" s="129">
        <v>20.82</v>
      </c>
    </row>
    <row r="141" spans="1:27" x14ac:dyDescent="0.25">
      <c r="A141" s="51" t="s">
        <v>102</v>
      </c>
      <c r="B141" s="51" t="s">
        <v>277</v>
      </c>
      <c r="C141" s="80">
        <v>8310</v>
      </c>
      <c r="D141" s="80" t="s">
        <v>112</v>
      </c>
      <c r="E141" s="80" t="s">
        <v>14</v>
      </c>
      <c r="F141" s="80">
        <v>199</v>
      </c>
      <c r="G141" s="80" t="s">
        <v>124</v>
      </c>
      <c r="H141" s="80" t="s">
        <v>20</v>
      </c>
      <c r="I141" s="132" t="s">
        <v>259</v>
      </c>
      <c r="J141" s="51" t="s">
        <v>37</v>
      </c>
      <c r="K141" s="51" t="s">
        <v>175</v>
      </c>
      <c r="L141" s="128">
        <v>42615</v>
      </c>
      <c r="M141" s="54" t="s">
        <v>109</v>
      </c>
      <c r="N141" s="54" t="s">
        <v>10</v>
      </c>
      <c r="O141" s="76">
        <v>42678</v>
      </c>
      <c r="P141" s="76" t="s">
        <v>261</v>
      </c>
      <c r="Q141" s="81">
        <v>215</v>
      </c>
      <c r="R141" s="76" t="s">
        <v>99</v>
      </c>
      <c r="S141" s="54">
        <v>15396</v>
      </c>
      <c r="T141" s="54" t="s">
        <v>209</v>
      </c>
      <c r="U141" s="51" t="s">
        <v>101</v>
      </c>
      <c r="V141" s="129">
        <v>3.69</v>
      </c>
      <c r="W141" s="51">
        <v>1</v>
      </c>
      <c r="X141" s="51" t="s">
        <v>133</v>
      </c>
      <c r="Y141" s="51" t="s">
        <v>32</v>
      </c>
      <c r="Z141" s="129">
        <v>0.92249999999999999</v>
      </c>
      <c r="AA141" s="129">
        <v>2.7675000000000001</v>
      </c>
    </row>
    <row r="142" spans="1:27" x14ac:dyDescent="0.25">
      <c r="A142" s="51" t="s">
        <v>102</v>
      </c>
      <c r="B142" s="51" t="s">
        <v>262</v>
      </c>
      <c r="C142" s="80">
        <v>8310</v>
      </c>
      <c r="D142" s="80" t="s">
        <v>112</v>
      </c>
      <c r="E142" s="80" t="s">
        <v>14</v>
      </c>
      <c r="F142" s="80">
        <v>199</v>
      </c>
      <c r="G142" s="80" t="s">
        <v>124</v>
      </c>
      <c r="H142" s="80" t="s">
        <v>20</v>
      </c>
      <c r="I142" s="132" t="s">
        <v>242</v>
      </c>
      <c r="J142" s="51" t="s">
        <v>37</v>
      </c>
      <c r="K142" s="51" t="s">
        <v>175</v>
      </c>
      <c r="L142" s="128">
        <v>42545</v>
      </c>
      <c r="M142" s="54" t="s">
        <v>98</v>
      </c>
      <c r="N142" s="54" t="s">
        <v>9</v>
      </c>
      <c r="O142" s="76">
        <v>42647</v>
      </c>
      <c r="P142" s="76" t="s">
        <v>206</v>
      </c>
      <c r="Q142" s="81">
        <v>246</v>
      </c>
      <c r="R142" s="76" t="s">
        <v>99</v>
      </c>
      <c r="S142" s="54">
        <v>19245</v>
      </c>
      <c r="T142" s="54" t="s">
        <v>209</v>
      </c>
      <c r="U142" s="51" t="s">
        <v>101</v>
      </c>
      <c r="V142" s="129">
        <v>4.6100000000000003</v>
      </c>
      <c r="W142" s="51">
        <v>1</v>
      </c>
      <c r="X142" s="51" t="s">
        <v>135</v>
      </c>
      <c r="Y142" s="51" t="s">
        <v>30</v>
      </c>
      <c r="Z142" s="129">
        <v>4.6100000000000003</v>
      </c>
      <c r="AA142" s="129">
        <v>0</v>
      </c>
    </row>
    <row r="143" spans="1:27" x14ac:dyDescent="0.25">
      <c r="A143" s="51" t="s">
        <v>102</v>
      </c>
      <c r="B143" s="51" t="s">
        <v>262</v>
      </c>
      <c r="C143" s="80">
        <v>8310</v>
      </c>
      <c r="D143" s="80" t="s">
        <v>112</v>
      </c>
      <c r="E143" s="80" t="s">
        <v>14</v>
      </c>
      <c r="F143" s="80">
        <v>199</v>
      </c>
      <c r="G143" s="80" t="s">
        <v>124</v>
      </c>
      <c r="H143" s="80" t="s">
        <v>20</v>
      </c>
      <c r="I143" s="132" t="s">
        <v>240</v>
      </c>
      <c r="J143" s="51" t="s">
        <v>47</v>
      </c>
      <c r="K143" s="51" t="s">
        <v>250</v>
      </c>
      <c r="L143" s="128">
        <v>42584</v>
      </c>
      <c r="M143" s="54" t="s">
        <v>109</v>
      </c>
      <c r="N143" s="54" t="s">
        <v>10</v>
      </c>
      <c r="O143" s="76">
        <v>42647</v>
      </c>
      <c r="P143" s="76" t="s">
        <v>206</v>
      </c>
      <c r="Q143" s="81">
        <v>246</v>
      </c>
      <c r="R143" s="76" t="s">
        <v>99</v>
      </c>
      <c r="S143" s="54">
        <v>127399</v>
      </c>
      <c r="T143" s="54" t="s">
        <v>209</v>
      </c>
      <c r="U143" s="51" t="s">
        <v>101</v>
      </c>
      <c r="V143" s="129">
        <v>30.54</v>
      </c>
      <c r="W143" s="51">
        <v>1</v>
      </c>
      <c r="X143" s="51" t="s">
        <v>133</v>
      </c>
      <c r="Y143" s="51" t="s">
        <v>32</v>
      </c>
      <c r="Z143" s="129">
        <v>7.6349999999999998</v>
      </c>
      <c r="AA143" s="129">
        <v>22.905000000000001</v>
      </c>
    </row>
    <row r="144" spans="1:27" x14ac:dyDescent="0.25">
      <c r="A144" s="51" t="s">
        <v>102</v>
      </c>
      <c r="B144" s="51" t="s">
        <v>223</v>
      </c>
      <c r="C144" s="80">
        <v>1350</v>
      </c>
      <c r="D144" s="80" t="s">
        <v>115</v>
      </c>
      <c r="E144" s="80" t="s">
        <v>19</v>
      </c>
      <c r="F144" s="80">
        <v>693</v>
      </c>
      <c r="G144" s="80" t="s">
        <v>190</v>
      </c>
      <c r="H144" s="80" t="s">
        <v>21</v>
      </c>
      <c r="I144" s="132" t="s">
        <v>382</v>
      </c>
      <c r="J144" s="51" t="s">
        <v>43</v>
      </c>
      <c r="K144" s="51" t="s">
        <v>202</v>
      </c>
      <c r="L144" s="128">
        <v>42492</v>
      </c>
      <c r="M144" s="54" t="s">
        <v>122</v>
      </c>
      <c r="N144" s="54" t="s">
        <v>9</v>
      </c>
      <c r="O144" s="76">
        <v>42585</v>
      </c>
      <c r="P144" s="76" t="s">
        <v>206</v>
      </c>
      <c r="Q144" s="81">
        <v>308</v>
      </c>
      <c r="R144" s="76" t="s">
        <v>99</v>
      </c>
      <c r="S144" s="54">
        <v>202126.5</v>
      </c>
      <c r="T144" s="54" t="s">
        <v>144</v>
      </c>
      <c r="U144" s="51" t="s">
        <v>101</v>
      </c>
      <c r="V144" s="129">
        <v>20.72</v>
      </c>
      <c r="W144" s="51">
        <v>1</v>
      </c>
      <c r="X144" s="51" t="s">
        <v>140</v>
      </c>
      <c r="Y144" s="51" t="s">
        <v>31</v>
      </c>
      <c r="Z144" s="129">
        <v>10.36</v>
      </c>
      <c r="AA144" s="129">
        <v>10.36</v>
      </c>
    </row>
    <row r="145" spans="1:27" x14ac:dyDescent="0.25">
      <c r="A145" s="51" t="s">
        <v>102</v>
      </c>
      <c r="B145" s="51" t="s">
        <v>223</v>
      </c>
      <c r="C145" s="80">
        <v>199</v>
      </c>
      <c r="D145" s="80" t="s">
        <v>124</v>
      </c>
      <c r="E145" s="80" t="s">
        <v>20</v>
      </c>
      <c r="F145" s="80">
        <v>8110</v>
      </c>
      <c r="G145" s="80" t="s">
        <v>97</v>
      </c>
      <c r="H145" s="80" t="s">
        <v>25</v>
      </c>
      <c r="I145" s="132" t="s">
        <v>197</v>
      </c>
      <c r="J145" s="51" t="s">
        <v>56</v>
      </c>
      <c r="K145" s="51" t="s">
        <v>203</v>
      </c>
      <c r="L145" s="128">
        <v>42583</v>
      </c>
      <c r="M145" s="54" t="s">
        <v>98</v>
      </c>
      <c r="N145" s="54" t="s">
        <v>9</v>
      </c>
      <c r="O145" s="76">
        <v>42586</v>
      </c>
      <c r="P145" s="76" t="s">
        <v>206</v>
      </c>
      <c r="Q145" s="81">
        <v>307</v>
      </c>
      <c r="R145" s="76" t="s">
        <v>99</v>
      </c>
      <c r="S145" s="54">
        <v>46443.83</v>
      </c>
      <c r="T145" s="54" t="s">
        <v>128</v>
      </c>
      <c r="U145" s="51" t="s">
        <v>101</v>
      </c>
      <c r="V145" s="129">
        <v>41.39</v>
      </c>
      <c r="W145" s="51">
        <v>1</v>
      </c>
      <c r="X145" s="51" t="s">
        <v>135</v>
      </c>
      <c r="Y145" s="51" t="s">
        <v>30</v>
      </c>
      <c r="Z145" s="129">
        <v>41.39</v>
      </c>
      <c r="AA145" s="129">
        <v>0</v>
      </c>
    </row>
    <row r="146" spans="1:27" x14ac:dyDescent="0.25">
      <c r="A146" s="51" t="s">
        <v>102</v>
      </c>
      <c r="B146" s="51" t="s">
        <v>262</v>
      </c>
      <c r="C146" s="80">
        <v>1960</v>
      </c>
      <c r="D146" s="80" t="s">
        <v>127</v>
      </c>
      <c r="E146" s="80" t="s">
        <v>20</v>
      </c>
      <c r="F146" s="80">
        <v>8243</v>
      </c>
      <c r="G146" s="80" t="s">
        <v>125</v>
      </c>
      <c r="H146" s="80" t="s">
        <v>14</v>
      </c>
      <c r="I146" s="132" t="s">
        <v>448</v>
      </c>
      <c r="J146" s="51" t="s">
        <v>52</v>
      </c>
      <c r="K146" s="51" t="s">
        <v>145</v>
      </c>
      <c r="L146" s="128">
        <v>42544</v>
      </c>
      <c r="M146" s="54" t="s">
        <v>126</v>
      </c>
      <c r="N146" s="54" t="s">
        <v>118</v>
      </c>
      <c r="O146" s="76">
        <v>42648</v>
      </c>
      <c r="P146" s="76" t="s">
        <v>206</v>
      </c>
      <c r="Q146" s="81">
        <v>245</v>
      </c>
      <c r="R146" s="76" t="s">
        <v>99</v>
      </c>
      <c r="S146" s="54">
        <v>49463.35</v>
      </c>
      <c r="T146" s="54" t="s">
        <v>128</v>
      </c>
      <c r="U146" s="51" t="s">
        <v>101</v>
      </c>
      <c r="V146" s="129">
        <v>44.08</v>
      </c>
      <c r="W146" s="51">
        <v>1</v>
      </c>
      <c r="X146" s="51" t="s">
        <v>13</v>
      </c>
      <c r="Y146" s="51" t="s">
        <v>31</v>
      </c>
      <c r="Z146" s="129">
        <v>22.04</v>
      </c>
      <c r="AA146" s="129">
        <v>22.04</v>
      </c>
    </row>
    <row r="147" spans="1:27" x14ac:dyDescent="0.25">
      <c r="A147" s="51" t="s">
        <v>102</v>
      </c>
      <c r="B147" s="51" t="s">
        <v>262</v>
      </c>
      <c r="C147" s="80">
        <v>1960</v>
      </c>
      <c r="D147" s="80" t="s">
        <v>127</v>
      </c>
      <c r="E147" s="80" t="s">
        <v>20</v>
      </c>
      <c r="F147" s="80">
        <v>8243</v>
      </c>
      <c r="G147" s="80" t="s">
        <v>125</v>
      </c>
      <c r="H147" s="80" t="s">
        <v>14</v>
      </c>
      <c r="I147" s="132" t="s">
        <v>449</v>
      </c>
      <c r="J147" s="51" t="s">
        <v>52</v>
      </c>
      <c r="K147" s="51" t="s">
        <v>145</v>
      </c>
      <c r="L147" s="128">
        <v>42544</v>
      </c>
      <c r="M147" s="54" t="s">
        <v>126</v>
      </c>
      <c r="N147" s="54" t="s">
        <v>118</v>
      </c>
      <c r="O147" s="76">
        <v>42648</v>
      </c>
      <c r="P147" s="76" t="s">
        <v>206</v>
      </c>
      <c r="Q147" s="81">
        <v>245</v>
      </c>
      <c r="R147" s="76" t="s">
        <v>99</v>
      </c>
      <c r="S147" s="54">
        <v>53941.79</v>
      </c>
      <c r="T147" s="54" t="s">
        <v>128</v>
      </c>
      <c r="U147" s="51" t="s">
        <v>101</v>
      </c>
      <c r="V147" s="129">
        <v>48.07</v>
      </c>
      <c r="W147" s="51">
        <v>1</v>
      </c>
      <c r="X147" s="51" t="s">
        <v>13</v>
      </c>
      <c r="Y147" s="51" t="s">
        <v>31</v>
      </c>
      <c r="Z147" s="129">
        <v>24.035</v>
      </c>
      <c r="AA147" s="129">
        <v>24.035</v>
      </c>
    </row>
    <row r="148" spans="1:27" x14ac:dyDescent="0.25">
      <c r="A148" s="51" t="s">
        <v>102</v>
      </c>
      <c r="B148" s="51" t="s">
        <v>262</v>
      </c>
      <c r="C148" s="80">
        <v>902</v>
      </c>
      <c r="D148" s="80" t="s">
        <v>243</v>
      </c>
      <c r="E148" s="80" t="s">
        <v>15</v>
      </c>
      <c r="F148" s="80">
        <v>199</v>
      </c>
      <c r="G148" s="80" t="s">
        <v>124</v>
      </c>
      <c r="H148" s="80" t="s">
        <v>20</v>
      </c>
      <c r="I148" s="132" t="s">
        <v>244</v>
      </c>
      <c r="J148" s="51" t="s">
        <v>52</v>
      </c>
      <c r="K148" s="51" t="s">
        <v>251</v>
      </c>
      <c r="L148" s="128">
        <v>42579</v>
      </c>
      <c r="M148" s="54" t="s">
        <v>109</v>
      </c>
      <c r="N148" s="54" t="s">
        <v>10</v>
      </c>
      <c r="O148" s="76">
        <v>42648</v>
      </c>
      <c r="P148" s="76" t="s">
        <v>206</v>
      </c>
      <c r="Q148" s="81">
        <v>245</v>
      </c>
      <c r="R148" s="76" t="s">
        <v>99</v>
      </c>
      <c r="S148" s="54">
        <v>31880</v>
      </c>
      <c r="T148" s="54" t="s">
        <v>128</v>
      </c>
      <c r="U148" s="51" t="s">
        <v>101</v>
      </c>
      <c r="V148" s="129">
        <v>28.41</v>
      </c>
      <c r="W148" s="51">
        <v>1</v>
      </c>
      <c r="X148" s="51" t="s">
        <v>133</v>
      </c>
      <c r="Y148" s="51" t="s">
        <v>32</v>
      </c>
      <c r="Z148" s="129">
        <v>7.1025</v>
      </c>
      <c r="AA148" s="129">
        <v>21.307500000000001</v>
      </c>
    </row>
    <row r="149" spans="1:27" x14ac:dyDescent="0.25">
      <c r="A149" s="51" t="s">
        <v>102</v>
      </c>
      <c r="B149" s="51" t="s">
        <v>262</v>
      </c>
      <c r="C149" s="80">
        <v>1960</v>
      </c>
      <c r="D149" s="80" t="s">
        <v>127</v>
      </c>
      <c r="E149" s="80" t="s">
        <v>20</v>
      </c>
      <c r="F149" s="80">
        <v>199</v>
      </c>
      <c r="G149" s="80" t="s">
        <v>124</v>
      </c>
      <c r="H149" s="80" t="s">
        <v>20</v>
      </c>
      <c r="I149" s="132" t="s">
        <v>245</v>
      </c>
      <c r="J149" s="51" t="s">
        <v>52</v>
      </c>
      <c r="K149" s="51" t="s">
        <v>145</v>
      </c>
      <c r="L149" s="128">
        <v>42579</v>
      </c>
      <c r="M149" s="54" t="s">
        <v>121</v>
      </c>
      <c r="N149" s="54" t="s">
        <v>9</v>
      </c>
      <c r="O149" s="76">
        <v>42649</v>
      </c>
      <c r="P149" s="76" t="s">
        <v>206</v>
      </c>
      <c r="Q149" s="81">
        <v>244</v>
      </c>
      <c r="R149" s="76" t="s">
        <v>99</v>
      </c>
      <c r="S149" s="54">
        <v>12573.88</v>
      </c>
      <c r="T149" s="54" t="s">
        <v>128</v>
      </c>
      <c r="U149" s="51" t="s">
        <v>105</v>
      </c>
      <c r="V149" s="129">
        <v>11.21</v>
      </c>
      <c r="W149" s="51">
        <v>1</v>
      </c>
      <c r="X149" s="51" t="s">
        <v>138</v>
      </c>
      <c r="Y149" s="51" t="s">
        <v>31</v>
      </c>
      <c r="Z149" s="129">
        <v>5.6050000000000004</v>
      </c>
      <c r="AA149" s="129">
        <v>5.6050000000000004</v>
      </c>
    </row>
    <row r="150" spans="1:27" x14ac:dyDescent="0.25">
      <c r="A150" s="51" t="s">
        <v>102</v>
      </c>
      <c r="B150" s="51" t="s">
        <v>262</v>
      </c>
      <c r="C150" s="80">
        <v>1960</v>
      </c>
      <c r="D150" s="80" t="s">
        <v>127</v>
      </c>
      <c r="E150" s="80" t="s">
        <v>20</v>
      </c>
      <c r="F150" s="80">
        <v>3011</v>
      </c>
      <c r="G150" s="80" t="s">
        <v>106</v>
      </c>
      <c r="H150" s="80" t="s">
        <v>20</v>
      </c>
      <c r="I150" s="132" t="s">
        <v>451</v>
      </c>
      <c r="J150" s="51" t="s">
        <v>52</v>
      </c>
      <c r="K150" s="51" t="s">
        <v>145</v>
      </c>
      <c r="L150" s="128">
        <v>42614</v>
      </c>
      <c r="M150" s="54" t="s">
        <v>122</v>
      </c>
      <c r="N150" s="54" t="s">
        <v>9</v>
      </c>
      <c r="O150" s="76">
        <v>42649</v>
      </c>
      <c r="P150" s="76" t="s">
        <v>206</v>
      </c>
      <c r="Q150" s="81">
        <v>244</v>
      </c>
      <c r="R150" s="76" t="s">
        <v>99</v>
      </c>
      <c r="S150" s="54">
        <v>12922.94</v>
      </c>
      <c r="T150" s="54" t="s">
        <v>128</v>
      </c>
      <c r="U150" s="51" t="s">
        <v>105</v>
      </c>
      <c r="V150" s="129">
        <v>11.52</v>
      </c>
      <c r="W150" s="51">
        <v>1</v>
      </c>
      <c r="X150" s="51" t="s">
        <v>140</v>
      </c>
      <c r="Y150" s="51" t="s">
        <v>31</v>
      </c>
      <c r="Z150" s="129">
        <v>5.76</v>
      </c>
      <c r="AA150" s="129">
        <v>5.76</v>
      </c>
    </row>
    <row r="151" spans="1:27" x14ac:dyDescent="0.25">
      <c r="A151" s="51" t="s">
        <v>96</v>
      </c>
      <c r="B151" s="51" t="s">
        <v>96</v>
      </c>
      <c r="C151" s="80">
        <v>199</v>
      </c>
      <c r="D151" s="80" t="s">
        <v>124</v>
      </c>
      <c r="E151" s="80" t="s">
        <v>20</v>
      </c>
      <c r="F151" s="80">
        <v>8243</v>
      </c>
      <c r="G151" s="80" t="s">
        <v>125</v>
      </c>
      <c r="H151" s="80" t="s">
        <v>14</v>
      </c>
      <c r="I151" s="132" t="s">
        <v>383</v>
      </c>
      <c r="J151" s="51" t="s">
        <v>43</v>
      </c>
      <c r="K151" s="51" t="s">
        <v>275</v>
      </c>
      <c r="L151" s="128">
        <v>42636</v>
      </c>
      <c r="M151" s="54" t="s">
        <v>117</v>
      </c>
      <c r="N151" s="54" t="s">
        <v>118</v>
      </c>
      <c r="O151" s="76">
        <v>42708</v>
      </c>
      <c r="P151" s="76" t="s">
        <v>261</v>
      </c>
      <c r="Q151" s="81">
        <v>185</v>
      </c>
      <c r="R151" s="76" t="s">
        <v>99</v>
      </c>
      <c r="S151" s="54">
        <v>46779</v>
      </c>
      <c r="T151" s="54" t="s">
        <v>128</v>
      </c>
      <c r="U151" s="51" t="s">
        <v>101</v>
      </c>
      <c r="V151" s="129">
        <v>41.69</v>
      </c>
      <c r="W151" s="51">
        <v>1</v>
      </c>
      <c r="X151" s="51" t="s">
        <v>13</v>
      </c>
      <c r="Y151" s="51" t="s">
        <v>31</v>
      </c>
      <c r="Z151" s="129">
        <v>20.844999999999999</v>
      </c>
      <c r="AA151" s="129">
        <v>20.844999999999999</v>
      </c>
    </row>
    <row r="152" spans="1:27" x14ac:dyDescent="0.25">
      <c r="A152" s="51" t="s">
        <v>96</v>
      </c>
      <c r="B152" s="51" t="s">
        <v>96</v>
      </c>
      <c r="C152" s="80">
        <v>199</v>
      </c>
      <c r="D152" s="80" t="s">
        <v>124</v>
      </c>
      <c r="E152" s="80" t="s">
        <v>20</v>
      </c>
      <c r="F152" s="80">
        <v>8243</v>
      </c>
      <c r="G152" s="80" t="s">
        <v>125</v>
      </c>
      <c r="H152" s="80" t="s">
        <v>14</v>
      </c>
      <c r="I152" s="132" t="s">
        <v>384</v>
      </c>
      <c r="J152" s="51" t="s">
        <v>43</v>
      </c>
      <c r="K152" s="51" t="s">
        <v>275</v>
      </c>
      <c r="L152" s="128">
        <v>42636</v>
      </c>
      <c r="M152" s="54" t="s">
        <v>117</v>
      </c>
      <c r="N152" s="54" t="s">
        <v>118</v>
      </c>
      <c r="O152" s="76">
        <v>42708</v>
      </c>
      <c r="P152" s="76" t="s">
        <v>261</v>
      </c>
      <c r="Q152" s="81">
        <v>185</v>
      </c>
      <c r="R152" s="76" t="s">
        <v>99</v>
      </c>
      <c r="S152" s="54">
        <v>65777</v>
      </c>
      <c r="T152" s="54" t="s">
        <v>128</v>
      </c>
      <c r="U152" s="51" t="s">
        <v>101</v>
      </c>
      <c r="V152" s="129">
        <v>58.62</v>
      </c>
      <c r="W152" s="51">
        <v>1</v>
      </c>
      <c r="X152" s="51" t="s">
        <v>13</v>
      </c>
      <c r="Y152" s="51" t="s">
        <v>31</v>
      </c>
      <c r="Z152" s="129">
        <v>29.31</v>
      </c>
      <c r="AA152" s="129">
        <v>29.31</v>
      </c>
    </row>
    <row r="153" spans="1:27" x14ac:dyDescent="0.25">
      <c r="A153" s="51" t="s">
        <v>102</v>
      </c>
      <c r="B153" s="51" t="s">
        <v>277</v>
      </c>
      <c r="C153" s="80">
        <v>199</v>
      </c>
      <c r="D153" s="80" t="s">
        <v>124</v>
      </c>
      <c r="E153" s="80" t="s">
        <v>20</v>
      </c>
      <c r="F153" s="80">
        <v>95</v>
      </c>
      <c r="G153" s="80" t="s">
        <v>110</v>
      </c>
      <c r="H153" s="80" t="s">
        <v>18</v>
      </c>
      <c r="I153" s="132" t="s">
        <v>395</v>
      </c>
      <c r="J153" s="51" t="s">
        <v>37</v>
      </c>
      <c r="K153" s="51" t="s">
        <v>260</v>
      </c>
      <c r="L153" s="128">
        <v>42605</v>
      </c>
      <c r="M153" s="54" t="s">
        <v>109</v>
      </c>
      <c r="N153" s="54" t="s">
        <v>10</v>
      </c>
      <c r="O153" s="76">
        <v>42678</v>
      </c>
      <c r="P153" s="76" t="s">
        <v>261</v>
      </c>
      <c r="Q153" s="81">
        <v>215</v>
      </c>
      <c r="R153" s="76" t="s">
        <v>99</v>
      </c>
      <c r="S153" s="54">
        <v>45063.040000000001</v>
      </c>
      <c r="T153" s="54" t="s">
        <v>128</v>
      </c>
      <c r="U153" s="51" t="s">
        <v>101</v>
      </c>
      <c r="V153" s="129">
        <v>40.159999999999997</v>
      </c>
      <c r="W153" s="51">
        <v>1</v>
      </c>
      <c r="X153" s="51" t="s">
        <v>133</v>
      </c>
      <c r="Y153" s="51" t="s">
        <v>32</v>
      </c>
      <c r="Z153" s="129">
        <v>10.039999999999999</v>
      </c>
      <c r="AA153" s="129">
        <v>30.119999999999997</v>
      </c>
    </row>
    <row r="154" spans="1:27" x14ac:dyDescent="0.25">
      <c r="A154" s="51" t="s">
        <v>102</v>
      </c>
      <c r="B154" s="51" t="s">
        <v>277</v>
      </c>
      <c r="C154" s="80">
        <v>199</v>
      </c>
      <c r="D154" s="80" t="s">
        <v>124</v>
      </c>
      <c r="E154" s="80" t="s">
        <v>20</v>
      </c>
      <c r="F154" s="80">
        <v>95</v>
      </c>
      <c r="G154" s="80" t="s">
        <v>110</v>
      </c>
      <c r="H154" s="80" t="s">
        <v>18</v>
      </c>
      <c r="I154" s="132" t="s">
        <v>396</v>
      </c>
      <c r="J154" s="51" t="s">
        <v>37</v>
      </c>
      <c r="K154" s="51" t="s">
        <v>260</v>
      </c>
      <c r="L154" s="128">
        <v>42605</v>
      </c>
      <c r="M154" s="54" t="s">
        <v>109</v>
      </c>
      <c r="N154" s="54" t="s">
        <v>10</v>
      </c>
      <c r="O154" s="76">
        <v>42678</v>
      </c>
      <c r="P154" s="76" t="s">
        <v>261</v>
      </c>
      <c r="Q154" s="81">
        <v>215</v>
      </c>
      <c r="R154" s="76" t="s">
        <v>99</v>
      </c>
      <c r="S154" s="54">
        <v>38256.83</v>
      </c>
      <c r="T154" s="54" t="s">
        <v>128</v>
      </c>
      <c r="U154" s="51" t="s">
        <v>101</v>
      </c>
      <c r="V154" s="129">
        <v>34.090000000000003</v>
      </c>
      <c r="W154" s="51">
        <v>1</v>
      </c>
      <c r="X154" s="51" t="s">
        <v>133</v>
      </c>
      <c r="Y154" s="51" t="s">
        <v>32</v>
      </c>
      <c r="Z154" s="129">
        <v>8.5225000000000009</v>
      </c>
      <c r="AA154" s="129">
        <v>25.567500000000003</v>
      </c>
    </row>
    <row r="155" spans="1:27" x14ac:dyDescent="0.25">
      <c r="A155" s="51" t="s">
        <v>96</v>
      </c>
      <c r="B155" s="51" t="s">
        <v>96</v>
      </c>
      <c r="C155" s="80">
        <v>199</v>
      </c>
      <c r="D155" s="80" t="s">
        <v>124</v>
      </c>
      <c r="E155" s="80" t="s">
        <v>20</v>
      </c>
      <c r="F155" s="80">
        <v>8243</v>
      </c>
      <c r="G155" s="80" t="s">
        <v>125</v>
      </c>
      <c r="H155" s="80" t="s">
        <v>14</v>
      </c>
      <c r="I155" s="132" t="s">
        <v>385</v>
      </c>
      <c r="J155" s="51" t="s">
        <v>43</v>
      </c>
      <c r="K155" s="51" t="s">
        <v>275</v>
      </c>
      <c r="L155" s="128">
        <v>42607</v>
      </c>
      <c r="M155" s="54" t="s">
        <v>117</v>
      </c>
      <c r="N155" s="54" t="s">
        <v>118</v>
      </c>
      <c r="O155" s="76">
        <v>42681</v>
      </c>
      <c r="P155" s="76" t="s">
        <v>261</v>
      </c>
      <c r="Q155" s="81">
        <v>212</v>
      </c>
      <c r="R155" s="76" t="s">
        <v>99</v>
      </c>
      <c r="S155" s="54">
        <v>36228</v>
      </c>
      <c r="T155" s="54" t="s">
        <v>128</v>
      </c>
      <c r="U155" s="51" t="s">
        <v>101</v>
      </c>
      <c r="V155" s="129">
        <v>32.29</v>
      </c>
      <c r="W155" s="51">
        <v>1</v>
      </c>
      <c r="X155" s="51" t="s">
        <v>13</v>
      </c>
      <c r="Y155" s="51" t="s">
        <v>31</v>
      </c>
      <c r="Z155" s="129">
        <v>16.145</v>
      </c>
      <c r="AA155" s="129">
        <v>16.145</v>
      </c>
    </row>
    <row r="156" spans="1:27" x14ac:dyDescent="0.25">
      <c r="A156" s="51" t="s">
        <v>96</v>
      </c>
      <c r="B156" s="51" t="s">
        <v>96</v>
      </c>
      <c r="C156" s="80">
        <v>199</v>
      </c>
      <c r="D156" s="80" t="s">
        <v>124</v>
      </c>
      <c r="E156" s="80" t="s">
        <v>20</v>
      </c>
      <c r="F156" s="80">
        <v>8243</v>
      </c>
      <c r="G156" s="80" t="s">
        <v>125</v>
      </c>
      <c r="H156" s="80" t="s">
        <v>14</v>
      </c>
      <c r="I156" s="132" t="s">
        <v>386</v>
      </c>
      <c r="J156" s="51" t="s">
        <v>43</v>
      </c>
      <c r="K156" s="51" t="s">
        <v>275</v>
      </c>
      <c r="L156" s="128">
        <v>42607</v>
      </c>
      <c r="M156" s="54" t="s">
        <v>117</v>
      </c>
      <c r="N156" s="54" t="s">
        <v>118</v>
      </c>
      <c r="O156" s="76">
        <v>42681</v>
      </c>
      <c r="P156" s="76" t="s">
        <v>261</v>
      </c>
      <c r="Q156" s="81">
        <v>212</v>
      </c>
      <c r="R156" s="76" t="s">
        <v>99</v>
      </c>
      <c r="S156" s="54">
        <v>50780</v>
      </c>
      <c r="T156" s="54" t="s">
        <v>128</v>
      </c>
      <c r="U156" s="51" t="s">
        <v>101</v>
      </c>
      <c r="V156" s="129">
        <v>45.25</v>
      </c>
      <c r="W156" s="51">
        <v>1</v>
      </c>
      <c r="X156" s="51" t="s">
        <v>13</v>
      </c>
      <c r="Y156" s="51" t="s">
        <v>31</v>
      </c>
      <c r="Z156" s="129">
        <v>22.625</v>
      </c>
      <c r="AA156" s="129">
        <v>22.625</v>
      </c>
    </row>
    <row r="157" spans="1:27" x14ac:dyDescent="0.25">
      <c r="A157" s="51" t="s">
        <v>96</v>
      </c>
      <c r="B157" s="51" t="s">
        <v>96</v>
      </c>
      <c r="C157" s="80">
        <v>199</v>
      </c>
      <c r="D157" s="80" t="s">
        <v>124</v>
      </c>
      <c r="E157" s="80" t="s">
        <v>20</v>
      </c>
      <c r="F157" s="80">
        <v>8243</v>
      </c>
      <c r="G157" s="80" t="s">
        <v>125</v>
      </c>
      <c r="H157" s="80" t="s">
        <v>14</v>
      </c>
      <c r="I157" s="132" t="s">
        <v>388</v>
      </c>
      <c r="J157" s="51" t="s">
        <v>43</v>
      </c>
      <c r="K157" s="51" t="s">
        <v>275</v>
      </c>
      <c r="L157" s="128">
        <v>42607</v>
      </c>
      <c r="M157" s="54" t="s">
        <v>117</v>
      </c>
      <c r="N157" s="54" t="s">
        <v>118</v>
      </c>
      <c r="O157" s="76">
        <v>42681</v>
      </c>
      <c r="P157" s="76" t="s">
        <v>261</v>
      </c>
      <c r="Q157" s="81">
        <v>212</v>
      </c>
      <c r="R157" s="76" t="s">
        <v>99</v>
      </c>
      <c r="S157" s="54">
        <v>10262.52</v>
      </c>
      <c r="T157" s="54" t="s">
        <v>128</v>
      </c>
      <c r="U157" s="51" t="s">
        <v>101</v>
      </c>
      <c r="V157" s="129">
        <v>9.15</v>
      </c>
      <c r="W157" s="51">
        <v>1</v>
      </c>
      <c r="X157" s="51" t="s">
        <v>13</v>
      </c>
      <c r="Y157" s="51" t="s">
        <v>31</v>
      </c>
      <c r="Z157" s="129">
        <v>4.5750000000000002</v>
      </c>
      <c r="AA157" s="129">
        <v>4.5750000000000002</v>
      </c>
    </row>
    <row r="158" spans="1:27" x14ac:dyDescent="0.25">
      <c r="A158" s="51" t="s">
        <v>102</v>
      </c>
      <c r="B158" s="51" t="s">
        <v>277</v>
      </c>
      <c r="C158" s="80">
        <v>199</v>
      </c>
      <c r="D158" s="80" t="s">
        <v>124</v>
      </c>
      <c r="E158" s="80" t="s">
        <v>20</v>
      </c>
      <c r="F158" s="80">
        <v>8110</v>
      </c>
      <c r="G158" s="80" t="s">
        <v>97</v>
      </c>
      <c r="H158" s="80" t="s">
        <v>25</v>
      </c>
      <c r="I158" s="132" t="s">
        <v>422</v>
      </c>
      <c r="J158" s="51" t="s">
        <v>56</v>
      </c>
      <c r="K158" s="51" t="s">
        <v>203</v>
      </c>
      <c r="L158" s="128">
        <v>42613</v>
      </c>
      <c r="M158" s="54" t="s">
        <v>122</v>
      </c>
      <c r="N158" s="54" t="s">
        <v>9</v>
      </c>
      <c r="O158" s="76">
        <v>42678</v>
      </c>
      <c r="P158" s="76" t="s">
        <v>261</v>
      </c>
      <c r="Q158" s="81">
        <v>215</v>
      </c>
      <c r="R158" s="76" t="s">
        <v>99</v>
      </c>
      <c r="S158" s="54">
        <v>2060</v>
      </c>
      <c r="T158" s="54" t="s">
        <v>128</v>
      </c>
      <c r="U158" s="51" t="s">
        <v>101</v>
      </c>
      <c r="V158" s="129">
        <v>1.84</v>
      </c>
      <c r="W158" s="51">
        <v>1</v>
      </c>
      <c r="X158" s="51" t="s">
        <v>140</v>
      </c>
      <c r="Y158" s="51" t="s">
        <v>31</v>
      </c>
      <c r="Z158" s="129">
        <v>0.92</v>
      </c>
      <c r="AA158" s="129">
        <v>0.92</v>
      </c>
    </row>
    <row r="159" spans="1:27" x14ac:dyDescent="0.25">
      <c r="A159" s="51" t="s">
        <v>102</v>
      </c>
      <c r="B159" s="51" t="s">
        <v>277</v>
      </c>
      <c r="C159" s="80">
        <v>199</v>
      </c>
      <c r="D159" s="80" t="s">
        <v>124</v>
      </c>
      <c r="E159" s="80" t="s">
        <v>20</v>
      </c>
      <c r="F159" s="80">
        <v>8110</v>
      </c>
      <c r="G159" s="80" t="s">
        <v>97</v>
      </c>
      <c r="H159" s="80" t="s">
        <v>25</v>
      </c>
      <c r="I159" s="132" t="s">
        <v>423</v>
      </c>
      <c r="J159" s="51" t="s">
        <v>56</v>
      </c>
      <c r="K159" s="51" t="s">
        <v>203</v>
      </c>
      <c r="L159" s="128">
        <v>42613</v>
      </c>
      <c r="M159" s="54" t="s">
        <v>122</v>
      </c>
      <c r="N159" s="54" t="s">
        <v>9</v>
      </c>
      <c r="O159" s="76">
        <v>42678</v>
      </c>
      <c r="P159" s="76" t="s">
        <v>261</v>
      </c>
      <c r="Q159" s="81">
        <v>215</v>
      </c>
      <c r="R159" s="76" t="s">
        <v>99</v>
      </c>
      <c r="S159" s="54">
        <v>1780</v>
      </c>
      <c r="T159" s="54" t="s">
        <v>128</v>
      </c>
      <c r="U159" s="51" t="s">
        <v>101</v>
      </c>
      <c r="V159" s="129">
        <v>1.59</v>
      </c>
      <c r="W159" s="51">
        <v>1</v>
      </c>
      <c r="X159" s="51" t="s">
        <v>140</v>
      </c>
      <c r="Y159" s="51" t="s">
        <v>31</v>
      </c>
      <c r="Z159" s="129">
        <v>0.79500000000000004</v>
      </c>
      <c r="AA159" s="129">
        <v>0.79500000000000004</v>
      </c>
    </row>
    <row r="160" spans="1:27" x14ac:dyDescent="0.25">
      <c r="A160" s="51" t="s">
        <v>96</v>
      </c>
      <c r="B160" s="51" t="s">
        <v>96</v>
      </c>
      <c r="C160" s="80">
        <v>1960</v>
      </c>
      <c r="D160" s="80" t="s">
        <v>127</v>
      </c>
      <c r="E160" s="80" t="s">
        <v>20</v>
      </c>
      <c r="F160" s="80">
        <v>8243</v>
      </c>
      <c r="G160" s="80" t="s">
        <v>125</v>
      </c>
      <c r="H160" s="80" t="s">
        <v>14</v>
      </c>
      <c r="I160" s="132" t="s">
        <v>450</v>
      </c>
      <c r="J160" s="51" t="s">
        <v>52</v>
      </c>
      <c r="K160" s="51" t="s">
        <v>145</v>
      </c>
      <c r="L160" s="128">
        <v>42646</v>
      </c>
      <c r="M160" s="54" t="s">
        <v>98</v>
      </c>
      <c r="N160" s="54" t="s">
        <v>9</v>
      </c>
      <c r="O160" s="76">
        <v>42708</v>
      </c>
      <c r="P160" s="76" t="s">
        <v>261</v>
      </c>
      <c r="Q160" s="81">
        <v>185</v>
      </c>
      <c r="R160" s="76" t="s">
        <v>99</v>
      </c>
      <c r="S160" s="54">
        <v>28998.11</v>
      </c>
      <c r="T160" s="54" t="s">
        <v>128</v>
      </c>
      <c r="U160" s="51" t="s">
        <v>101</v>
      </c>
      <c r="V160" s="129">
        <v>25.84</v>
      </c>
      <c r="W160" s="51">
        <v>1</v>
      </c>
      <c r="X160" s="51" t="s">
        <v>135</v>
      </c>
      <c r="Y160" s="51" t="s">
        <v>30</v>
      </c>
      <c r="Z160" s="129">
        <v>25.84</v>
      </c>
      <c r="AA160" s="129">
        <v>0</v>
      </c>
    </row>
    <row r="161" spans="1:27" x14ac:dyDescent="0.25">
      <c r="A161" s="51" t="s">
        <v>96</v>
      </c>
      <c r="B161" s="51" t="s">
        <v>96</v>
      </c>
      <c r="C161" s="80">
        <v>199</v>
      </c>
      <c r="D161" s="80" t="s">
        <v>124</v>
      </c>
      <c r="E161" s="80" t="s">
        <v>20</v>
      </c>
      <c r="F161" s="80">
        <v>132</v>
      </c>
      <c r="G161" s="80" t="s">
        <v>189</v>
      </c>
      <c r="H161" s="80" t="s">
        <v>20</v>
      </c>
      <c r="I161" s="132" t="s">
        <v>370</v>
      </c>
      <c r="J161" s="51" t="s">
        <v>41</v>
      </c>
      <c r="K161" s="51" t="s">
        <v>276</v>
      </c>
      <c r="L161" s="128">
        <v>42642</v>
      </c>
      <c r="M161" s="54" t="s">
        <v>122</v>
      </c>
      <c r="N161" s="54" t="s">
        <v>9</v>
      </c>
      <c r="O161" s="76">
        <v>42706</v>
      </c>
      <c r="P161" s="76" t="s">
        <v>261</v>
      </c>
      <c r="Q161" s="81">
        <v>187</v>
      </c>
      <c r="R161" s="76" t="s">
        <v>99</v>
      </c>
      <c r="S161" s="54">
        <v>36673</v>
      </c>
      <c r="T161" s="54" t="s">
        <v>128</v>
      </c>
      <c r="U161" s="51" t="s">
        <v>105</v>
      </c>
      <c r="V161" s="129">
        <v>32.68</v>
      </c>
      <c r="W161" s="51">
        <v>1</v>
      </c>
      <c r="X161" s="51" t="s">
        <v>140</v>
      </c>
      <c r="Y161" s="51" t="s">
        <v>31</v>
      </c>
      <c r="Z161" s="129">
        <v>16.34</v>
      </c>
      <c r="AA161" s="129">
        <v>16.34</v>
      </c>
    </row>
    <row r="162" spans="1:27" x14ac:dyDescent="0.25">
      <c r="A162" s="51" t="s">
        <v>96</v>
      </c>
      <c r="B162" s="51" t="s">
        <v>96</v>
      </c>
      <c r="C162" s="80">
        <v>199</v>
      </c>
      <c r="D162" s="80" t="s">
        <v>124</v>
      </c>
      <c r="E162" s="80" t="s">
        <v>20</v>
      </c>
      <c r="F162" s="80">
        <v>8243</v>
      </c>
      <c r="G162" s="80" t="s">
        <v>125</v>
      </c>
      <c r="H162" s="80" t="s">
        <v>14</v>
      </c>
      <c r="I162" s="132" t="s">
        <v>387</v>
      </c>
      <c r="J162" s="51" t="s">
        <v>43</v>
      </c>
      <c r="K162" s="51" t="s">
        <v>275</v>
      </c>
      <c r="L162" s="128">
        <v>42639</v>
      </c>
      <c r="M162" s="54" t="s">
        <v>117</v>
      </c>
      <c r="N162" s="54" t="s">
        <v>118</v>
      </c>
      <c r="O162" s="76">
        <v>42708</v>
      </c>
      <c r="P162" s="76" t="s">
        <v>261</v>
      </c>
      <c r="Q162" s="81">
        <v>185</v>
      </c>
      <c r="R162" s="76" t="s">
        <v>99</v>
      </c>
      <c r="S162" s="54">
        <v>60879</v>
      </c>
      <c r="T162" s="54" t="s">
        <v>128</v>
      </c>
      <c r="U162" s="51" t="s">
        <v>101</v>
      </c>
      <c r="V162" s="129">
        <v>54.25</v>
      </c>
      <c r="W162" s="51">
        <v>1</v>
      </c>
      <c r="X162" s="51" t="s">
        <v>13</v>
      </c>
      <c r="Y162" s="51" t="s">
        <v>31</v>
      </c>
      <c r="Z162" s="129">
        <v>27.125</v>
      </c>
      <c r="AA162" s="129">
        <v>27.125</v>
      </c>
    </row>
    <row r="163" spans="1:27" x14ac:dyDescent="0.25">
      <c r="A163" s="51" t="s">
        <v>96</v>
      </c>
      <c r="B163" s="51" t="s">
        <v>96</v>
      </c>
      <c r="C163" s="80">
        <v>132</v>
      </c>
      <c r="D163" s="80" t="s">
        <v>189</v>
      </c>
      <c r="E163" s="80" t="s">
        <v>20</v>
      </c>
      <c r="F163" s="80">
        <v>199</v>
      </c>
      <c r="G163" s="80" t="s">
        <v>124</v>
      </c>
      <c r="H163" s="80" t="s">
        <v>20</v>
      </c>
      <c r="I163" s="132" t="s">
        <v>371</v>
      </c>
      <c r="J163" s="51" t="s">
        <v>41</v>
      </c>
      <c r="K163" s="51" t="s">
        <v>204</v>
      </c>
      <c r="L163" s="128">
        <v>42640</v>
      </c>
      <c r="M163" s="54" t="s">
        <v>98</v>
      </c>
      <c r="N163" s="54" t="s">
        <v>9</v>
      </c>
      <c r="O163" s="76">
        <v>42709</v>
      </c>
      <c r="P163" s="76" t="s">
        <v>261</v>
      </c>
      <c r="Q163" s="81">
        <v>184</v>
      </c>
      <c r="R163" s="76" t="s">
        <v>99</v>
      </c>
      <c r="S163" s="54">
        <v>1604.44</v>
      </c>
      <c r="T163" s="54" t="s">
        <v>128</v>
      </c>
      <c r="U163" s="51" t="s">
        <v>105</v>
      </c>
      <c r="V163" s="129">
        <v>1.43</v>
      </c>
      <c r="W163" s="51">
        <v>1</v>
      </c>
      <c r="X163" s="51" t="s">
        <v>135</v>
      </c>
      <c r="Y163" s="51" t="s">
        <v>30</v>
      </c>
      <c r="Z163" s="129">
        <v>1.43</v>
      </c>
      <c r="AA163" s="129">
        <v>0</v>
      </c>
    </row>
    <row r="164" spans="1:27" x14ac:dyDescent="0.25">
      <c r="A164" s="51" t="s">
        <v>96</v>
      </c>
      <c r="B164" s="51" t="s">
        <v>96</v>
      </c>
      <c r="C164" s="80">
        <v>132</v>
      </c>
      <c r="D164" s="80" t="s">
        <v>189</v>
      </c>
      <c r="E164" s="80" t="s">
        <v>20</v>
      </c>
      <c r="F164" s="80">
        <v>199</v>
      </c>
      <c r="G164" s="80" t="s">
        <v>124</v>
      </c>
      <c r="H164" s="80" t="s">
        <v>20</v>
      </c>
      <c r="I164" s="132" t="s">
        <v>372</v>
      </c>
      <c r="J164" s="51" t="s">
        <v>41</v>
      </c>
      <c r="K164" s="51" t="s">
        <v>204</v>
      </c>
      <c r="L164" s="128">
        <v>42640</v>
      </c>
      <c r="M164" s="54" t="s">
        <v>98</v>
      </c>
      <c r="N164" s="54" t="s">
        <v>9</v>
      </c>
      <c r="O164" s="76">
        <v>42709</v>
      </c>
      <c r="P164" s="76" t="s">
        <v>261</v>
      </c>
      <c r="Q164" s="81">
        <v>184</v>
      </c>
      <c r="R164" s="76" t="s">
        <v>99</v>
      </c>
      <c r="S164" s="54">
        <v>2452.42</v>
      </c>
      <c r="T164" s="54" t="s">
        <v>128</v>
      </c>
      <c r="U164" s="51" t="s">
        <v>105</v>
      </c>
      <c r="V164" s="129">
        <v>2.19</v>
      </c>
      <c r="W164" s="51">
        <v>1</v>
      </c>
      <c r="X164" s="51" t="s">
        <v>135</v>
      </c>
      <c r="Y164" s="51" t="s">
        <v>30</v>
      </c>
      <c r="Z164" s="129">
        <v>2.19</v>
      </c>
      <c r="AA164" s="129">
        <v>0</v>
      </c>
    </row>
    <row r="165" spans="1:27" x14ac:dyDescent="0.25">
      <c r="A165" s="51" t="s">
        <v>96</v>
      </c>
      <c r="B165" s="51" t="s">
        <v>96</v>
      </c>
      <c r="C165" s="80">
        <v>132</v>
      </c>
      <c r="D165" s="80" t="s">
        <v>189</v>
      </c>
      <c r="E165" s="80" t="s">
        <v>20</v>
      </c>
      <c r="F165" s="80">
        <v>199</v>
      </c>
      <c r="G165" s="80" t="s">
        <v>124</v>
      </c>
      <c r="H165" s="80" t="s">
        <v>20</v>
      </c>
      <c r="I165" s="132" t="s">
        <v>373</v>
      </c>
      <c r="J165" s="51" t="s">
        <v>41</v>
      </c>
      <c r="K165" s="51" t="s">
        <v>204</v>
      </c>
      <c r="L165" s="128">
        <v>42640</v>
      </c>
      <c r="M165" s="54" t="s">
        <v>98</v>
      </c>
      <c r="N165" s="54" t="s">
        <v>9</v>
      </c>
      <c r="O165" s="76">
        <v>42709</v>
      </c>
      <c r="P165" s="76" t="s">
        <v>261</v>
      </c>
      <c r="Q165" s="81">
        <v>184</v>
      </c>
      <c r="R165" s="76" t="s">
        <v>99</v>
      </c>
      <c r="S165" s="54">
        <v>26078.82</v>
      </c>
      <c r="T165" s="54" t="s">
        <v>128</v>
      </c>
      <c r="U165" s="51" t="s">
        <v>105</v>
      </c>
      <c r="V165" s="129">
        <v>23.24</v>
      </c>
      <c r="W165" s="51">
        <v>1</v>
      </c>
      <c r="X165" s="51" t="s">
        <v>135</v>
      </c>
      <c r="Y165" s="51" t="s">
        <v>30</v>
      </c>
      <c r="Z165" s="129">
        <v>23.24</v>
      </c>
      <c r="AA165" s="129">
        <v>0</v>
      </c>
    </row>
    <row r="166" spans="1:27" x14ac:dyDescent="0.25">
      <c r="A166" s="51" t="s">
        <v>96</v>
      </c>
      <c r="B166" s="51" t="s">
        <v>96</v>
      </c>
      <c r="C166" s="80">
        <v>132</v>
      </c>
      <c r="D166" s="80" t="s">
        <v>189</v>
      </c>
      <c r="E166" s="80" t="s">
        <v>20</v>
      </c>
      <c r="F166" s="80">
        <v>199</v>
      </c>
      <c r="G166" s="80" t="s">
        <v>124</v>
      </c>
      <c r="H166" s="80" t="s">
        <v>20</v>
      </c>
      <c r="I166" s="132" t="s">
        <v>367</v>
      </c>
      <c r="J166" s="51" t="s">
        <v>41</v>
      </c>
      <c r="K166" s="51" t="s">
        <v>204</v>
      </c>
      <c r="L166" s="128">
        <v>42640</v>
      </c>
      <c r="M166" s="54" t="s">
        <v>98</v>
      </c>
      <c r="N166" s="54" t="s">
        <v>9</v>
      </c>
      <c r="O166" s="76">
        <v>42709</v>
      </c>
      <c r="P166" s="76" t="s">
        <v>261</v>
      </c>
      <c r="Q166" s="81">
        <v>184</v>
      </c>
      <c r="R166" s="76" t="s">
        <v>99</v>
      </c>
      <c r="S166" s="54">
        <v>16839.669999999998</v>
      </c>
      <c r="T166" s="54" t="s">
        <v>128</v>
      </c>
      <c r="U166" s="51" t="s">
        <v>105</v>
      </c>
      <c r="V166" s="129">
        <v>15.01</v>
      </c>
      <c r="W166" s="51">
        <v>1</v>
      </c>
      <c r="X166" s="51" t="s">
        <v>135</v>
      </c>
      <c r="Y166" s="51" t="s">
        <v>30</v>
      </c>
      <c r="Z166" s="129">
        <v>15.01</v>
      </c>
      <c r="AA166" s="129">
        <v>0</v>
      </c>
    </row>
    <row r="167" spans="1:27" x14ac:dyDescent="0.25">
      <c r="A167" s="51" t="s">
        <v>96</v>
      </c>
      <c r="B167" s="51" t="s">
        <v>96</v>
      </c>
      <c r="C167" s="80">
        <v>132</v>
      </c>
      <c r="D167" s="80" t="s">
        <v>189</v>
      </c>
      <c r="E167" s="80" t="s">
        <v>20</v>
      </c>
      <c r="F167" s="80">
        <v>199</v>
      </c>
      <c r="G167" s="80" t="s">
        <v>124</v>
      </c>
      <c r="H167" s="80" t="s">
        <v>20</v>
      </c>
      <c r="I167" s="132" t="s">
        <v>366</v>
      </c>
      <c r="J167" s="51" t="s">
        <v>41</v>
      </c>
      <c r="K167" s="51" t="s">
        <v>204</v>
      </c>
      <c r="L167" s="128">
        <v>42640</v>
      </c>
      <c r="M167" s="54" t="s">
        <v>98</v>
      </c>
      <c r="N167" s="54" t="s">
        <v>9</v>
      </c>
      <c r="O167" s="76">
        <v>42709</v>
      </c>
      <c r="P167" s="76" t="s">
        <v>261</v>
      </c>
      <c r="Q167" s="81">
        <v>184</v>
      </c>
      <c r="R167" s="76" t="s">
        <v>99</v>
      </c>
      <c r="S167" s="54">
        <v>53160.65</v>
      </c>
      <c r="T167" s="54" t="s">
        <v>128</v>
      </c>
      <c r="U167" s="51" t="s">
        <v>105</v>
      </c>
      <c r="V167" s="129">
        <v>47.38</v>
      </c>
      <c r="W167" s="51">
        <v>1</v>
      </c>
      <c r="X167" s="51" t="s">
        <v>135</v>
      </c>
      <c r="Y167" s="51" t="s">
        <v>30</v>
      </c>
      <c r="Z167" s="129">
        <v>47.38</v>
      </c>
      <c r="AA167" s="129">
        <v>0</v>
      </c>
    </row>
    <row r="168" spans="1:27" x14ac:dyDescent="0.25">
      <c r="A168" s="51" t="s">
        <v>96</v>
      </c>
      <c r="B168" s="51" t="s">
        <v>96</v>
      </c>
      <c r="C168" s="80">
        <v>199</v>
      </c>
      <c r="D168" s="80" t="s">
        <v>124</v>
      </c>
      <c r="E168" s="80" t="s">
        <v>20</v>
      </c>
      <c r="F168" s="80">
        <v>1350</v>
      </c>
      <c r="G168" s="80" t="s">
        <v>115</v>
      </c>
      <c r="H168" s="80" t="s">
        <v>19</v>
      </c>
      <c r="I168" s="132" t="s">
        <v>397</v>
      </c>
      <c r="J168" s="51" t="s">
        <v>37</v>
      </c>
      <c r="K168" s="51" t="s">
        <v>260</v>
      </c>
      <c r="L168" s="128">
        <v>42640</v>
      </c>
      <c r="M168" s="54" t="s">
        <v>117</v>
      </c>
      <c r="N168" s="54" t="s">
        <v>118</v>
      </c>
      <c r="O168" s="76">
        <v>42706</v>
      </c>
      <c r="P168" s="76" t="s">
        <v>261</v>
      </c>
      <c r="Q168" s="81">
        <v>187</v>
      </c>
      <c r="R168" s="76" t="s">
        <v>99</v>
      </c>
      <c r="S168" s="54">
        <v>55014.21</v>
      </c>
      <c r="T168" s="54" t="s">
        <v>128</v>
      </c>
      <c r="U168" s="51" t="s">
        <v>101</v>
      </c>
      <c r="V168" s="129">
        <v>49.03</v>
      </c>
      <c r="W168" s="51">
        <v>1</v>
      </c>
      <c r="X168" s="51" t="s">
        <v>13</v>
      </c>
      <c r="Y168" s="51" t="s">
        <v>31</v>
      </c>
      <c r="Z168" s="129">
        <v>24.515000000000001</v>
      </c>
      <c r="AA168" s="129">
        <v>24.515000000000001</v>
      </c>
    </row>
    <row r="169" spans="1:27" x14ac:dyDescent="0.25">
      <c r="A169" s="51" t="s">
        <v>96</v>
      </c>
      <c r="B169" s="51" t="s">
        <v>96</v>
      </c>
      <c r="C169" s="80">
        <v>132</v>
      </c>
      <c r="D169" s="80" t="s">
        <v>189</v>
      </c>
      <c r="E169" s="80" t="s">
        <v>20</v>
      </c>
      <c r="F169" s="80">
        <v>199</v>
      </c>
      <c r="G169" s="80" t="s">
        <v>124</v>
      </c>
      <c r="H169" s="80" t="s">
        <v>20</v>
      </c>
      <c r="I169" s="132" t="s">
        <v>365</v>
      </c>
      <c r="J169" s="51" t="s">
        <v>41</v>
      </c>
      <c r="K169" s="51" t="s">
        <v>204</v>
      </c>
      <c r="L169" s="128">
        <v>42641</v>
      </c>
      <c r="M169" s="54" t="s">
        <v>98</v>
      </c>
      <c r="N169" s="54" t="s">
        <v>9</v>
      </c>
      <c r="O169" s="76">
        <v>42709</v>
      </c>
      <c r="P169" s="76" t="s">
        <v>261</v>
      </c>
      <c r="Q169" s="81">
        <v>184</v>
      </c>
      <c r="R169" s="76" t="s">
        <v>99</v>
      </c>
      <c r="S169" s="54">
        <v>-12214</v>
      </c>
      <c r="T169" s="54" t="s">
        <v>128</v>
      </c>
      <c r="U169" s="51" t="s">
        <v>105</v>
      </c>
      <c r="V169" s="129">
        <v>-10.88</v>
      </c>
      <c r="W169" s="51">
        <v>1</v>
      </c>
      <c r="X169" s="51" t="s">
        <v>135</v>
      </c>
      <c r="Y169" s="51" t="s">
        <v>30</v>
      </c>
      <c r="Z169" s="129">
        <v>-10.88</v>
      </c>
      <c r="AA169" s="129">
        <v>0</v>
      </c>
    </row>
    <row r="170" spans="1:27" x14ac:dyDescent="0.25">
      <c r="A170" s="51" t="s">
        <v>102</v>
      </c>
      <c r="B170" s="51" t="s">
        <v>103</v>
      </c>
      <c r="C170" s="80">
        <v>1985</v>
      </c>
      <c r="D170" s="80" t="s">
        <v>129</v>
      </c>
      <c r="E170" s="80" t="s">
        <v>17</v>
      </c>
      <c r="F170" s="80">
        <v>260</v>
      </c>
      <c r="G170" s="80" t="s">
        <v>114</v>
      </c>
      <c r="H170" s="80" t="s">
        <v>17</v>
      </c>
      <c r="I170" s="132" t="s">
        <v>452</v>
      </c>
      <c r="J170" s="51" t="s">
        <v>52</v>
      </c>
      <c r="K170" s="51" t="s">
        <v>146</v>
      </c>
      <c r="L170" s="128">
        <v>42430</v>
      </c>
      <c r="M170" s="54" t="s">
        <v>117</v>
      </c>
      <c r="N170" s="54" t="s">
        <v>118</v>
      </c>
      <c r="O170" s="76">
        <v>42495</v>
      </c>
      <c r="P170" s="76" t="s">
        <v>207</v>
      </c>
      <c r="Q170" s="81">
        <v>398</v>
      </c>
      <c r="R170" s="76" t="s">
        <v>252</v>
      </c>
      <c r="S170" s="54">
        <v>35637.199999999997</v>
      </c>
      <c r="T170" s="54" t="s">
        <v>130</v>
      </c>
      <c r="U170" s="51" t="s">
        <v>105</v>
      </c>
      <c r="V170" s="129">
        <v>2.42</v>
      </c>
      <c r="W170" s="51">
        <v>1</v>
      </c>
      <c r="X170" s="51" t="s">
        <v>13</v>
      </c>
      <c r="Y170" s="51" t="s">
        <v>31</v>
      </c>
      <c r="Z170" s="129">
        <v>1.21</v>
      </c>
      <c r="AA170" s="129">
        <v>1.21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D9"/>
  <sheetViews>
    <sheetView workbookViewId="0"/>
  </sheetViews>
  <sheetFormatPr defaultRowHeight="15" x14ac:dyDescent="0.25"/>
  <cols>
    <col min="1" max="2" width="6.85546875" bestFit="1" customWidth="1"/>
    <col min="3" max="3" width="6.7109375" bestFit="1" customWidth="1"/>
    <col min="4" max="4" width="32.5703125" bestFit="1" customWidth="1"/>
    <col min="5" max="5" width="16" bestFit="1" customWidth="1"/>
    <col min="6" max="6" width="16.42578125" bestFit="1" customWidth="1"/>
    <col min="7" max="7" width="8.85546875" bestFit="1" customWidth="1"/>
    <col min="8" max="8" width="42.7109375" bestFit="1" customWidth="1"/>
    <col min="9" max="9" width="14.28515625" bestFit="1" customWidth="1"/>
    <col min="10" max="10" width="16.42578125" bestFit="1" customWidth="1"/>
    <col min="11" max="11" width="16.7109375" bestFit="1" customWidth="1"/>
    <col min="13" max="13" width="6.7109375" bestFit="1" customWidth="1"/>
    <col min="14" max="14" width="8.42578125" bestFit="1" customWidth="1"/>
    <col min="15" max="15" width="12.7109375" style="73" bestFit="1" customWidth="1"/>
    <col min="16" max="16" width="38.5703125" bestFit="1" customWidth="1"/>
    <col min="17" max="18" width="14.85546875" bestFit="1" customWidth="1"/>
    <col min="19" max="19" width="5.42578125" bestFit="1" customWidth="1"/>
    <col min="21" max="21" width="13.28515625" bestFit="1" customWidth="1"/>
    <col min="22" max="22" width="8" bestFit="1" customWidth="1"/>
    <col min="23" max="23" width="7.140625" bestFit="1" customWidth="1"/>
    <col min="24" max="24" width="8.28515625" bestFit="1" customWidth="1"/>
    <col min="25" max="25" width="6" bestFit="1" customWidth="1"/>
    <col min="26" max="26" width="6.7109375" bestFit="1" customWidth="1"/>
    <col min="27" max="27" width="7.28515625" bestFit="1" customWidth="1"/>
    <col min="28" max="28" width="23.85546875" bestFit="1" customWidth="1"/>
    <col min="29" max="29" width="7" bestFit="1" customWidth="1"/>
    <col min="30" max="30" width="8.7109375" bestFit="1" customWidth="1"/>
  </cols>
  <sheetData>
    <row r="1" spans="1:30" x14ac:dyDescent="0.25">
      <c r="Y1">
        <v>25.28</v>
      </c>
      <c r="Z1" t="s">
        <v>91</v>
      </c>
    </row>
    <row r="2" spans="1:30" x14ac:dyDescent="0.25">
      <c r="Y2">
        <v>6</v>
      </c>
    </row>
    <row r="3" spans="1:30" ht="36" x14ac:dyDescent="0.25">
      <c r="A3" s="47" t="s">
        <v>68</v>
      </c>
      <c r="B3" s="47" t="s">
        <v>69</v>
      </c>
      <c r="C3" s="48" t="s">
        <v>70</v>
      </c>
      <c r="D3" s="48" t="s">
        <v>71</v>
      </c>
      <c r="E3" s="49" t="s">
        <v>72</v>
      </c>
      <c r="F3" s="48" t="s">
        <v>73</v>
      </c>
      <c r="G3" s="48" t="s">
        <v>74</v>
      </c>
      <c r="H3" s="48" t="s">
        <v>75</v>
      </c>
      <c r="I3" s="49" t="s">
        <v>76</v>
      </c>
      <c r="J3" s="48" t="s">
        <v>77</v>
      </c>
      <c r="K3" s="50" t="s">
        <v>78</v>
      </c>
      <c r="L3" s="47" t="s">
        <v>29</v>
      </c>
      <c r="M3" s="47" t="s">
        <v>79</v>
      </c>
      <c r="N3" s="47" t="s">
        <v>80</v>
      </c>
      <c r="O3" s="74" t="s">
        <v>81</v>
      </c>
      <c r="P3" s="48" t="s">
        <v>82</v>
      </c>
      <c r="Q3" s="48" t="s">
        <v>83</v>
      </c>
      <c r="R3" s="48" t="s">
        <v>84</v>
      </c>
      <c r="S3" s="48" t="s">
        <v>85</v>
      </c>
      <c r="T3" s="48" t="s">
        <v>86</v>
      </c>
      <c r="U3" s="48" t="s">
        <v>87</v>
      </c>
      <c r="V3" s="48" t="s">
        <v>88</v>
      </c>
      <c r="W3" s="48" t="s">
        <v>89</v>
      </c>
      <c r="X3" s="48" t="s">
        <v>90</v>
      </c>
      <c r="Y3" s="48" t="s">
        <v>91</v>
      </c>
      <c r="Z3" s="48" t="s">
        <v>92</v>
      </c>
      <c r="AA3" s="47" t="s">
        <v>93</v>
      </c>
      <c r="AB3" s="47" t="s">
        <v>65</v>
      </c>
      <c r="AC3" s="47" t="s">
        <v>94</v>
      </c>
      <c r="AD3" s="47" t="s">
        <v>95</v>
      </c>
    </row>
    <row r="4" spans="1:30" x14ac:dyDescent="0.25">
      <c r="A4" s="51" t="s">
        <v>96</v>
      </c>
      <c r="B4" s="51" t="s">
        <v>96</v>
      </c>
      <c r="C4" s="51">
        <v>5301</v>
      </c>
      <c r="D4" s="51" t="s">
        <v>165</v>
      </c>
      <c r="E4" s="51">
        <v>597</v>
      </c>
      <c r="F4" s="51" t="s">
        <v>14</v>
      </c>
      <c r="G4" s="51">
        <v>1545</v>
      </c>
      <c r="H4" s="51" t="s">
        <v>166</v>
      </c>
      <c r="I4" s="51">
        <v>597</v>
      </c>
      <c r="J4" s="51" t="s">
        <v>14</v>
      </c>
      <c r="K4" s="52" t="s">
        <v>167</v>
      </c>
      <c r="L4" s="51" t="s">
        <v>59</v>
      </c>
      <c r="M4" s="51" t="s">
        <v>60</v>
      </c>
      <c r="N4" s="51"/>
      <c r="O4" s="75">
        <v>42494.373576388891</v>
      </c>
      <c r="P4" s="51" t="s">
        <v>122</v>
      </c>
      <c r="Q4" s="54" t="s">
        <v>9</v>
      </c>
      <c r="R4" s="53">
        <v>42549.533263888887</v>
      </c>
      <c r="S4" s="52"/>
      <c r="T4" s="52">
        <v>190</v>
      </c>
      <c r="U4" s="51" t="s">
        <v>99</v>
      </c>
      <c r="V4" s="51">
        <v>1045.44</v>
      </c>
      <c r="W4" s="51" t="s">
        <v>168</v>
      </c>
      <c r="X4" s="51" t="s">
        <v>105</v>
      </c>
      <c r="Y4" s="51">
        <v>0.98</v>
      </c>
      <c r="Z4" s="51">
        <v>1</v>
      </c>
      <c r="AA4" s="51" t="s">
        <v>140</v>
      </c>
      <c r="AB4" s="51" t="s">
        <v>31</v>
      </c>
      <c r="AC4" s="51">
        <v>0.49</v>
      </c>
      <c r="AD4" s="51">
        <v>0.49</v>
      </c>
    </row>
    <row r="5" spans="1:30" x14ac:dyDescent="0.25">
      <c r="A5" s="51" t="s">
        <v>96</v>
      </c>
      <c r="B5" s="51" t="s">
        <v>96</v>
      </c>
      <c r="C5" s="51">
        <v>5301</v>
      </c>
      <c r="D5" s="51" t="s">
        <v>165</v>
      </c>
      <c r="E5" s="51">
        <v>597</v>
      </c>
      <c r="F5" s="51" t="s">
        <v>14</v>
      </c>
      <c r="G5" s="51">
        <v>1545</v>
      </c>
      <c r="H5" s="51" t="s">
        <v>166</v>
      </c>
      <c r="I5" s="51">
        <v>597</v>
      </c>
      <c r="J5" s="51" t="s">
        <v>14</v>
      </c>
      <c r="K5" s="52" t="s">
        <v>169</v>
      </c>
      <c r="L5" s="51" t="s">
        <v>59</v>
      </c>
      <c r="M5" s="51" t="s">
        <v>60</v>
      </c>
      <c r="N5" s="51"/>
      <c r="O5" s="75">
        <v>42464.45621527778</v>
      </c>
      <c r="P5" s="51" t="s">
        <v>122</v>
      </c>
      <c r="Q5" s="54" t="s">
        <v>9</v>
      </c>
      <c r="R5" s="53">
        <v>42549.533263888887</v>
      </c>
      <c r="S5" s="52"/>
      <c r="T5" s="52">
        <v>190</v>
      </c>
      <c r="U5" s="51" t="s">
        <v>99</v>
      </c>
      <c r="V5" s="51">
        <v>1202.04</v>
      </c>
      <c r="W5" s="51" t="s">
        <v>168</v>
      </c>
      <c r="X5" s="51" t="s">
        <v>105</v>
      </c>
      <c r="Y5" s="51">
        <v>1.1200000000000001</v>
      </c>
      <c r="Z5" s="51">
        <v>1</v>
      </c>
      <c r="AA5" s="51" t="s">
        <v>140</v>
      </c>
      <c r="AB5" s="51" t="s">
        <v>31</v>
      </c>
      <c r="AC5" s="51">
        <v>0.56000000000000005</v>
      </c>
      <c r="AD5" s="51">
        <v>0.56000000000000005</v>
      </c>
    </row>
    <row r="6" spans="1:30" x14ac:dyDescent="0.25">
      <c r="A6" s="51" t="s">
        <v>96</v>
      </c>
      <c r="B6" s="51" t="s">
        <v>96</v>
      </c>
      <c r="C6" s="51">
        <v>5301</v>
      </c>
      <c r="D6" s="51" t="s">
        <v>165</v>
      </c>
      <c r="E6" s="51">
        <v>597</v>
      </c>
      <c r="F6" s="51" t="s">
        <v>14</v>
      </c>
      <c r="G6" s="51">
        <v>1545</v>
      </c>
      <c r="H6" s="51" t="s">
        <v>166</v>
      </c>
      <c r="I6" s="51">
        <v>597</v>
      </c>
      <c r="J6" s="51" t="s">
        <v>14</v>
      </c>
      <c r="K6" s="52" t="s">
        <v>170</v>
      </c>
      <c r="L6" s="51" t="s">
        <v>59</v>
      </c>
      <c r="M6" s="51" t="s">
        <v>60</v>
      </c>
      <c r="N6" s="51"/>
      <c r="O6" s="75">
        <v>42523.467962962961</v>
      </c>
      <c r="P6" s="51" t="s">
        <v>122</v>
      </c>
      <c r="Q6" s="51" t="s">
        <v>9</v>
      </c>
      <c r="R6" s="53">
        <v>42549.533263888887</v>
      </c>
      <c r="S6" s="52"/>
      <c r="T6" s="52">
        <v>190</v>
      </c>
      <c r="U6" s="51" t="s">
        <v>99</v>
      </c>
      <c r="V6" s="51">
        <v>1094.04</v>
      </c>
      <c r="W6" s="51" t="s">
        <v>168</v>
      </c>
      <c r="X6" s="51" t="s">
        <v>105</v>
      </c>
      <c r="Y6" s="51">
        <v>1.02</v>
      </c>
      <c r="Z6" s="51">
        <v>1</v>
      </c>
      <c r="AA6" s="51" t="s">
        <v>140</v>
      </c>
      <c r="AB6" s="51" t="s">
        <v>31</v>
      </c>
      <c r="AC6" s="51">
        <v>0.51</v>
      </c>
      <c r="AD6" s="51">
        <v>0.51</v>
      </c>
    </row>
    <row r="7" spans="1:30" x14ac:dyDescent="0.25">
      <c r="A7" s="51" t="s">
        <v>96</v>
      </c>
      <c r="B7" s="51" t="s">
        <v>96</v>
      </c>
      <c r="C7" s="51">
        <v>5301</v>
      </c>
      <c r="D7" s="51" t="s">
        <v>165</v>
      </c>
      <c r="E7" s="51">
        <v>597</v>
      </c>
      <c r="F7" s="51" t="s">
        <v>14</v>
      </c>
      <c r="G7" s="51">
        <v>1545</v>
      </c>
      <c r="H7" s="51" t="s">
        <v>166</v>
      </c>
      <c r="I7" s="51">
        <v>597</v>
      </c>
      <c r="J7" s="51" t="s">
        <v>14</v>
      </c>
      <c r="K7" s="52" t="s">
        <v>171</v>
      </c>
      <c r="L7" s="51" t="s">
        <v>59</v>
      </c>
      <c r="M7" s="51" t="s">
        <v>60</v>
      </c>
      <c r="N7" s="51"/>
      <c r="O7" s="75">
        <v>42545.712546296294</v>
      </c>
      <c r="P7" s="51" t="s">
        <v>122</v>
      </c>
      <c r="Q7" s="51" t="s">
        <v>9</v>
      </c>
      <c r="R7" s="53">
        <v>42549.533263888887</v>
      </c>
      <c r="S7" s="52"/>
      <c r="T7" s="52">
        <v>190</v>
      </c>
      <c r="U7" s="51" t="s">
        <v>99</v>
      </c>
      <c r="V7" s="51">
        <v>1010.88</v>
      </c>
      <c r="W7" s="51" t="s">
        <v>168</v>
      </c>
      <c r="X7" s="51" t="s">
        <v>105</v>
      </c>
      <c r="Y7" s="51">
        <v>0.94</v>
      </c>
      <c r="Z7" s="51">
        <v>1</v>
      </c>
      <c r="AA7" s="51" t="s">
        <v>140</v>
      </c>
      <c r="AB7" s="51" t="s">
        <v>31</v>
      </c>
      <c r="AC7" s="51">
        <v>0.47</v>
      </c>
      <c r="AD7" s="51">
        <v>0.47</v>
      </c>
    </row>
    <row r="8" spans="1:30" x14ac:dyDescent="0.25">
      <c r="A8" s="51" t="s">
        <v>96</v>
      </c>
      <c r="B8" s="51" t="s">
        <v>96</v>
      </c>
      <c r="C8" s="51">
        <v>5204</v>
      </c>
      <c r="D8" s="51" t="s">
        <v>143</v>
      </c>
      <c r="E8" s="51">
        <v>1900</v>
      </c>
      <c r="F8" s="51" t="s">
        <v>15</v>
      </c>
      <c r="G8" s="51">
        <v>808</v>
      </c>
      <c r="H8" s="51" t="s">
        <v>178</v>
      </c>
      <c r="I8" s="51">
        <v>1900</v>
      </c>
      <c r="J8" s="51" t="s">
        <v>15</v>
      </c>
      <c r="K8" s="52" t="s">
        <v>179</v>
      </c>
      <c r="L8" s="51" t="s">
        <v>59</v>
      </c>
      <c r="M8" s="51" t="s">
        <v>60</v>
      </c>
      <c r="N8" s="51"/>
      <c r="O8" s="75">
        <v>42545.669108796297</v>
      </c>
      <c r="P8" s="51" t="s">
        <v>104</v>
      </c>
      <c r="Q8" s="54" t="s">
        <v>9</v>
      </c>
      <c r="R8" s="53">
        <v>42549.74391203704</v>
      </c>
      <c r="S8" s="52"/>
      <c r="T8" s="52">
        <v>190</v>
      </c>
      <c r="U8" s="51" t="s">
        <v>99</v>
      </c>
      <c r="V8" s="51">
        <v>511579</v>
      </c>
      <c r="W8" s="51" t="s">
        <v>119</v>
      </c>
      <c r="X8" s="51" t="s">
        <v>105</v>
      </c>
      <c r="Y8" s="51">
        <v>7.21</v>
      </c>
      <c r="Z8" s="51">
        <v>1</v>
      </c>
      <c r="AA8" s="51" t="s">
        <v>134</v>
      </c>
      <c r="AB8" s="51" t="s">
        <v>31</v>
      </c>
      <c r="AC8" s="51">
        <v>3.605</v>
      </c>
      <c r="AD8" s="51">
        <v>3.605</v>
      </c>
    </row>
    <row r="9" spans="1:30" x14ac:dyDescent="0.25">
      <c r="A9" s="51" t="s">
        <v>96</v>
      </c>
      <c r="B9" s="51" t="s">
        <v>96</v>
      </c>
      <c r="C9" s="51">
        <v>5402</v>
      </c>
      <c r="D9" s="51" t="s">
        <v>180</v>
      </c>
      <c r="E9" s="51">
        <v>399</v>
      </c>
      <c r="F9" s="51" t="s">
        <v>19</v>
      </c>
      <c r="G9" s="51">
        <v>3071</v>
      </c>
      <c r="H9" s="51" t="s">
        <v>181</v>
      </c>
      <c r="I9" s="51">
        <v>399</v>
      </c>
      <c r="J9" s="51" t="s">
        <v>19</v>
      </c>
      <c r="K9" s="51" t="s">
        <v>182</v>
      </c>
      <c r="L9" s="51" t="s">
        <v>59</v>
      </c>
      <c r="M9" s="51" t="s">
        <v>60</v>
      </c>
      <c r="N9" s="51"/>
      <c r="O9" s="75">
        <v>42523.469201388885</v>
      </c>
      <c r="P9" s="51" t="s">
        <v>109</v>
      </c>
      <c r="Q9" s="51" t="s">
        <v>10</v>
      </c>
      <c r="R9" s="51">
        <v>42548.575486111113</v>
      </c>
      <c r="S9" s="51"/>
      <c r="T9" s="51">
        <v>191</v>
      </c>
      <c r="U9" s="51" t="s">
        <v>99</v>
      </c>
      <c r="V9" s="51">
        <v>134530</v>
      </c>
      <c r="W9" s="51" t="s">
        <v>144</v>
      </c>
      <c r="X9" s="51" t="s">
        <v>105</v>
      </c>
      <c r="Y9" s="51">
        <v>14.01</v>
      </c>
      <c r="Z9" s="51">
        <v>1</v>
      </c>
      <c r="AA9" s="51" t="s">
        <v>133</v>
      </c>
      <c r="AB9" s="51" t="s">
        <v>32</v>
      </c>
      <c r="AC9" s="51">
        <v>3.5024999999999999</v>
      </c>
      <c r="AD9" s="51">
        <v>10.5075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28"/>
  <sheetViews>
    <sheetView workbookViewId="0"/>
  </sheetViews>
  <sheetFormatPr defaultRowHeight="15" x14ac:dyDescent="0.25"/>
  <cols>
    <col min="1" max="1" width="13.140625" customWidth="1"/>
    <col min="2" max="2" width="15" customWidth="1"/>
    <col min="3" max="4" width="12.85546875" customWidth="1"/>
    <col min="5" max="5" width="21.42578125" bestFit="1" customWidth="1"/>
    <col min="6" max="6" width="8" bestFit="1" customWidth="1"/>
    <col min="7" max="7" width="6.28515625" bestFit="1" customWidth="1"/>
    <col min="8" max="8" width="7" bestFit="1" customWidth="1"/>
    <col min="9" max="9" width="6.28515625" bestFit="1" customWidth="1"/>
    <col min="10" max="10" width="19.85546875" bestFit="1" customWidth="1"/>
    <col min="11" max="11" width="69.28515625" bestFit="1" customWidth="1"/>
    <col min="12" max="12" width="3" bestFit="1" customWidth="1"/>
  </cols>
  <sheetData>
    <row r="1" spans="1:19" x14ac:dyDescent="0.25">
      <c r="B1" s="55" t="s">
        <v>149</v>
      </c>
      <c r="E1" s="61"/>
      <c r="F1" s="153" t="s">
        <v>153</v>
      </c>
      <c r="G1" s="153"/>
      <c r="H1" s="153" t="s">
        <v>152</v>
      </c>
      <c r="I1" s="153"/>
      <c r="J1" s="62"/>
      <c r="K1" s="63"/>
    </row>
    <row r="2" spans="1:19" x14ac:dyDescent="0.25">
      <c r="A2" s="55" t="s">
        <v>147</v>
      </c>
      <c r="B2" t="s">
        <v>148</v>
      </c>
      <c r="C2" t="s">
        <v>150</v>
      </c>
      <c r="E2" s="64"/>
      <c r="F2" s="58" t="s">
        <v>91</v>
      </c>
      <c r="G2" s="58" t="s">
        <v>151</v>
      </c>
      <c r="H2" s="58" t="s">
        <v>91</v>
      </c>
      <c r="I2" s="58" t="s">
        <v>151</v>
      </c>
      <c r="J2" s="58" t="s">
        <v>158</v>
      </c>
      <c r="K2" s="65" t="s">
        <v>154</v>
      </c>
    </row>
    <row r="3" spans="1:19" x14ac:dyDescent="0.25">
      <c r="A3" s="56" t="s">
        <v>39</v>
      </c>
      <c r="B3" s="57">
        <v>5</v>
      </c>
      <c r="C3" s="57">
        <v>122.33</v>
      </c>
      <c r="D3" s="57"/>
      <c r="E3" s="64" t="s">
        <v>41</v>
      </c>
      <c r="F3" s="59">
        <v>0.12997999999999998</v>
      </c>
      <c r="G3" s="52">
        <v>20</v>
      </c>
      <c r="H3" s="59">
        <v>0.13236000000000001</v>
      </c>
      <c r="I3" s="52">
        <v>20</v>
      </c>
      <c r="J3" s="59">
        <v>2.380000000000024E-3</v>
      </c>
      <c r="K3" s="66" t="s">
        <v>156</v>
      </c>
    </row>
    <row r="4" spans="1:19" x14ac:dyDescent="0.25">
      <c r="A4" s="56" t="s">
        <v>58</v>
      </c>
      <c r="B4" s="57">
        <v>6</v>
      </c>
      <c r="C4" s="57">
        <v>155.49</v>
      </c>
      <c r="D4" s="57"/>
      <c r="E4" s="64" t="s">
        <v>39</v>
      </c>
      <c r="F4" s="59">
        <v>0.02</v>
      </c>
      <c r="G4" s="52">
        <v>2</v>
      </c>
      <c r="H4" s="59">
        <v>9.1900000000000003E-3</v>
      </c>
      <c r="I4" s="52">
        <v>2</v>
      </c>
      <c r="J4" s="59">
        <v>-1.081E-2</v>
      </c>
      <c r="K4" s="66" t="s">
        <v>157</v>
      </c>
    </row>
    <row r="5" spans="1:19" x14ac:dyDescent="0.25">
      <c r="A5" s="56" t="s">
        <v>45</v>
      </c>
      <c r="B5" s="57">
        <v>7</v>
      </c>
      <c r="C5" s="57">
        <v>172.61</v>
      </c>
      <c r="D5" s="57"/>
      <c r="E5" s="64" t="s">
        <v>47</v>
      </c>
      <c r="F5" s="59">
        <v>0.23646999999999996</v>
      </c>
      <c r="G5" s="52">
        <v>16</v>
      </c>
      <c r="H5" s="59">
        <v>2.1010000000000001E-2</v>
      </c>
      <c r="I5" s="52">
        <v>4</v>
      </c>
      <c r="J5" s="59">
        <v>-0.21545999999999998</v>
      </c>
      <c r="K5" s="66" t="s">
        <v>157</v>
      </c>
    </row>
    <row r="6" spans="1:19" x14ac:dyDescent="0.25">
      <c r="A6" s="56" t="s">
        <v>52</v>
      </c>
      <c r="B6" s="57">
        <v>1</v>
      </c>
      <c r="C6" s="57">
        <v>-6.18</v>
      </c>
      <c r="D6" s="57"/>
      <c r="E6" s="64" t="s">
        <v>58</v>
      </c>
      <c r="F6" s="59">
        <v>0</v>
      </c>
      <c r="G6" s="52">
        <v>0</v>
      </c>
      <c r="H6" s="59">
        <v>6.1590000000000006E-2</v>
      </c>
      <c r="I6" s="52">
        <v>3</v>
      </c>
      <c r="J6" s="59">
        <v>6.1590000000000006E-2</v>
      </c>
      <c r="K6" s="66" t="s">
        <v>255</v>
      </c>
    </row>
    <row r="7" spans="1:19" x14ac:dyDescent="0.25">
      <c r="A7" s="56" t="s">
        <v>49</v>
      </c>
      <c r="B7" s="57">
        <v>1</v>
      </c>
      <c r="C7" s="57">
        <v>12.13</v>
      </c>
      <c r="D7" s="57"/>
      <c r="E7" s="64" t="s">
        <v>45</v>
      </c>
      <c r="F7" s="59">
        <v>6.8049999999999999E-2</v>
      </c>
      <c r="G7" s="52">
        <v>3</v>
      </c>
      <c r="H7" s="59">
        <v>0.24348</v>
      </c>
      <c r="I7" s="52">
        <v>8</v>
      </c>
      <c r="J7" s="59">
        <v>0.17543</v>
      </c>
      <c r="K7" s="66" t="s">
        <v>159</v>
      </c>
    </row>
    <row r="8" spans="1:19" x14ac:dyDescent="0.25">
      <c r="A8" s="56" t="s">
        <v>222</v>
      </c>
      <c r="B8" s="57">
        <v>2</v>
      </c>
      <c r="C8" s="57">
        <v>28.91</v>
      </c>
      <c r="D8" s="57"/>
      <c r="E8" s="64" t="s">
        <v>56</v>
      </c>
      <c r="F8" s="59">
        <v>0.34823999999999994</v>
      </c>
      <c r="G8" s="52">
        <v>6</v>
      </c>
      <c r="H8" s="59">
        <v>0.10259</v>
      </c>
      <c r="I8" s="52">
        <v>10</v>
      </c>
      <c r="J8" s="59">
        <v>-0.24564999999999995</v>
      </c>
      <c r="K8" s="66" t="s">
        <v>161</v>
      </c>
    </row>
    <row r="9" spans="1:19" x14ac:dyDescent="0.25">
      <c r="A9" s="56" t="s">
        <v>43</v>
      </c>
      <c r="B9" s="57">
        <v>1</v>
      </c>
      <c r="C9" s="57">
        <v>11.06</v>
      </c>
      <c r="D9" s="57"/>
      <c r="E9" s="64" t="s">
        <v>54</v>
      </c>
      <c r="F9" s="59">
        <v>5.0019999999999995E-2</v>
      </c>
      <c r="G9" s="52">
        <v>3</v>
      </c>
      <c r="H9" s="59">
        <v>3.5840000000000004E-2</v>
      </c>
      <c r="I9" s="52">
        <v>4</v>
      </c>
      <c r="J9" s="59">
        <v>-1.4179999999999993E-2</v>
      </c>
      <c r="K9" s="66" t="s">
        <v>160</v>
      </c>
    </row>
    <row r="10" spans="1:19" x14ac:dyDescent="0.25">
      <c r="A10" s="56" t="s">
        <v>12</v>
      </c>
      <c r="B10" s="57">
        <v>23</v>
      </c>
      <c r="C10" s="57">
        <v>496.35</v>
      </c>
      <c r="D10" s="57"/>
      <c r="E10" s="64" t="s">
        <v>52</v>
      </c>
      <c r="F10" s="59">
        <v>0.11669999999999998</v>
      </c>
      <c r="G10" s="52">
        <v>18</v>
      </c>
      <c r="H10" s="59">
        <v>7.0940000000000003E-2</v>
      </c>
      <c r="I10" s="52">
        <v>16</v>
      </c>
      <c r="J10" s="59">
        <v>-4.5759999999999988E-2</v>
      </c>
      <c r="K10" s="66" t="s">
        <v>162</v>
      </c>
    </row>
    <row r="11" spans="1:19" x14ac:dyDescent="0.25">
      <c r="D11" s="57"/>
      <c r="E11" s="64" t="s">
        <v>49</v>
      </c>
      <c r="F11" s="59">
        <v>2.6800000000000001E-3</v>
      </c>
      <c r="G11" s="52">
        <v>1</v>
      </c>
      <c r="H11" s="59">
        <v>4.4999999999999999E-4</v>
      </c>
      <c r="I11" s="52">
        <v>1</v>
      </c>
      <c r="J11" s="59">
        <v>-2.2299999999999998E-3</v>
      </c>
      <c r="K11" s="66" t="s">
        <v>163</v>
      </c>
    </row>
    <row r="12" spans="1:19" x14ac:dyDescent="0.25">
      <c r="D12" s="57"/>
      <c r="E12" s="64" t="s">
        <v>61</v>
      </c>
      <c r="F12" s="59">
        <v>0</v>
      </c>
      <c r="G12" s="52">
        <v>0</v>
      </c>
      <c r="H12" s="59">
        <v>1.1100000000000001E-3</v>
      </c>
      <c r="I12" s="52">
        <v>2</v>
      </c>
      <c r="J12" s="59">
        <v>1.1100000000000001E-3</v>
      </c>
      <c r="K12" s="66" t="s">
        <v>164</v>
      </c>
    </row>
    <row r="13" spans="1:19" x14ac:dyDescent="0.25">
      <c r="D13" s="57"/>
      <c r="E13" s="67" t="s">
        <v>43</v>
      </c>
      <c r="F13" s="59">
        <v>1E-3</v>
      </c>
      <c r="G13" s="52">
        <v>4.3600000000000003</v>
      </c>
      <c r="H13" s="59">
        <v>0</v>
      </c>
      <c r="I13" s="52">
        <v>0</v>
      </c>
      <c r="J13" s="59">
        <v>-1E-3</v>
      </c>
      <c r="K13" s="66" t="s">
        <v>155</v>
      </c>
    </row>
    <row r="14" spans="1:19" x14ac:dyDescent="0.25">
      <c r="E14" s="67" t="s">
        <v>37</v>
      </c>
      <c r="F14" s="59">
        <v>1E-3</v>
      </c>
      <c r="G14" s="52">
        <v>29.21</v>
      </c>
      <c r="H14" s="59">
        <v>0</v>
      </c>
      <c r="I14" s="52">
        <v>0</v>
      </c>
      <c r="J14" s="59">
        <v>-1E-3</v>
      </c>
      <c r="K14" s="66" t="s">
        <v>155</v>
      </c>
    </row>
    <row r="15" spans="1:19" x14ac:dyDescent="0.25">
      <c r="B15" s="55" t="s">
        <v>149</v>
      </c>
      <c r="E15" s="67" t="s">
        <v>59</v>
      </c>
      <c r="F15" s="59">
        <v>7.0000000000000001E-3</v>
      </c>
      <c r="G15" s="52">
        <v>37.480000000000004</v>
      </c>
      <c r="H15" s="59">
        <v>0</v>
      </c>
      <c r="I15" s="52">
        <v>0</v>
      </c>
      <c r="J15" s="59">
        <v>-7.0000000000000001E-3</v>
      </c>
      <c r="K15" s="66" t="s">
        <v>155</v>
      </c>
    </row>
    <row r="16" spans="1:19" ht="15.75" thickBot="1" x14ac:dyDescent="0.3">
      <c r="A16" s="55" t="s">
        <v>147</v>
      </c>
      <c r="B16" t="s">
        <v>148</v>
      </c>
      <c r="C16" t="s">
        <v>150</v>
      </c>
      <c r="E16" s="68"/>
      <c r="F16" s="69">
        <v>1.0431900000000001</v>
      </c>
      <c r="G16" s="70">
        <v>78</v>
      </c>
      <c r="H16" s="69">
        <v>0.67855999999999994</v>
      </c>
      <c r="I16" s="70">
        <v>70</v>
      </c>
      <c r="J16" s="69">
        <v>-0.36463000000000012</v>
      </c>
      <c r="K16" s="71"/>
      <c r="P16" s="152" t="s">
        <v>5</v>
      </c>
      <c r="Q16" s="152"/>
      <c r="R16" s="152" t="s">
        <v>0</v>
      </c>
      <c r="S16" s="152"/>
    </row>
    <row r="17" spans="1:20" x14ac:dyDescent="0.25">
      <c r="A17" s="56" t="s">
        <v>41</v>
      </c>
      <c r="B17" s="57">
        <v>20</v>
      </c>
      <c r="C17" s="57">
        <v>129.97999999999999</v>
      </c>
      <c r="D17" s="57"/>
      <c r="J17" s="40"/>
      <c r="P17">
        <v>132.36000000000001</v>
      </c>
      <c r="Q17">
        <v>20</v>
      </c>
      <c r="R17">
        <v>129.97999999999999</v>
      </c>
      <c r="S17">
        <v>20</v>
      </c>
      <c r="T17">
        <f>P17-R17</f>
        <v>2.3800000000000239</v>
      </c>
    </row>
    <row r="18" spans="1:20" x14ac:dyDescent="0.25">
      <c r="A18" s="56" t="s">
        <v>39</v>
      </c>
      <c r="B18" s="57">
        <v>2</v>
      </c>
      <c r="C18" s="57">
        <v>20</v>
      </c>
      <c r="D18" s="57"/>
      <c r="P18">
        <v>9.19</v>
      </c>
      <c r="Q18">
        <v>2</v>
      </c>
      <c r="R18">
        <v>20</v>
      </c>
      <c r="S18">
        <v>2</v>
      </c>
      <c r="T18">
        <f t="shared" ref="T18:T28" si="0">P18-R18</f>
        <v>-10.81</v>
      </c>
    </row>
    <row r="19" spans="1:20" x14ac:dyDescent="0.25">
      <c r="A19" s="56" t="s">
        <v>43</v>
      </c>
      <c r="B19" s="57">
        <v>1</v>
      </c>
      <c r="C19" s="57">
        <v>4.3600000000000003</v>
      </c>
      <c r="D19" s="57"/>
      <c r="J19" s="60"/>
      <c r="P19">
        <v>0</v>
      </c>
      <c r="Q19">
        <v>0</v>
      </c>
      <c r="R19">
        <v>4.3600000000000003</v>
      </c>
      <c r="S19">
        <v>1</v>
      </c>
      <c r="T19">
        <f t="shared" si="0"/>
        <v>-4.3600000000000003</v>
      </c>
    </row>
    <row r="20" spans="1:20" x14ac:dyDescent="0.25">
      <c r="A20" s="56" t="s">
        <v>37</v>
      </c>
      <c r="B20" s="57">
        <v>1</v>
      </c>
      <c r="C20" s="57">
        <v>29.21</v>
      </c>
      <c r="D20" s="57"/>
      <c r="P20">
        <v>0</v>
      </c>
      <c r="Q20">
        <v>0</v>
      </c>
      <c r="R20">
        <v>29.21</v>
      </c>
      <c r="S20">
        <v>1</v>
      </c>
      <c r="T20">
        <f t="shared" si="0"/>
        <v>-29.21</v>
      </c>
    </row>
    <row r="21" spans="1:20" x14ac:dyDescent="0.25">
      <c r="A21" s="56" t="s">
        <v>47</v>
      </c>
      <c r="B21" s="57">
        <v>16</v>
      </c>
      <c r="C21" s="57">
        <v>236.46999999999997</v>
      </c>
      <c r="D21" s="57"/>
      <c r="P21">
        <v>21.01</v>
      </c>
      <c r="Q21">
        <v>4</v>
      </c>
      <c r="R21">
        <v>236.46999999999997</v>
      </c>
      <c r="S21">
        <v>16</v>
      </c>
      <c r="T21">
        <f t="shared" si="0"/>
        <v>-215.45999999999998</v>
      </c>
    </row>
    <row r="22" spans="1:20" x14ac:dyDescent="0.25">
      <c r="A22" s="56" t="s">
        <v>45</v>
      </c>
      <c r="B22" s="57">
        <v>3</v>
      </c>
      <c r="C22" s="57">
        <v>68.05</v>
      </c>
      <c r="D22" s="57"/>
      <c r="P22">
        <v>243.48</v>
      </c>
      <c r="Q22">
        <v>8</v>
      </c>
      <c r="R22">
        <v>68.05</v>
      </c>
      <c r="S22">
        <v>3</v>
      </c>
      <c r="T22">
        <f t="shared" si="0"/>
        <v>175.43</v>
      </c>
    </row>
    <row r="23" spans="1:20" x14ac:dyDescent="0.25">
      <c r="A23" s="56" t="s">
        <v>56</v>
      </c>
      <c r="B23" s="57">
        <v>6</v>
      </c>
      <c r="C23" s="57">
        <v>348.23999999999995</v>
      </c>
      <c r="D23" s="57"/>
      <c r="P23">
        <v>102.59</v>
      </c>
      <c r="Q23">
        <v>10</v>
      </c>
      <c r="R23">
        <v>348.23999999999995</v>
      </c>
      <c r="S23">
        <v>6</v>
      </c>
      <c r="T23">
        <f t="shared" si="0"/>
        <v>-245.64999999999995</v>
      </c>
    </row>
    <row r="24" spans="1:20" x14ac:dyDescent="0.25">
      <c r="A24" s="56" t="s">
        <v>54</v>
      </c>
      <c r="B24" s="57">
        <v>3</v>
      </c>
      <c r="C24" s="57">
        <v>50.019999999999996</v>
      </c>
      <c r="D24" s="57"/>
      <c r="P24">
        <v>35.840000000000003</v>
      </c>
      <c r="Q24">
        <v>4</v>
      </c>
      <c r="R24">
        <v>50.019999999999996</v>
      </c>
      <c r="S24">
        <v>3</v>
      </c>
      <c r="T24">
        <f t="shared" si="0"/>
        <v>-14.179999999999993</v>
      </c>
    </row>
    <row r="25" spans="1:20" x14ac:dyDescent="0.25">
      <c r="A25" s="56" t="s">
        <v>52</v>
      </c>
      <c r="B25" s="57">
        <v>18</v>
      </c>
      <c r="C25" s="57">
        <v>116.69999999999999</v>
      </c>
      <c r="D25" s="57"/>
      <c r="P25">
        <v>70.94</v>
      </c>
      <c r="Q25">
        <v>16</v>
      </c>
      <c r="R25">
        <v>116.69999999999999</v>
      </c>
      <c r="S25">
        <v>18</v>
      </c>
      <c r="T25">
        <f t="shared" si="0"/>
        <v>-45.759999999999991</v>
      </c>
    </row>
    <row r="26" spans="1:20" x14ac:dyDescent="0.25">
      <c r="A26" s="56" t="s">
        <v>59</v>
      </c>
      <c r="B26" s="57">
        <v>7</v>
      </c>
      <c r="C26" s="57">
        <v>37.480000000000004</v>
      </c>
      <c r="D26" s="57"/>
      <c r="P26">
        <v>0</v>
      </c>
      <c r="Q26">
        <v>0</v>
      </c>
      <c r="R26">
        <v>37.480000000000004</v>
      </c>
      <c r="S26">
        <v>7</v>
      </c>
      <c r="T26">
        <f t="shared" si="0"/>
        <v>-37.480000000000004</v>
      </c>
    </row>
    <row r="27" spans="1:20" x14ac:dyDescent="0.25">
      <c r="A27" s="56" t="s">
        <v>49</v>
      </c>
      <c r="B27" s="57">
        <v>1</v>
      </c>
      <c r="C27" s="57">
        <v>2.68</v>
      </c>
      <c r="D27" s="57"/>
      <c r="P27">
        <v>0.45</v>
      </c>
      <c r="Q27">
        <v>1</v>
      </c>
      <c r="R27">
        <v>2.68</v>
      </c>
      <c r="S27">
        <v>1</v>
      </c>
      <c r="T27">
        <f t="shared" si="0"/>
        <v>-2.23</v>
      </c>
    </row>
    <row r="28" spans="1:20" x14ac:dyDescent="0.25">
      <c r="A28" s="56" t="s">
        <v>12</v>
      </c>
      <c r="B28" s="57">
        <v>78</v>
      </c>
      <c r="C28" s="57">
        <v>1043.19</v>
      </c>
      <c r="D28" s="57"/>
      <c r="P28">
        <v>678.56000000000006</v>
      </c>
      <c r="Q28">
        <v>70</v>
      </c>
      <c r="R28">
        <v>1043.19</v>
      </c>
      <c r="S28">
        <v>78</v>
      </c>
      <c r="T28">
        <f t="shared" si="0"/>
        <v>-364.63</v>
      </c>
    </row>
  </sheetData>
  <mergeCells count="4">
    <mergeCell ref="P16:Q16"/>
    <mergeCell ref="R16:S16"/>
    <mergeCell ref="F1:G1"/>
    <mergeCell ref="H1:I1"/>
  </mergeCells>
  <conditionalFormatting sqref="T17:T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7 J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D8" sqref="D8"/>
    </sheetView>
  </sheetViews>
  <sheetFormatPr defaultRowHeight="15" x14ac:dyDescent="0.25"/>
  <cols>
    <col min="3" max="3" width="20.85546875" bestFit="1" customWidth="1"/>
  </cols>
  <sheetData>
    <row r="2" spans="2:5" ht="36" x14ac:dyDescent="0.25">
      <c r="D2" s="47" t="s">
        <v>94</v>
      </c>
      <c r="E2" s="47" t="s">
        <v>95</v>
      </c>
    </row>
    <row r="3" spans="2:5" x14ac:dyDescent="0.25">
      <c r="B3" s="83" t="s">
        <v>135</v>
      </c>
      <c r="C3" s="84" t="s">
        <v>30</v>
      </c>
      <c r="D3" s="46">
        <v>1</v>
      </c>
      <c r="E3" s="46">
        <v>0</v>
      </c>
    </row>
    <row r="4" spans="2:5" x14ac:dyDescent="0.25">
      <c r="B4" s="83" t="s">
        <v>134</v>
      </c>
      <c r="C4" s="84" t="s">
        <v>31</v>
      </c>
      <c r="D4" s="46">
        <v>0.5</v>
      </c>
      <c r="E4" s="46">
        <v>0.5</v>
      </c>
    </row>
    <row r="5" spans="2:5" x14ac:dyDescent="0.25">
      <c r="B5" s="83" t="s">
        <v>138</v>
      </c>
      <c r="C5" s="84" t="s">
        <v>31</v>
      </c>
      <c r="D5" s="46">
        <v>0.5</v>
      </c>
      <c r="E5" s="46">
        <v>0.5</v>
      </c>
    </row>
    <row r="6" spans="2:5" x14ac:dyDescent="0.25">
      <c r="B6" s="83" t="s">
        <v>140</v>
      </c>
      <c r="C6" s="84" t="s">
        <v>31</v>
      </c>
      <c r="D6" s="46">
        <v>0.5</v>
      </c>
      <c r="E6" s="46">
        <v>0.5</v>
      </c>
    </row>
    <row r="7" spans="2:5" x14ac:dyDescent="0.25">
      <c r="B7" s="83" t="s">
        <v>212</v>
      </c>
      <c r="C7" s="84" t="s">
        <v>33</v>
      </c>
      <c r="D7" s="46">
        <v>0</v>
      </c>
      <c r="E7" s="46">
        <v>1</v>
      </c>
    </row>
    <row r="8" spans="2:5" x14ac:dyDescent="0.25">
      <c r="B8" s="83" t="s">
        <v>133</v>
      </c>
      <c r="C8" s="84" t="s">
        <v>32</v>
      </c>
      <c r="D8" s="46">
        <v>0.25</v>
      </c>
      <c r="E8" s="46">
        <v>0.75</v>
      </c>
    </row>
    <row r="9" spans="2:5" x14ac:dyDescent="0.25">
      <c r="B9" t="s">
        <v>13</v>
      </c>
      <c r="C9" s="84" t="s">
        <v>31</v>
      </c>
      <c r="D9" s="46">
        <v>0.5</v>
      </c>
      <c r="E9" s="46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63"/>
  <sheetViews>
    <sheetView showGridLines="0" topLeftCell="B1" zoomScale="84" zoomScaleNormal="84" workbookViewId="0">
      <selection activeCell="B1" sqref="B1"/>
    </sheetView>
  </sheetViews>
  <sheetFormatPr defaultRowHeight="15" outlineLevelRow="1" outlineLevelCol="1" x14ac:dyDescent="0.25"/>
  <cols>
    <col min="1" max="1" width="20.85546875" hidden="1" customWidth="1" outlineLevel="1"/>
    <col min="2" max="2" width="3.85546875" customWidth="1" collapsed="1"/>
    <col min="3" max="3" width="16.28515625" bestFit="1" customWidth="1"/>
    <col min="4" max="4" width="9.85546875" bestFit="1" customWidth="1"/>
    <col min="5" max="5" width="9.42578125" bestFit="1" customWidth="1"/>
    <col min="6" max="6" width="1.140625" customWidth="1"/>
    <col min="7" max="7" width="9.85546875" bestFit="1" customWidth="1"/>
    <col min="8" max="8" width="9" customWidth="1"/>
    <col min="9" max="9" width="0.5703125" customWidth="1"/>
    <col min="10" max="10" width="9.85546875" hidden="1" customWidth="1" outlineLevel="1"/>
    <col min="11" max="11" width="8" hidden="1" customWidth="1" outlineLevel="1"/>
    <col min="12" max="12" width="9.85546875" hidden="1" customWidth="1" outlineLevel="1"/>
    <col min="13" max="13" width="8" hidden="1" customWidth="1" outlineLevel="1"/>
    <col min="14" max="14" width="10.5703125" hidden="1" customWidth="1" outlineLevel="1"/>
    <col min="15" max="15" width="8" hidden="1" customWidth="1" outlineLevel="1"/>
    <col min="16" max="16" width="10" hidden="1" customWidth="1" outlineLevel="1"/>
    <col min="17" max="17" width="8" hidden="1" customWidth="1" outlineLevel="1"/>
    <col min="18" max="18" width="9.28515625" hidden="1" customWidth="1" outlineLevel="1"/>
    <col min="19" max="19" width="8" hidden="1" customWidth="1" outlineLevel="1"/>
    <col min="20" max="20" width="9.85546875" bestFit="1" customWidth="1" collapsed="1"/>
    <col min="21" max="21" width="8" bestFit="1" customWidth="1"/>
    <col min="22" max="22" width="9.85546875" bestFit="1" customWidth="1"/>
    <col min="23" max="23" width="8" bestFit="1" customWidth="1"/>
    <col min="24" max="24" width="9.85546875" bestFit="1" customWidth="1"/>
    <col min="25" max="25" width="8" bestFit="1" customWidth="1"/>
    <col min="26" max="26" width="9.28515625" style="135" bestFit="1" customWidth="1"/>
    <col min="27" max="27" width="8" style="135" customWidth="1"/>
    <col min="28" max="28" width="9.85546875" bestFit="1" customWidth="1"/>
    <col min="29" max="29" width="8" bestFit="1" customWidth="1"/>
    <col min="30" max="30" width="1.28515625" customWidth="1"/>
    <col min="31" max="31" width="9.85546875" bestFit="1" customWidth="1"/>
    <col min="32" max="32" width="8" bestFit="1" customWidth="1"/>
    <col min="33" max="33" width="7.28515625" bestFit="1" customWidth="1"/>
    <col min="34" max="34" width="17.85546875" hidden="1" customWidth="1" outlineLevel="1"/>
    <col min="35" max="35" width="6" hidden="1" customWidth="1" outlineLevel="1"/>
    <col min="36" max="38" width="5.85546875" hidden="1" customWidth="1" outlineLevel="1"/>
    <col min="39" max="39" width="6" hidden="1" customWidth="1" outlineLevel="1"/>
    <col min="40" max="40" width="12" hidden="1" customWidth="1" outlineLevel="1"/>
    <col min="41" max="41" width="10.140625" hidden="1" customWidth="1" outlineLevel="1"/>
    <col min="42" max="42" width="13.140625" hidden="1" customWidth="1" outlineLevel="1"/>
    <col min="43" max="43" width="7.42578125" hidden="1" customWidth="1" outlineLevel="1"/>
    <col min="44" max="44" width="9.140625" hidden="1" customWidth="1" outlineLevel="1"/>
    <col min="45" max="45" width="16.140625" customWidth="1" collapsed="1"/>
    <col min="46" max="46" width="8.5703125" bestFit="1" customWidth="1"/>
    <col min="47" max="47" width="12.140625" bestFit="1" customWidth="1"/>
    <col min="48" max="48" width="6.7109375" bestFit="1" customWidth="1"/>
    <col min="49" max="49" width="13.85546875" customWidth="1"/>
    <col min="50" max="50" width="12.140625" bestFit="1" customWidth="1"/>
    <col min="51" max="51" width="7.28515625" bestFit="1" customWidth="1"/>
    <col min="52" max="52" width="6.7109375" bestFit="1" customWidth="1"/>
    <col min="53" max="53" width="2.42578125" customWidth="1"/>
    <col min="54" max="54" width="7.42578125" bestFit="1" customWidth="1"/>
    <col min="55" max="55" width="8.42578125" hidden="1" customWidth="1" outlineLevel="1"/>
    <col min="56" max="56" width="0" hidden="1" customWidth="1" outlineLevel="1"/>
    <col min="57" max="57" width="9.140625" collapsed="1"/>
  </cols>
  <sheetData>
    <row r="1" spans="1:44" ht="15.75" thickBot="1" x14ac:dyDescent="0.3">
      <c r="R1" s="1"/>
      <c r="S1" s="1"/>
      <c r="T1" s="1"/>
      <c r="U1" s="1"/>
      <c r="V1" s="1"/>
      <c r="W1" s="1"/>
      <c r="X1" s="1"/>
      <c r="Y1" s="1"/>
      <c r="Z1" s="1"/>
      <c r="AA1" s="1"/>
      <c r="AB1" s="2"/>
    </row>
    <row r="2" spans="1:44" ht="15.75" thickTop="1" x14ac:dyDescent="0.25">
      <c r="I2" s="6"/>
      <c r="J2" s="3"/>
      <c r="K2" s="4"/>
      <c r="L2" s="3"/>
      <c r="M2" s="4"/>
      <c r="N2" s="3"/>
      <c r="O2" s="4"/>
      <c r="P2" s="3"/>
      <c r="Q2" s="4"/>
      <c r="R2" s="5"/>
      <c r="S2" s="5"/>
      <c r="T2" s="3"/>
      <c r="U2" s="6"/>
      <c r="V2" s="5"/>
      <c r="W2" s="6"/>
      <c r="X2" s="5"/>
      <c r="Y2" s="6"/>
      <c r="Z2" s="5"/>
      <c r="AA2" s="6"/>
    </row>
    <row r="3" spans="1:44" ht="54.75" customHeight="1" x14ac:dyDescent="0.25">
      <c r="D3" s="149" t="s">
        <v>279</v>
      </c>
      <c r="E3" s="149"/>
      <c r="G3" s="149" t="s">
        <v>1</v>
      </c>
      <c r="H3" s="149"/>
      <c r="J3" s="144" t="s">
        <v>2</v>
      </c>
      <c r="K3" s="145"/>
      <c r="L3" s="144" t="s">
        <v>3</v>
      </c>
      <c r="M3" s="145"/>
      <c r="N3" s="144" t="s">
        <v>183</v>
      </c>
      <c r="O3" s="145"/>
      <c r="P3" s="144" t="s">
        <v>211</v>
      </c>
      <c r="Q3" s="145"/>
      <c r="R3" s="144" t="s">
        <v>224</v>
      </c>
      <c r="S3" s="145"/>
      <c r="T3" s="144" t="s">
        <v>254</v>
      </c>
      <c r="U3" s="145"/>
      <c r="V3" s="144" t="s">
        <v>263</v>
      </c>
      <c r="W3" s="145"/>
      <c r="X3" s="144" t="s">
        <v>278</v>
      </c>
      <c r="Y3" s="145"/>
      <c r="Z3" s="144" t="s">
        <v>467</v>
      </c>
      <c r="AA3" s="145"/>
      <c r="AB3" s="148" t="s">
        <v>4</v>
      </c>
      <c r="AC3" s="148"/>
      <c r="AE3" s="149" t="s">
        <v>468</v>
      </c>
      <c r="AF3" s="149"/>
    </row>
    <row r="4" spans="1:44" ht="49.5" customHeight="1" thickBot="1" x14ac:dyDescent="0.3">
      <c r="C4" s="7" t="s">
        <v>6</v>
      </c>
      <c r="D4" s="8" t="s">
        <v>7</v>
      </c>
      <c r="E4" s="9" t="s">
        <v>8</v>
      </c>
      <c r="G4" s="8" t="s">
        <v>7</v>
      </c>
      <c r="H4" s="9" t="s">
        <v>8</v>
      </c>
      <c r="J4" s="10" t="s">
        <v>7</v>
      </c>
      <c r="K4" s="11" t="s">
        <v>8</v>
      </c>
      <c r="L4" s="10" t="s">
        <v>7</v>
      </c>
      <c r="M4" s="11" t="s">
        <v>8</v>
      </c>
      <c r="N4" s="10" t="s">
        <v>7</v>
      </c>
      <c r="O4" s="11" t="s">
        <v>8</v>
      </c>
      <c r="P4" s="10" t="s">
        <v>7</v>
      </c>
      <c r="Q4" s="11" t="s">
        <v>8</v>
      </c>
      <c r="R4" s="10" t="s">
        <v>7</v>
      </c>
      <c r="S4" s="11" t="s">
        <v>8</v>
      </c>
      <c r="T4" s="10" t="s">
        <v>7</v>
      </c>
      <c r="U4" s="11" t="s">
        <v>8</v>
      </c>
      <c r="V4" s="10" t="s">
        <v>7</v>
      </c>
      <c r="W4" s="11" t="s">
        <v>8</v>
      </c>
      <c r="X4" s="10" t="s">
        <v>7</v>
      </c>
      <c r="Y4" s="11" t="s">
        <v>8</v>
      </c>
      <c r="Z4" s="10" t="s">
        <v>7</v>
      </c>
      <c r="AA4" s="11" t="s">
        <v>8</v>
      </c>
      <c r="AB4" s="8" t="s">
        <v>7</v>
      </c>
      <c r="AC4" s="9" t="s">
        <v>8</v>
      </c>
      <c r="AE4" s="8" t="s">
        <v>7</v>
      </c>
      <c r="AF4" s="9" t="s">
        <v>8</v>
      </c>
      <c r="AH4" s="8" t="s">
        <v>6</v>
      </c>
      <c r="AI4" s="12"/>
      <c r="AJ4" s="12"/>
      <c r="AK4" s="12"/>
      <c r="AL4" s="12"/>
      <c r="AM4" s="12"/>
      <c r="AN4" s="8" t="s">
        <v>9</v>
      </c>
      <c r="AO4" s="8" t="s">
        <v>10</v>
      </c>
      <c r="AP4" s="8" t="s">
        <v>11</v>
      </c>
      <c r="AQ4" s="9" t="s">
        <v>12</v>
      </c>
    </row>
    <row r="5" spans="1:44" ht="15.75" thickBot="1" x14ac:dyDescent="0.3">
      <c r="I5" s="6"/>
      <c r="J5" s="13"/>
      <c r="K5" s="6"/>
      <c r="L5" s="13"/>
      <c r="M5" s="6"/>
      <c r="N5" s="13"/>
      <c r="O5" s="6"/>
      <c r="P5" s="13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H5" s="7"/>
      <c r="AI5" s="14">
        <v>1</v>
      </c>
      <c r="AJ5" s="14">
        <v>2</v>
      </c>
      <c r="AK5" s="14">
        <v>3</v>
      </c>
      <c r="AL5" s="14">
        <v>4</v>
      </c>
      <c r="AM5" s="14">
        <v>5</v>
      </c>
      <c r="AN5" s="15"/>
      <c r="AO5" s="16">
        <v>8</v>
      </c>
      <c r="AP5" s="16" t="s">
        <v>13</v>
      </c>
      <c r="AQ5" s="17"/>
    </row>
    <row r="6" spans="1:44" x14ac:dyDescent="0.25">
      <c r="A6" s="18" t="s">
        <v>14</v>
      </c>
      <c r="C6" s="19" t="s">
        <v>14</v>
      </c>
      <c r="D6" s="20">
        <f>COUNTIF(DATA_PRIOR!$E:$E,A6)</f>
        <v>15</v>
      </c>
      <c r="E6" s="21">
        <f>SUMIF(DATA_PRIOR!$E:$E,A6,DATA_PRIOR!$V:$V)</f>
        <v>250.79</v>
      </c>
      <c r="G6" s="20">
        <f t="shared" ref="G6:G17" si="0">+L6-D6+J6+N6+P6+R6+T6+V6+X6+Z6</f>
        <v>-12</v>
      </c>
      <c r="H6" s="21">
        <f t="shared" ref="H6:H17" si="1">+M6-E6+K6+O6+Q6+S6+U6+W6+Y6+AA6</f>
        <v>-239.48999999999998</v>
      </c>
      <c r="J6" s="22">
        <f>COUNTIFS(DATA_CURRENT!$B:$B,"Unresolved (Aug)",DATA_CURRENT!$E:$E,$A6)</f>
        <v>0</v>
      </c>
      <c r="K6" s="23">
        <f>SUMIFS(DATA_CURRENT!$V:$V,DATA_CURRENT!$E:$E,$A6,DATA_CURRENT!$B:$B,"Unresolved (Aug)")</f>
        <v>0</v>
      </c>
      <c r="L6" s="22">
        <f>COUNTIFS(DATA_CURRENT!$B:$B,"Unresolved (Oct)",DATA_CURRENT!$E:$E,$A6)</f>
        <v>0</v>
      </c>
      <c r="M6" s="23">
        <f>SUMIFS(DATA_CURRENT!$V:$V,DATA_CURRENT!$E:$E,$A6,DATA_CURRENT!$B:$B,"Unresolved (Oct)")</f>
        <v>0</v>
      </c>
      <c r="N6" s="22">
        <f>COUNTIFS(DATA_CURRENT!$B:$B,"Unresolved (Nov)",DATA_CURRENT!$E:$E,$A6)</f>
        <v>0</v>
      </c>
      <c r="O6" s="23">
        <f>SUMIFS(DATA_CURRENT!$V:$V,DATA_CURRENT!$E:$E,$A6,DATA_CURRENT!$B:$B,"Unresolved (Nov)")</f>
        <v>0</v>
      </c>
      <c r="P6" s="22">
        <f>COUNTIFS(DATA_CURRENT!$B:$B,"Unresolved (Dec)",DATA_CURRENT!$E:$E,$A6)</f>
        <v>0</v>
      </c>
      <c r="Q6" s="23">
        <f>SUMIFS(DATA_CURRENT!$V:$V,DATA_CURRENT!$E:$E,$A6,DATA_CURRENT!$B:$B,"Unresolved (Dec)")</f>
        <v>0</v>
      </c>
      <c r="R6" s="22">
        <f>COUNTIFS(DATA_CURRENT!$B:$B,"Unresolved (Jan)",DATA_CURRENT!$E:$E,$A6)</f>
        <v>0</v>
      </c>
      <c r="S6" s="23">
        <f>SUMIFS(DATA_CURRENT!$V:$V,DATA_CURRENT!$E:$E,$A6,DATA_CURRENT!$B:$B,"Unresolved (Jan)")</f>
        <v>0</v>
      </c>
      <c r="T6" s="22">
        <f>COUNTIFS(DATA_CURRENT!$B:$B,"Unresolved (Feb)",DATA_CURRENT!$E:$E,$A6)</f>
        <v>0</v>
      </c>
      <c r="U6" s="23">
        <f>SUMIFS(DATA_CURRENT!$V:$V,DATA_CURRENT!$E:$E,$A6,DATA_CURRENT!$B:$B,"Unresolved (Feb)")</f>
        <v>0</v>
      </c>
      <c r="V6" s="22">
        <f>COUNTIFS(DATA_CURRENT!$B:$B,"Unresolved (Mar)",DATA_CURRENT!$E:$E,$A6)</f>
        <v>0</v>
      </c>
      <c r="W6" s="23">
        <f>SUMIFS(DATA_CURRENT!$V:$V,DATA_CURRENT!$E:$E,$A6,DATA_CURRENT!$B:$B,"Unresolved (Mar)")</f>
        <v>0</v>
      </c>
      <c r="X6" s="22">
        <f>COUNTIFS(DATA_CURRENT!$B:$B,"Unresolved (Apr)",DATA_CURRENT!$E:$E,$A6)</f>
        <v>0</v>
      </c>
      <c r="Y6" s="23">
        <f>SUMIFS(DATA_CURRENT!$V:$V,DATA_CURRENT!$E:$E,$A6,DATA_CURRENT!$B:$B,"Unresolved (Apr)")</f>
        <v>0</v>
      </c>
      <c r="Z6" s="22">
        <f>COUNTIFS(DATA_CURRENT!$B:$B,"Unresolved (May)",DATA_CURRENT!$E:$E,$A6)</f>
        <v>3</v>
      </c>
      <c r="AA6" s="23">
        <f>SUMIFS(DATA_CURRENT!$V:$V,DATA_CURRENT!$E:$E,$A6,DATA_CURRENT!$B:$B,"Unresolved (May)")</f>
        <v>11.299999999999999</v>
      </c>
      <c r="AB6" s="20">
        <f>COUNTIFS(DATA_CURRENT!$B:$B,"Added",DATA_CURRENT!$E:$E,$A6)</f>
        <v>1</v>
      </c>
      <c r="AC6" s="21">
        <f>SUMIFS(DATA_CURRENT!$V:$V,DATA_CURRENT!$E:$E,$A6,DATA_CURRENT!$B:$B,"Added")</f>
        <v>18.84</v>
      </c>
      <c r="AE6" s="20">
        <f t="shared" ref="AE6:AE16" si="2">+AB6+L6+J6+N6+P6+R6+T6+V6+X6+Z6</f>
        <v>4</v>
      </c>
      <c r="AF6" s="21">
        <f t="shared" ref="AF6:AF16" si="3">+AC6+M6+K6+O6+Q6+S6+U6+W6+Y6+AA6</f>
        <v>30.14</v>
      </c>
      <c r="AH6" s="19" t="s">
        <v>14</v>
      </c>
      <c r="AI6" s="77">
        <f>SUMIFS(DATA_CURRENT!$V:$V,DATA_CURRENT!$E:$E,$A6,DATA_CURRENT!$X:$X,AI$5)</f>
        <v>1.04</v>
      </c>
      <c r="AJ6" s="77">
        <f>SUMIFS(DATA_CURRENT!$V:$V,DATA_CURRENT!$E:$E,$A6,DATA_CURRENT!$X:$X,AJ$5)</f>
        <v>0</v>
      </c>
      <c r="AK6" s="77">
        <f>SUMIFS(DATA_CURRENT!$V:$V,DATA_CURRENT!$E:$E,$A6,DATA_CURRENT!$X:$X,AK$5)</f>
        <v>0</v>
      </c>
      <c r="AL6" s="77">
        <f>SUMIFS(DATA_CURRENT!$V:$V,DATA_CURRENT!$E:$E,$A6,DATA_CURRENT!$X:$X,AL$5)</f>
        <v>18.84</v>
      </c>
      <c r="AM6" s="77">
        <f>SUMIFS(DATA_CURRENT!$V:$V,DATA_CURRENT!$E:$E,$A6,DATA_CURRENT!$X:$X,AM$5)</f>
        <v>0</v>
      </c>
      <c r="AN6" s="24">
        <f t="shared" ref="AN6:AN16" si="4">SUM(AI6:AM6)</f>
        <v>19.88</v>
      </c>
      <c r="AO6" s="25">
        <f>SUMIFS(DATA_CURRENT!$V:$V,DATA_CURRENT!$E:$E,$A6,DATA_CURRENT!$X:$X,AO$5)</f>
        <v>10.26</v>
      </c>
      <c r="AP6" s="26">
        <f>SUMIFS(DATA_CURRENT!$V:$V,DATA_CURRENT!$E:$E,$A6,DATA_CURRENT!$X:$X,AP$5)</f>
        <v>0</v>
      </c>
      <c r="AQ6" s="21">
        <f t="shared" ref="AQ6:AQ16" si="5">SUM(AN6:AP6)</f>
        <v>30.14</v>
      </c>
      <c r="AR6" s="27"/>
    </row>
    <row r="7" spans="1:44" x14ac:dyDescent="0.25">
      <c r="A7" s="18" t="s">
        <v>15</v>
      </c>
      <c r="C7" s="28" t="s">
        <v>16</v>
      </c>
      <c r="D7" s="29">
        <f>COUNTIF(DATA_PRIOR!$E:$E,A7)</f>
        <v>104</v>
      </c>
      <c r="E7" s="30">
        <f>SUMIF(DATA_PRIOR!$E:$E,A7,DATA_PRIOR!$V:$V)</f>
        <v>338.67000000000013</v>
      </c>
      <c r="G7" s="29">
        <f t="shared" si="0"/>
        <v>-40</v>
      </c>
      <c r="H7" s="30">
        <f t="shared" si="1"/>
        <v>-168.29000000000016</v>
      </c>
      <c r="J7" s="31">
        <f>COUNTIFS(DATA_CURRENT!$B:$B,"Unresolved (Aug)",DATA_CURRENT!$E:$E,$A7)</f>
        <v>1</v>
      </c>
      <c r="K7" s="32">
        <f>SUMIFS(DATA_CURRENT!$V:$V,DATA_CURRENT!$E:$E,$A7,DATA_CURRENT!$B:$B,"Unresolved (Aug)")</f>
        <v>-6.18</v>
      </c>
      <c r="L7" s="31">
        <f>COUNTIFS(DATA_CURRENT!$B:$B,"Unresolved (Oct)",DATA_CURRENT!$E:$E,$A7)</f>
        <v>0</v>
      </c>
      <c r="M7" s="32">
        <f>SUMIFS(DATA_CURRENT!$V:$V,DATA_CURRENT!$E:$E,$A7,DATA_CURRENT!$B:$B,"Unresolved (Oct)")</f>
        <v>0</v>
      </c>
      <c r="N7" s="31">
        <f>COUNTIFS(DATA_CURRENT!$B:$B,"Unresolved (Nov)",DATA_CURRENT!$E:$E,$A7)</f>
        <v>0</v>
      </c>
      <c r="O7" s="32">
        <f>SUMIFS(DATA_CURRENT!$V:$V,DATA_CURRENT!$E:$E,$A7,DATA_CURRENT!$B:$B,"Unresolved (Nov)")</f>
        <v>0</v>
      </c>
      <c r="P7" s="31">
        <f>COUNTIFS(DATA_CURRENT!$B:$B,"Unresolved (Dec)",DATA_CURRENT!$E:$E,$A7)</f>
        <v>0</v>
      </c>
      <c r="Q7" s="32">
        <f>SUMIFS(DATA_CURRENT!$V:$V,DATA_CURRENT!$E:$E,$A7,DATA_CURRENT!$B:$B,"Unresolved (Dec)")</f>
        <v>0</v>
      </c>
      <c r="R7" s="31">
        <f>COUNTIFS(DATA_CURRENT!$B:$B,"Unresolved (Jan)",DATA_CURRENT!$E:$E,$A7)</f>
        <v>5</v>
      </c>
      <c r="S7" s="32">
        <f>SUMIFS(DATA_CURRENT!$V:$V,DATA_CURRENT!$E:$E,$A7,DATA_CURRENT!$B:$B,"Unresolved (Jan)")</f>
        <v>16.62</v>
      </c>
      <c r="T7" s="31">
        <f>COUNTIFS(DATA_CURRENT!$B:$B,"Unresolved (Feb)",DATA_CURRENT!$E:$E,$A7)</f>
        <v>0</v>
      </c>
      <c r="U7" s="32">
        <f>SUMIFS(DATA_CURRENT!$V:$V,DATA_CURRENT!$E:$E,$A7,DATA_CURRENT!$B:$B,"Unresolved (Feb)")</f>
        <v>0</v>
      </c>
      <c r="V7" s="31">
        <f>COUNTIFS(DATA_CURRENT!$B:$B,"Unresolved (Mar)",DATA_CURRENT!$E:$E,$A7)</f>
        <v>1</v>
      </c>
      <c r="W7" s="32">
        <f>SUMIFS(DATA_CURRENT!$V:$V,DATA_CURRENT!$E:$E,$A7,DATA_CURRENT!$B:$B,"Unresolved (Mar)")</f>
        <v>28.6</v>
      </c>
      <c r="X7" s="31">
        <f>COUNTIFS(DATA_CURRENT!$B:$B,"Unresolved (Apr)",DATA_CURRENT!$E:$E,$A7)</f>
        <v>5</v>
      </c>
      <c r="Y7" s="32">
        <f>SUMIFS(DATA_CURRENT!$V:$V,DATA_CURRENT!$E:$E,$A7,DATA_CURRENT!$B:$B,"Unresolved (Apr)")</f>
        <v>6.08</v>
      </c>
      <c r="Z7" s="31">
        <f>COUNTIFS(DATA_CURRENT!$B:$B,"Unresolved (May)",DATA_CURRENT!$E:$E,$A7)</f>
        <v>52</v>
      </c>
      <c r="AA7" s="32">
        <f>SUMIFS(DATA_CURRENT!$V:$V,DATA_CURRENT!$E:$E,$A7,DATA_CURRENT!$B:$B,"Unresolved (May)")</f>
        <v>125.25999999999996</v>
      </c>
      <c r="AB7" s="29">
        <f>COUNTIFS(DATA_CURRENT!$B:$B,"Added",DATA_CURRENT!$E:$E,$A7)</f>
        <v>12</v>
      </c>
      <c r="AC7" s="30">
        <f>SUMIFS(DATA_CURRENT!$V:$V,DATA_CURRENT!$E:$E,$A7,DATA_CURRENT!$B:$B,"Added")</f>
        <v>34.840000000000003</v>
      </c>
      <c r="AE7" s="29">
        <f t="shared" si="2"/>
        <v>76</v>
      </c>
      <c r="AF7" s="30">
        <f t="shared" si="3"/>
        <v>205.21999999999997</v>
      </c>
      <c r="AG7" s="27"/>
      <c r="AH7" s="28" t="s">
        <v>16</v>
      </c>
      <c r="AI7" s="77">
        <f>SUMIFS(DATA_CURRENT!$V:$V,DATA_CURRENT!$E:$E,$A7,DATA_CURRENT!$X:$X,AI$5)</f>
        <v>19.880000000000003</v>
      </c>
      <c r="AJ7" s="77">
        <f>SUMIFS(DATA_CURRENT!$V:$V,DATA_CURRENT!$E:$E,$A7,DATA_CURRENT!$X:$X,AJ$5)</f>
        <v>6.43</v>
      </c>
      <c r="AK7" s="77">
        <f>SUMIFS(DATA_CURRENT!$V:$V,DATA_CURRENT!$E:$E,$A7,DATA_CURRENT!$X:$X,AK$5)</f>
        <v>40.26</v>
      </c>
      <c r="AL7" s="77">
        <f>SUMIFS(DATA_CURRENT!$V:$V,DATA_CURRENT!$E:$E,$A7,DATA_CURRENT!$X:$X,AL$5)</f>
        <v>14.909999999999998</v>
      </c>
      <c r="AM7" s="77">
        <f>SUMIFS(DATA_CURRENT!$V:$V,DATA_CURRENT!$E:$E,$A7,DATA_CURRENT!$X:$X,AM$5)</f>
        <v>0</v>
      </c>
      <c r="AN7" s="26">
        <f t="shared" si="4"/>
        <v>81.47999999999999</v>
      </c>
      <c r="AO7" s="26">
        <f>SUMIFS(DATA_CURRENT!$V:$V,DATA_CURRENT!$E:$E,$A7,DATA_CURRENT!$X:$X,AO$5)</f>
        <v>114.57</v>
      </c>
      <c r="AP7" s="26">
        <f>SUMIFS(DATA_CURRENT!$V:$V,DATA_CURRENT!$E:$E,$A7,DATA_CURRENT!$X:$X,AP$5)</f>
        <v>9.17</v>
      </c>
      <c r="AQ7" s="30">
        <f t="shared" si="5"/>
        <v>205.21999999999997</v>
      </c>
      <c r="AR7" s="27"/>
    </row>
    <row r="8" spans="1:44" x14ac:dyDescent="0.25">
      <c r="A8" s="18" t="s">
        <v>17</v>
      </c>
      <c r="C8" s="28" t="s">
        <v>17</v>
      </c>
      <c r="D8" s="29">
        <f>COUNTIF(DATA_PRIOR!$E:$E,A8)</f>
        <v>5</v>
      </c>
      <c r="E8" s="30">
        <f>SUMIF(DATA_PRIOR!$E:$E,A8,DATA_PRIOR!$V:$V)</f>
        <v>107.80000000000003</v>
      </c>
      <c r="G8" s="29">
        <f t="shared" si="0"/>
        <v>-5</v>
      </c>
      <c r="H8" s="30">
        <f t="shared" si="1"/>
        <v>-107.80000000000003</v>
      </c>
      <c r="J8" s="31">
        <f>COUNTIFS(DATA_CURRENT!$B:$B,"Unresolved (Aug)",DATA_CURRENT!$E:$E,$A8)</f>
        <v>0</v>
      </c>
      <c r="K8" s="32">
        <f>SUMIFS(DATA_CURRENT!$V:$V,DATA_CURRENT!$E:$E,$A8,DATA_CURRENT!$B:$B,"Unresolved (Aug)")</f>
        <v>0</v>
      </c>
      <c r="L8" s="31">
        <f>COUNTIFS(DATA_CURRENT!$B:$B,"Unresolved (Oct)",DATA_CURRENT!$E:$E,$A8)</f>
        <v>0</v>
      </c>
      <c r="M8" s="32">
        <f>SUMIFS(DATA_CURRENT!$V:$V,DATA_CURRENT!$E:$E,$A8,DATA_CURRENT!$B:$B,"Unresolved (Oct)")</f>
        <v>0</v>
      </c>
      <c r="N8" s="31">
        <f>COUNTIFS(DATA_CURRENT!$B:$B,"Unresolved (Nov)",DATA_CURRENT!$E:$E,$A8)</f>
        <v>0</v>
      </c>
      <c r="O8" s="32">
        <f>SUMIFS(DATA_CURRENT!$V:$V,DATA_CURRENT!$E:$E,$A8,DATA_CURRENT!$B:$B,"Unresolved (Nov)")</f>
        <v>0</v>
      </c>
      <c r="P8" s="31">
        <f>COUNTIFS(DATA_CURRENT!$B:$B,"Unresolved (Dec)",DATA_CURRENT!$E:$E,$A8)</f>
        <v>0</v>
      </c>
      <c r="Q8" s="32">
        <f>SUMIFS(DATA_CURRENT!$V:$V,DATA_CURRENT!$E:$E,$A8,DATA_CURRENT!$B:$B,"Unresolved (Dec)")</f>
        <v>0</v>
      </c>
      <c r="R8" s="31">
        <f>COUNTIFS(DATA_CURRENT!$B:$B,"Unresolved (Jan)",DATA_CURRENT!$E:$E,$A8)</f>
        <v>0</v>
      </c>
      <c r="S8" s="32">
        <f>SUMIFS(DATA_CURRENT!$V:$V,DATA_CURRENT!$E:$E,$A8,DATA_CURRENT!$B:$B,"Unresolved (Jan)")</f>
        <v>0</v>
      </c>
      <c r="T8" s="31">
        <f>COUNTIFS(DATA_CURRENT!$B:$B,"Unresolved (Feb)",DATA_CURRENT!$E:$E,$A8)</f>
        <v>0</v>
      </c>
      <c r="U8" s="32">
        <f>SUMIFS(DATA_CURRENT!$V:$V,DATA_CURRENT!$E:$E,$A8,DATA_CURRENT!$B:$B,"Unresolved (Feb)")</f>
        <v>0</v>
      </c>
      <c r="V8" s="31">
        <f>COUNTIFS(DATA_CURRENT!$B:$B,"Unresolved (Mar)",DATA_CURRENT!$E:$E,$A8)</f>
        <v>0</v>
      </c>
      <c r="W8" s="32">
        <f>SUMIFS(DATA_CURRENT!$V:$V,DATA_CURRENT!$E:$E,$A8,DATA_CURRENT!$B:$B,"Unresolved (Mar)")</f>
        <v>0</v>
      </c>
      <c r="X8" s="31">
        <f>COUNTIFS(DATA_CURRENT!$B:$B,"Unresolved (Apr)",DATA_CURRENT!$E:$E,$A8)</f>
        <v>0</v>
      </c>
      <c r="Y8" s="32">
        <f>SUMIFS(DATA_CURRENT!$V:$V,DATA_CURRENT!$E:$E,$A8,DATA_CURRENT!$B:$B,"Unresolved (Apr)")</f>
        <v>0</v>
      </c>
      <c r="Z8" s="31">
        <f>COUNTIFS(DATA_CURRENT!$B:$B,"Unresolved (May)",DATA_CURRENT!$E:$E,$A8)</f>
        <v>0</v>
      </c>
      <c r="AA8" s="32">
        <f>SUMIFS(DATA_CURRENT!$V:$V,DATA_CURRENT!$E:$E,$A8,DATA_CURRENT!$B:$B,"Unresolved (May)")</f>
        <v>0</v>
      </c>
      <c r="AB8" s="29">
        <f>COUNTIFS(DATA_CURRENT!$B:$B,"Added",DATA_CURRENT!$E:$E,$A8)</f>
        <v>3</v>
      </c>
      <c r="AC8" s="30">
        <f>SUMIFS(DATA_CURRENT!$V:$V,DATA_CURRENT!$E:$E,$A8,DATA_CURRENT!$B:$B,"Added")</f>
        <v>66.41</v>
      </c>
      <c r="AE8" s="29">
        <f t="shared" si="2"/>
        <v>3</v>
      </c>
      <c r="AF8" s="30">
        <f t="shared" si="3"/>
        <v>66.41</v>
      </c>
      <c r="AG8" s="27"/>
      <c r="AH8" s="28" t="s">
        <v>17</v>
      </c>
      <c r="AI8" s="77">
        <f>SUMIFS(DATA_CURRENT!$V:$V,DATA_CURRENT!$E:$E,$A8,DATA_CURRENT!$X:$X,AI$5)</f>
        <v>0</v>
      </c>
      <c r="AJ8" s="77">
        <f>SUMIFS(DATA_CURRENT!$V:$V,DATA_CURRENT!$E:$E,$A8,DATA_CURRENT!$X:$X,AJ$5)</f>
        <v>12.7</v>
      </c>
      <c r="AK8" s="77">
        <f>SUMIFS(DATA_CURRENT!$V:$V,DATA_CURRENT!$E:$E,$A8,DATA_CURRENT!$X:$X,AK$5)</f>
        <v>0</v>
      </c>
      <c r="AL8" s="77">
        <f>SUMIFS(DATA_CURRENT!$V:$V,DATA_CURRENT!$E:$E,$A8,DATA_CURRENT!$X:$X,AL$5)</f>
        <v>0</v>
      </c>
      <c r="AM8" s="77">
        <f>SUMIFS(DATA_CURRENT!$V:$V,DATA_CURRENT!$E:$E,$A8,DATA_CURRENT!$X:$X,AM$5)</f>
        <v>0</v>
      </c>
      <c r="AN8" s="26">
        <f t="shared" si="4"/>
        <v>12.7</v>
      </c>
      <c r="AO8" s="26">
        <f>SUMIFS(DATA_CURRENT!$V:$V,DATA_CURRENT!$E:$E,$A8,DATA_CURRENT!$X:$X,AO$5)</f>
        <v>51.26</v>
      </c>
      <c r="AP8" s="33">
        <f>SUMIFS(DATA_CURRENT!$V:$V,DATA_CURRENT!$E:$E,$A8,DATA_CURRENT!$X:$X,AP$5)</f>
        <v>2.4500000000000002</v>
      </c>
      <c r="AQ8" s="30">
        <f t="shared" si="5"/>
        <v>66.41</v>
      </c>
      <c r="AR8" s="27"/>
    </row>
    <row r="9" spans="1:44" x14ac:dyDescent="0.25">
      <c r="A9" s="18" t="s">
        <v>18</v>
      </c>
      <c r="C9" s="28" t="s">
        <v>18</v>
      </c>
      <c r="D9" s="29">
        <f>COUNTIF(DATA_PRIOR!$E:$E,A9)</f>
        <v>7</v>
      </c>
      <c r="E9" s="30">
        <f>SUMIF(DATA_PRIOR!$E:$E,A9,DATA_PRIOR!$V:$V)</f>
        <v>265.13</v>
      </c>
      <c r="G9" s="29">
        <f t="shared" si="0"/>
        <v>-5</v>
      </c>
      <c r="H9" s="30">
        <f t="shared" si="1"/>
        <v>-3.9099999999999682</v>
      </c>
      <c r="J9" s="31">
        <f>COUNTIFS(DATA_CURRENT!$B:$B,"Unresolved (Aug)",DATA_CURRENT!$E:$E,$A9)</f>
        <v>0</v>
      </c>
      <c r="K9" s="32">
        <f>SUMIFS(DATA_CURRENT!$V:$V,DATA_CURRENT!$E:$E,$A9,DATA_CURRENT!$B:$B,"Unresolved (Aug)")</f>
        <v>0</v>
      </c>
      <c r="L9" s="31">
        <f>COUNTIFS(DATA_CURRENT!$B:$B,"Unresolved (Oct)",DATA_CURRENT!$E:$E,$A9)</f>
        <v>0</v>
      </c>
      <c r="M9" s="32">
        <f>SUMIFS(DATA_CURRENT!$V:$V,DATA_CURRENT!$E:$E,$A9,DATA_CURRENT!$B:$B,"Unresolved (Oct)")</f>
        <v>0</v>
      </c>
      <c r="N9" s="31">
        <f>COUNTIFS(DATA_CURRENT!$B:$B,"Unresolved (Nov)",DATA_CURRENT!$E:$E,$A9)</f>
        <v>0</v>
      </c>
      <c r="O9" s="32">
        <f>SUMIFS(DATA_CURRENT!$V:$V,DATA_CURRENT!$E:$E,$A9,DATA_CURRENT!$B:$B,"Unresolved (Nov)")</f>
        <v>0</v>
      </c>
      <c r="P9" s="31">
        <f>COUNTIFS(DATA_CURRENT!$B:$B,"Unresolved (Dec)",DATA_CURRENT!$E:$E,$A9)</f>
        <v>0</v>
      </c>
      <c r="Q9" s="32">
        <f>SUMIFS(DATA_CURRENT!$V:$V,DATA_CURRENT!$E:$E,$A9,DATA_CURRENT!$B:$B,"Unresolved (Dec)")</f>
        <v>0</v>
      </c>
      <c r="R9" s="31">
        <f>COUNTIFS(DATA_CURRENT!$B:$B,"Unresolved (Jan)",DATA_CURRENT!$E:$E,$A9)</f>
        <v>0</v>
      </c>
      <c r="S9" s="32">
        <f>SUMIFS(DATA_CURRENT!$V:$V,DATA_CURRENT!$E:$E,$A9,DATA_CURRENT!$B:$B,"Unresolved (Jan)")</f>
        <v>0</v>
      </c>
      <c r="T9" s="31">
        <f>COUNTIFS(DATA_CURRENT!$B:$B,"Unresolved (Feb)",DATA_CURRENT!$E:$E,$A9)</f>
        <v>0</v>
      </c>
      <c r="U9" s="32">
        <f>SUMIFS(DATA_CURRENT!$V:$V,DATA_CURRENT!$E:$E,$A9,DATA_CURRENT!$B:$B,"Unresolved (Feb)")</f>
        <v>0</v>
      </c>
      <c r="V9" s="31">
        <f>COUNTIFS(DATA_CURRENT!$B:$B,"Unresolved (Mar)",DATA_CURRENT!$E:$E,$A9)</f>
        <v>0</v>
      </c>
      <c r="W9" s="32">
        <f>SUMIFS(DATA_CURRENT!$V:$V,DATA_CURRENT!$E:$E,$A9,DATA_CURRENT!$B:$B,"Unresolved (Mar)")</f>
        <v>0</v>
      </c>
      <c r="X9" s="31">
        <f>COUNTIFS(DATA_CURRENT!$B:$B,"Unresolved (Apr)",DATA_CURRENT!$E:$E,$A9)</f>
        <v>0</v>
      </c>
      <c r="Y9" s="32">
        <f>SUMIFS(DATA_CURRENT!$V:$V,DATA_CURRENT!$E:$E,$A9,DATA_CURRENT!$B:$B,"Unresolved (Apr)")</f>
        <v>0</v>
      </c>
      <c r="Z9" s="31">
        <f>COUNTIFS(DATA_CURRENT!$B:$B,"Unresolved (May)",DATA_CURRENT!$E:$E,$A9)</f>
        <v>2</v>
      </c>
      <c r="AA9" s="32">
        <f>SUMIFS(DATA_CURRENT!$V:$V,DATA_CURRENT!$E:$E,$A9,DATA_CURRENT!$B:$B,"Unresolved (May)")</f>
        <v>261.22000000000003</v>
      </c>
      <c r="AB9" s="29">
        <f>COUNTIFS(DATA_CURRENT!$B:$B,"Added",DATA_CURRENT!$E:$E,$A9)</f>
        <v>0</v>
      </c>
      <c r="AC9" s="30">
        <f>SUMIFS(DATA_CURRENT!$V:$V,DATA_CURRENT!$E:$E,$A9,DATA_CURRENT!$B:$B,"Added")</f>
        <v>0</v>
      </c>
      <c r="AE9" s="29">
        <f t="shared" si="2"/>
        <v>2</v>
      </c>
      <c r="AF9" s="30">
        <f t="shared" si="3"/>
        <v>261.22000000000003</v>
      </c>
      <c r="AH9" s="28" t="s">
        <v>18</v>
      </c>
      <c r="AI9" s="77">
        <f>SUMIFS(DATA_CURRENT!$V:$V,DATA_CURRENT!$E:$E,$A9,DATA_CURRENT!$X:$X,AI$5)</f>
        <v>0</v>
      </c>
      <c r="AJ9" s="77">
        <f>SUMIFS(DATA_CURRENT!$V:$V,DATA_CURRENT!$E:$E,$A9,DATA_CURRENT!$X:$X,AJ$5)</f>
        <v>0</v>
      </c>
      <c r="AK9" s="77">
        <f>SUMIFS(DATA_CURRENT!$V:$V,DATA_CURRENT!$E:$E,$A9,DATA_CURRENT!$X:$X,AK$5)</f>
        <v>261.22000000000003</v>
      </c>
      <c r="AL9" s="77">
        <f>SUMIFS(DATA_CURRENT!$V:$V,DATA_CURRENT!$E:$E,$A9,DATA_CURRENT!$X:$X,AL$5)</f>
        <v>0</v>
      </c>
      <c r="AM9" s="77">
        <f>SUMIFS(DATA_CURRENT!$V:$V,DATA_CURRENT!$E:$E,$A9,DATA_CURRENT!$X:$X,AM$5)</f>
        <v>0</v>
      </c>
      <c r="AN9" s="26">
        <f t="shared" si="4"/>
        <v>261.22000000000003</v>
      </c>
      <c r="AO9" s="26">
        <f>SUMIFS(DATA_CURRENT!$V:$V,DATA_CURRENT!$E:$E,$A9,DATA_CURRENT!$X:$X,AO$5)</f>
        <v>0</v>
      </c>
      <c r="AP9" s="33">
        <f>SUMIFS(DATA_CURRENT!$V:$V,DATA_CURRENT!$E:$E,$A9,DATA_CURRENT!$X:$X,AP$5)</f>
        <v>0</v>
      </c>
      <c r="AQ9" s="30">
        <f t="shared" si="5"/>
        <v>261.22000000000003</v>
      </c>
      <c r="AR9" s="27"/>
    </row>
    <row r="10" spans="1:44" x14ac:dyDescent="0.25">
      <c r="A10" s="18" t="s">
        <v>19</v>
      </c>
      <c r="C10" s="28" t="s">
        <v>19</v>
      </c>
      <c r="D10" s="29">
        <f>COUNTIF(DATA_PRIOR!$E:$E,A10)</f>
        <v>1</v>
      </c>
      <c r="E10" s="30">
        <f>SUMIF(DATA_PRIOR!$E:$E,A10,DATA_PRIOR!$V:$V)</f>
        <v>20.72</v>
      </c>
      <c r="G10" s="29">
        <f t="shared" si="0"/>
        <v>0</v>
      </c>
      <c r="H10" s="30">
        <f t="shared" si="1"/>
        <v>-20.919999999999998</v>
      </c>
      <c r="J10" s="31">
        <f>COUNTIFS(DATA_CURRENT!$B:$B,"Unresolved (Aug)",DATA_CURRENT!$E:$E,$A10)</f>
        <v>0</v>
      </c>
      <c r="K10" s="32">
        <f>SUMIFS(DATA_CURRENT!$V:$V,DATA_CURRENT!$E:$E,$A10,DATA_CURRENT!$B:$B,"Unresolved (Aug)")</f>
        <v>0</v>
      </c>
      <c r="L10" s="31">
        <f>COUNTIFS(DATA_CURRENT!$B:$B,"Unresolved (Oct)",DATA_CURRENT!$E:$E,$A10)</f>
        <v>0</v>
      </c>
      <c r="M10" s="32">
        <f>SUMIFS(DATA_CURRENT!$V:$V,DATA_CURRENT!$E:$E,$A10,DATA_CURRENT!$B:$B,"Unresolved (Oct)")</f>
        <v>0</v>
      </c>
      <c r="N10" s="31">
        <f>COUNTIFS(DATA_CURRENT!$B:$B,"Unresolved (Nov)",DATA_CURRENT!$E:$E,$A10)</f>
        <v>0</v>
      </c>
      <c r="O10" s="32">
        <f>SUMIFS(DATA_CURRENT!$V:$V,DATA_CURRENT!$E:$E,$A10,DATA_CURRENT!$B:$B,"Unresolved (Nov)")</f>
        <v>0</v>
      </c>
      <c r="P10" s="31">
        <f>COUNTIFS(DATA_CURRENT!$B:$B,"Unresolved (Dec)",DATA_CURRENT!$E:$E,$A10)</f>
        <v>0</v>
      </c>
      <c r="Q10" s="32">
        <f>SUMIFS(DATA_CURRENT!$V:$V,DATA_CURRENT!$E:$E,$A10,DATA_CURRENT!$B:$B,"Unresolved (Dec)")</f>
        <v>0</v>
      </c>
      <c r="R10" s="31">
        <f>COUNTIFS(DATA_CURRENT!$B:$B,"Unresolved (Jan)",DATA_CURRENT!$E:$E,$A10)</f>
        <v>0</v>
      </c>
      <c r="S10" s="32">
        <f>SUMIFS(DATA_CURRENT!$V:$V,DATA_CURRENT!$E:$E,$A10,DATA_CURRENT!$B:$B,"Unresolved (Jan)")</f>
        <v>0</v>
      </c>
      <c r="T10" s="31">
        <f>COUNTIFS(DATA_CURRENT!$B:$B,"Unresolved (Feb)",DATA_CURRENT!$E:$E,$A10)</f>
        <v>0</v>
      </c>
      <c r="U10" s="32">
        <f>SUMIFS(DATA_CURRENT!$V:$V,DATA_CURRENT!$E:$E,$A10,DATA_CURRENT!$B:$B,"Unresolved (Feb)")</f>
        <v>0</v>
      </c>
      <c r="V10" s="31">
        <f>COUNTIFS(DATA_CURRENT!$B:$B,"Unresolved (Mar)",DATA_CURRENT!$E:$E,$A10)</f>
        <v>0</v>
      </c>
      <c r="W10" s="32">
        <f>SUMIFS(DATA_CURRENT!$V:$V,DATA_CURRENT!$E:$E,$A10,DATA_CURRENT!$B:$B,"Unresolved (Mar)")</f>
        <v>0</v>
      </c>
      <c r="X10" s="31">
        <f>COUNTIFS(DATA_CURRENT!$B:$B,"Unresolved (Apr)",DATA_CURRENT!$E:$E,$A10)</f>
        <v>0</v>
      </c>
      <c r="Y10" s="32">
        <f>SUMIFS(DATA_CURRENT!$V:$V,DATA_CURRENT!$E:$E,$A10,DATA_CURRENT!$B:$B,"Unresolved (Apr)")</f>
        <v>0</v>
      </c>
      <c r="Z10" s="31">
        <f>COUNTIFS(DATA_CURRENT!$B:$B,"Unresolved (May)",DATA_CURRENT!$E:$E,$A10)</f>
        <v>1</v>
      </c>
      <c r="AA10" s="32">
        <f>SUMIFS(DATA_CURRENT!$V:$V,DATA_CURRENT!$E:$E,$A10,DATA_CURRENT!$B:$B,"Unresolved (May)")</f>
        <v>-0.2</v>
      </c>
      <c r="AB10" s="29">
        <f>COUNTIFS(DATA_CURRENT!$B:$B,"Added",DATA_CURRENT!$E:$E,$A10)</f>
        <v>0</v>
      </c>
      <c r="AC10" s="30">
        <f>SUMIFS(DATA_CURRENT!$V:$V,DATA_CURRENT!$E:$E,$A10,DATA_CURRENT!$B:$B,"Added")</f>
        <v>0</v>
      </c>
      <c r="AE10" s="29">
        <f t="shared" si="2"/>
        <v>1</v>
      </c>
      <c r="AF10" s="30">
        <f t="shared" si="3"/>
        <v>-0.2</v>
      </c>
      <c r="AH10" s="28" t="s">
        <v>19</v>
      </c>
      <c r="AI10" s="77">
        <f>SUMIFS(DATA_CURRENT!$V:$V,DATA_CURRENT!$E:$E,$A10,DATA_CURRENT!$X:$X,AI$5)</f>
        <v>0</v>
      </c>
      <c r="AJ10" s="77">
        <f>SUMIFS(DATA_CURRENT!$V:$V,DATA_CURRENT!$E:$E,$A10,DATA_CURRENT!$X:$X,AJ$5)</f>
        <v>0</v>
      </c>
      <c r="AK10" s="77">
        <f>SUMIFS(DATA_CURRENT!$V:$V,DATA_CURRENT!$E:$E,$A10,DATA_CURRENT!$X:$X,AK$5)</f>
        <v>0</v>
      </c>
      <c r="AL10" s="77">
        <f>SUMIFS(DATA_CURRENT!$V:$V,DATA_CURRENT!$E:$E,$A10,DATA_CURRENT!$X:$X,AL$5)</f>
        <v>0</v>
      </c>
      <c r="AM10" s="77">
        <f>SUMIFS(DATA_CURRENT!$V:$V,DATA_CURRENT!$E:$E,$A10,DATA_CURRENT!$X:$X,AM$5)</f>
        <v>-0.2</v>
      </c>
      <c r="AN10" s="26">
        <f t="shared" si="4"/>
        <v>-0.2</v>
      </c>
      <c r="AO10" s="33">
        <f>SUMIFS(DATA_CURRENT!$V:$V,DATA_CURRENT!$E:$E,$A10,DATA_CURRENT!$X:$X,AO$5)</f>
        <v>0</v>
      </c>
      <c r="AP10" s="33">
        <f>SUMIFS(DATA_CURRENT!$V:$V,DATA_CURRENT!$E:$E,$A10,DATA_CURRENT!$X:$X,AP$5)</f>
        <v>0</v>
      </c>
      <c r="AQ10" s="30">
        <f t="shared" si="5"/>
        <v>-0.2</v>
      </c>
      <c r="AR10" s="27"/>
    </row>
    <row r="11" spans="1:44" x14ac:dyDescent="0.25">
      <c r="A11" s="18" t="s">
        <v>20</v>
      </c>
      <c r="C11" s="28" t="s">
        <v>20</v>
      </c>
      <c r="D11" s="29">
        <f>COUNTIF(DATA_PRIOR!$E:$E,A11)</f>
        <v>24</v>
      </c>
      <c r="E11" s="30">
        <f>SUMIF(DATA_PRIOR!$E:$E,A11,DATA_PRIOR!$V:$V)</f>
        <v>661.12</v>
      </c>
      <c r="G11" s="29">
        <f t="shared" si="0"/>
        <v>-18</v>
      </c>
      <c r="H11" s="30">
        <f t="shared" si="1"/>
        <v>-530.69000000000005</v>
      </c>
      <c r="J11" s="31">
        <f>COUNTIFS(DATA_CURRENT!$B:$B,"Unresolved (Aug)",DATA_CURRENT!$E:$E,$A11)</f>
        <v>0</v>
      </c>
      <c r="K11" s="32">
        <f>SUMIFS(DATA_CURRENT!$V:$V,DATA_CURRENT!$E:$E,$A11,DATA_CURRENT!$B:$B,"Unresolved (Aug)")</f>
        <v>0</v>
      </c>
      <c r="L11" s="31">
        <f>COUNTIFS(DATA_CURRENT!$B:$B,"Unresolved (Oct)",DATA_CURRENT!$E:$E,$A11)</f>
        <v>0</v>
      </c>
      <c r="M11" s="32">
        <f>SUMIFS(DATA_CURRENT!$V:$V,DATA_CURRENT!$E:$E,$A11,DATA_CURRENT!$B:$B,"Unresolved (Oct)")</f>
        <v>0</v>
      </c>
      <c r="N11" s="31">
        <f>COUNTIFS(DATA_CURRENT!$B:$B,"Unresolved (Nov)",DATA_CURRENT!$E:$E,$A11)</f>
        <v>0</v>
      </c>
      <c r="O11" s="32">
        <f>SUMIFS(DATA_CURRENT!$V:$V,DATA_CURRENT!$E:$E,$A11,DATA_CURRENT!$B:$B,"Unresolved (Nov)")</f>
        <v>0</v>
      </c>
      <c r="P11" s="31">
        <f>COUNTIFS(DATA_CURRENT!$B:$B,"Unresolved (Dec)",DATA_CURRENT!$E:$E,$A11)</f>
        <v>0</v>
      </c>
      <c r="Q11" s="32">
        <f>SUMIFS(DATA_CURRENT!$V:$V,DATA_CURRENT!$E:$E,$A11,DATA_CURRENT!$B:$B,"Unresolved (Dec)")</f>
        <v>0</v>
      </c>
      <c r="R11" s="31">
        <f>COUNTIFS(DATA_CURRENT!$B:$B,"Unresolved (Jan)",DATA_CURRENT!$E:$E,$A11)</f>
        <v>1</v>
      </c>
      <c r="S11" s="32">
        <f>SUMIFS(DATA_CURRENT!$V:$V,DATA_CURRENT!$E:$E,$A11,DATA_CURRENT!$B:$B,"Unresolved (Jan)")</f>
        <v>41.66</v>
      </c>
      <c r="T11" s="31">
        <f>COUNTIFS(DATA_CURRENT!$B:$B,"Unresolved (Feb)",DATA_CURRENT!$E:$E,$A11)</f>
        <v>0</v>
      </c>
      <c r="U11" s="32">
        <f>SUMIFS(DATA_CURRENT!$V:$V,DATA_CURRENT!$E:$E,$A11,DATA_CURRENT!$B:$B,"Unresolved (Feb)")</f>
        <v>0</v>
      </c>
      <c r="V11" s="31">
        <f>COUNTIFS(DATA_CURRENT!$B:$B,"Unresolved (Mar)",DATA_CURRENT!$E:$E,$A11)</f>
        <v>1</v>
      </c>
      <c r="W11" s="32">
        <f>SUMIFS(DATA_CURRENT!$V:$V,DATA_CURRENT!$E:$E,$A11,DATA_CURRENT!$B:$B,"Unresolved (Mar)")</f>
        <v>11.28</v>
      </c>
      <c r="X11" s="31">
        <f>COUNTIFS(DATA_CURRENT!$B:$B,"Unresolved (Apr)",DATA_CURRENT!$E:$E,$A11)</f>
        <v>1</v>
      </c>
      <c r="Y11" s="32">
        <f>SUMIFS(DATA_CURRENT!$V:$V,DATA_CURRENT!$E:$E,$A11,DATA_CURRENT!$B:$B,"Unresolved (Apr)")</f>
        <v>1.44</v>
      </c>
      <c r="Z11" s="31">
        <f>COUNTIFS(DATA_CURRENT!$B:$B,"Unresolved (May)",DATA_CURRENT!$E:$E,$A11)</f>
        <v>3</v>
      </c>
      <c r="AA11" s="32">
        <f>SUMIFS(DATA_CURRENT!$V:$V,DATA_CURRENT!$E:$E,$A11,DATA_CURRENT!$B:$B,"Unresolved (May)")</f>
        <v>76.05</v>
      </c>
      <c r="AB11" s="29">
        <f>COUNTIFS(DATA_CURRENT!$B:$B,"Added",DATA_CURRENT!$E:$E,$A11)</f>
        <v>18</v>
      </c>
      <c r="AC11" s="30">
        <f>SUMIFS(DATA_CURRENT!$V:$V,DATA_CURRENT!$E:$E,$A11,DATA_CURRENT!$B:$B,"Added")</f>
        <v>557.70999999999992</v>
      </c>
      <c r="AE11" s="29">
        <f t="shared" si="2"/>
        <v>24</v>
      </c>
      <c r="AF11" s="30">
        <f t="shared" si="3"/>
        <v>688.13999999999987</v>
      </c>
      <c r="AH11" s="28" t="s">
        <v>20</v>
      </c>
      <c r="AI11" s="77">
        <f>SUMIFS(DATA_CURRENT!$V:$V,DATA_CURRENT!$E:$E,$A11,DATA_CURRENT!$X:$X,AI$5)</f>
        <v>169.20999999999998</v>
      </c>
      <c r="AJ11" s="77">
        <f>SUMIFS(DATA_CURRENT!$V:$V,DATA_CURRENT!$E:$E,$A11,DATA_CURRENT!$X:$X,AJ$5)</f>
        <v>0</v>
      </c>
      <c r="AK11" s="77">
        <f>SUMIFS(DATA_CURRENT!$V:$V,DATA_CURRENT!$E:$E,$A11,DATA_CURRENT!$X:$X,AK$5)</f>
        <v>11.28</v>
      </c>
      <c r="AL11" s="77">
        <f>SUMIFS(DATA_CURRENT!$V:$V,DATA_CURRENT!$E:$E,$A11,DATA_CURRENT!$X:$X,AL$5)</f>
        <v>47.94</v>
      </c>
      <c r="AM11" s="77">
        <f>SUMIFS(DATA_CURRENT!$V:$V,DATA_CURRENT!$E:$E,$A11,DATA_CURRENT!$X:$X,AM$5)</f>
        <v>0</v>
      </c>
      <c r="AN11" s="33">
        <f t="shared" si="4"/>
        <v>228.42999999999998</v>
      </c>
      <c r="AO11" s="33">
        <f>SUMIFS(DATA_CURRENT!$V:$V,DATA_CURRENT!$E:$E,$A11,DATA_CURRENT!$X:$X,AO$5)</f>
        <v>74.75</v>
      </c>
      <c r="AP11" s="33">
        <f>SUMIFS(DATA_CURRENT!$V:$V,DATA_CURRENT!$E:$E,$A11,DATA_CURRENT!$X:$X,AP$5)</f>
        <v>384.96</v>
      </c>
      <c r="AQ11" s="30">
        <f t="shared" si="5"/>
        <v>688.13999999999987</v>
      </c>
      <c r="AR11" s="27"/>
    </row>
    <row r="12" spans="1:44" x14ac:dyDescent="0.25">
      <c r="A12" s="18" t="s">
        <v>21</v>
      </c>
      <c r="C12" s="28" t="s">
        <v>21</v>
      </c>
      <c r="D12" s="29">
        <f>COUNTIF(DATA_PRIOR!$E:$E,A12)</f>
        <v>7</v>
      </c>
      <c r="E12" s="30">
        <f>SUMIF(DATA_PRIOR!$E:$E,A12,DATA_PRIOR!$V:$V)</f>
        <v>47.32</v>
      </c>
      <c r="G12" s="29">
        <f t="shared" si="0"/>
        <v>-3</v>
      </c>
      <c r="H12" s="30">
        <f t="shared" si="1"/>
        <v>-50.31</v>
      </c>
      <c r="J12" s="31">
        <f>COUNTIFS(DATA_CURRENT!$B:$B,"Unresolved (Aug)",DATA_CURRENT!$E:$E,$A12)</f>
        <v>0</v>
      </c>
      <c r="K12" s="32">
        <f>SUMIFS(DATA_CURRENT!$V:$V,DATA_CURRENT!$E:$E,$A12,DATA_CURRENT!$B:$B,"Unresolved (Aug)")</f>
        <v>0</v>
      </c>
      <c r="L12" s="31">
        <f>COUNTIFS(DATA_CURRENT!$B:$B,"Unresolved (Oct)",DATA_CURRENT!$E:$E,$A12)</f>
        <v>0</v>
      </c>
      <c r="M12" s="32">
        <f>SUMIFS(DATA_CURRENT!$V:$V,DATA_CURRENT!$E:$E,$A12,DATA_CURRENT!$B:$B,"Unresolved (Oct)")</f>
        <v>0</v>
      </c>
      <c r="N12" s="31">
        <f>COUNTIFS(DATA_CURRENT!$B:$B,"Unresolved (Nov)",DATA_CURRENT!$E:$E,$A12)</f>
        <v>0</v>
      </c>
      <c r="O12" s="32">
        <f>SUMIFS(DATA_CURRENT!$V:$V,DATA_CURRENT!$E:$E,$A12,DATA_CURRENT!$B:$B,"Unresolved (Nov)")</f>
        <v>0</v>
      </c>
      <c r="P12" s="31">
        <f>COUNTIFS(DATA_CURRENT!$B:$B,"Unresolved (Dec)",DATA_CURRENT!$E:$E,$A12)</f>
        <v>0</v>
      </c>
      <c r="Q12" s="32">
        <f>SUMIFS(DATA_CURRENT!$V:$V,DATA_CURRENT!$E:$E,$A12,DATA_CURRENT!$B:$B,"Unresolved (Dec)")</f>
        <v>0</v>
      </c>
      <c r="R12" s="31">
        <f>COUNTIFS(DATA_CURRENT!$B:$B,"Unresolved (Jan)",DATA_CURRENT!$E:$E,$A12)</f>
        <v>0</v>
      </c>
      <c r="S12" s="32">
        <f>SUMIFS(DATA_CURRENT!$V:$V,DATA_CURRENT!$E:$E,$A12,DATA_CURRENT!$B:$B,"Unresolved (Jan)")</f>
        <v>0</v>
      </c>
      <c r="T12" s="31">
        <f>COUNTIFS(DATA_CURRENT!$B:$B,"Unresolved (Feb)",DATA_CURRENT!$E:$E,$A12)</f>
        <v>0</v>
      </c>
      <c r="U12" s="32">
        <f>SUMIFS(DATA_CURRENT!$V:$V,DATA_CURRENT!$E:$E,$A12,DATA_CURRENT!$B:$B,"Unresolved (Feb)")</f>
        <v>0</v>
      </c>
      <c r="V12" s="31">
        <f>COUNTIFS(DATA_CURRENT!$B:$B,"Unresolved (Mar)",DATA_CURRENT!$E:$E,$A12)</f>
        <v>0</v>
      </c>
      <c r="W12" s="32">
        <f>SUMIFS(DATA_CURRENT!$V:$V,DATA_CURRENT!$E:$E,$A12,DATA_CURRENT!$B:$B,"Unresolved (Mar)")</f>
        <v>0</v>
      </c>
      <c r="X12" s="31">
        <f>COUNTIFS(DATA_CURRENT!$B:$B,"Unresolved (Apr)",DATA_CURRENT!$E:$E,$A12)</f>
        <v>0</v>
      </c>
      <c r="Y12" s="32">
        <f>SUMIFS(DATA_CURRENT!$V:$V,DATA_CURRENT!$E:$E,$A12,DATA_CURRENT!$B:$B,"Unresolved (Apr)")</f>
        <v>0</v>
      </c>
      <c r="Z12" s="31">
        <f>COUNTIFS(DATA_CURRENT!$B:$B,"Unresolved (May)",DATA_CURRENT!$E:$E,$A12)</f>
        <v>4</v>
      </c>
      <c r="AA12" s="32">
        <f>SUMIFS(DATA_CURRENT!$V:$V,DATA_CURRENT!$E:$E,$A12,DATA_CURRENT!$B:$B,"Unresolved (May)")</f>
        <v>-2.9899999999999984</v>
      </c>
      <c r="AB12" s="29">
        <f>COUNTIFS(DATA_CURRENT!$B:$B,"Added",DATA_CURRENT!$E:$E,$A12)</f>
        <v>0</v>
      </c>
      <c r="AC12" s="30">
        <f>SUMIFS(DATA_CURRENT!$V:$V,DATA_CURRENT!$E:$E,$A12,DATA_CURRENT!$B:$B,"Added")</f>
        <v>0</v>
      </c>
      <c r="AE12" s="29">
        <f t="shared" si="2"/>
        <v>4</v>
      </c>
      <c r="AF12" s="30">
        <f t="shared" si="3"/>
        <v>-2.9899999999999984</v>
      </c>
      <c r="AH12" s="28" t="s">
        <v>21</v>
      </c>
      <c r="AI12" s="77">
        <f>SUMIFS(DATA_CURRENT!$V:$V,DATA_CURRENT!$E:$E,$A12,DATA_CURRENT!$X:$X,AI$5)</f>
        <v>4.3600000000000003</v>
      </c>
      <c r="AJ12" s="77">
        <f>SUMIFS(DATA_CURRENT!$V:$V,DATA_CURRENT!$E:$E,$A12,DATA_CURRENT!$X:$X,AJ$5)</f>
        <v>0</v>
      </c>
      <c r="AK12" s="77">
        <f>SUMIFS(DATA_CURRENT!$V:$V,DATA_CURRENT!$E:$E,$A12,DATA_CURRENT!$X:$X,AK$5)</f>
        <v>0</v>
      </c>
      <c r="AL12" s="77">
        <f>SUMIFS(DATA_CURRENT!$V:$V,DATA_CURRENT!$E:$E,$A12,DATA_CURRENT!$X:$X,AL$5)</f>
        <v>-6.19</v>
      </c>
      <c r="AM12" s="77">
        <f>SUMIFS(DATA_CURRENT!$V:$V,DATA_CURRENT!$E:$E,$A12,DATA_CURRENT!$X:$X,AM$5)</f>
        <v>0</v>
      </c>
      <c r="AN12" s="33">
        <f t="shared" si="4"/>
        <v>-1.83</v>
      </c>
      <c r="AO12" s="33">
        <f>SUMIFS(DATA_CURRENT!$V:$V,DATA_CURRENT!$E:$E,$A12,DATA_CURRENT!$X:$X,AO$5)</f>
        <v>-13.29</v>
      </c>
      <c r="AP12" s="33">
        <f>SUMIFS(DATA_CURRENT!$V:$V,DATA_CURRENT!$E:$E,$A12,DATA_CURRENT!$X:$X,AP$5)</f>
        <v>12.13</v>
      </c>
      <c r="AQ12" s="30">
        <f t="shared" si="5"/>
        <v>-2.9899999999999984</v>
      </c>
      <c r="AR12" s="27"/>
    </row>
    <row r="13" spans="1:44" x14ac:dyDescent="0.25">
      <c r="A13" s="18" t="s">
        <v>22</v>
      </c>
      <c r="C13" s="28" t="s">
        <v>22</v>
      </c>
      <c r="D13" s="29">
        <f>COUNTIF(DATA_PRIOR!$E:$E,A13)</f>
        <v>6</v>
      </c>
      <c r="E13" s="30">
        <f>SUMIF(DATA_PRIOR!$E:$E,A13,DATA_PRIOR!$V:$V)</f>
        <v>85.03</v>
      </c>
      <c r="G13" s="29">
        <f t="shared" si="0"/>
        <v>-2</v>
      </c>
      <c r="H13" s="30">
        <f t="shared" si="1"/>
        <v>-24.79</v>
      </c>
      <c r="J13" s="31">
        <f>COUNTIFS(DATA_CURRENT!$B:$B,"Unresolved (Aug)",DATA_CURRENT!$E:$E,$A13)</f>
        <v>0</v>
      </c>
      <c r="K13" s="32">
        <f>SUMIFS(DATA_CURRENT!$V:$V,DATA_CURRENT!$E:$E,$A13,DATA_CURRENT!$B:$B,"Unresolved (Aug)")</f>
        <v>0</v>
      </c>
      <c r="L13" s="31">
        <f>COUNTIFS(DATA_CURRENT!$B:$B,"Unresolved (Oct)",DATA_CURRENT!$E:$E,$A13)</f>
        <v>0</v>
      </c>
      <c r="M13" s="32">
        <f>SUMIFS(DATA_CURRENT!$V:$V,DATA_CURRENT!$E:$E,$A13,DATA_CURRENT!$B:$B,"Unresolved (Oct)")</f>
        <v>0</v>
      </c>
      <c r="N13" s="31">
        <f>COUNTIFS(DATA_CURRENT!$B:$B,"Unresolved (Nov)",DATA_CURRENT!$E:$E,$A13)</f>
        <v>0</v>
      </c>
      <c r="O13" s="32">
        <f>SUMIFS(DATA_CURRENT!$V:$V,DATA_CURRENT!$E:$E,$A13,DATA_CURRENT!$B:$B,"Unresolved (Nov)")</f>
        <v>0</v>
      </c>
      <c r="P13" s="31">
        <f>COUNTIFS(DATA_CURRENT!$B:$B,"Unresolved (Dec)",DATA_CURRENT!$E:$E,$A13)</f>
        <v>0</v>
      </c>
      <c r="Q13" s="32">
        <f>SUMIFS(DATA_CURRENT!$V:$V,DATA_CURRENT!$E:$E,$A13,DATA_CURRENT!$B:$B,"Unresolved (Dec)")</f>
        <v>0</v>
      </c>
      <c r="R13" s="31">
        <f>COUNTIFS(DATA_CURRENT!$B:$B,"Unresolved (Jan)",DATA_CURRENT!$E:$E,$A13)</f>
        <v>0</v>
      </c>
      <c r="S13" s="32">
        <f>SUMIFS(DATA_CURRENT!$V:$V,DATA_CURRENT!$E:$E,$A13,DATA_CURRENT!$B:$B,"Unresolved (Jan)")</f>
        <v>0</v>
      </c>
      <c r="T13" s="31">
        <f>COUNTIFS(DATA_CURRENT!$B:$B,"Unresolved (Feb)",DATA_CURRENT!$E:$E,$A13)</f>
        <v>0</v>
      </c>
      <c r="U13" s="32">
        <f>SUMIFS(DATA_CURRENT!$V:$V,DATA_CURRENT!$E:$E,$A13,DATA_CURRENT!$B:$B,"Unresolved (Feb)")</f>
        <v>0</v>
      </c>
      <c r="V13" s="31">
        <f>COUNTIFS(DATA_CURRENT!$B:$B,"Unresolved (Mar)",DATA_CURRENT!$E:$E,$A13)</f>
        <v>0</v>
      </c>
      <c r="W13" s="32">
        <f>SUMIFS(DATA_CURRENT!$V:$V,DATA_CURRENT!$E:$E,$A13,DATA_CURRENT!$B:$B,"Unresolved (Mar)")</f>
        <v>0</v>
      </c>
      <c r="X13" s="31">
        <f>COUNTIFS(DATA_CURRENT!$B:$B,"Unresolved (Apr)",DATA_CURRENT!$E:$E,$A13)</f>
        <v>0</v>
      </c>
      <c r="Y13" s="32">
        <f>SUMIFS(DATA_CURRENT!$V:$V,DATA_CURRENT!$E:$E,$A13,DATA_CURRENT!$B:$B,"Unresolved (Apr)")</f>
        <v>0</v>
      </c>
      <c r="Z13" s="31">
        <f>COUNTIFS(DATA_CURRENT!$B:$B,"Unresolved (May)",DATA_CURRENT!$E:$E,$A13)</f>
        <v>4</v>
      </c>
      <c r="AA13" s="32">
        <f>SUMIFS(DATA_CURRENT!$V:$V,DATA_CURRENT!$E:$E,$A13,DATA_CURRENT!$B:$B,"Unresolved (May)")</f>
        <v>60.24</v>
      </c>
      <c r="AB13" s="29">
        <f>COUNTIFS(DATA_CURRENT!$B:$B,"Added",DATA_CURRENT!$E:$E,$A13)</f>
        <v>1</v>
      </c>
      <c r="AC13" s="30">
        <f>SUMIFS(DATA_CURRENT!$V:$V,DATA_CURRENT!$E:$E,$A13,DATA_CURRENT!$B:$B,"Added")</f>
        <v>27.97</v>
      </c>
      <c r="AE13" s="29">
        <f t="shared" si="2"/>
        <v>5</v>
      </c>
      <c r="AF13" s="30">
        <f t="shared" si="3"/>
        <v>88.210000000000008</v>
      </c>
      <c r="AH13" s="28" t="s">
        <v>22</v>
      </c>
      <c r="AI13" s="77">
        <f>SUMIFS(DATA_CURRENT!$V:$V,DATA_CURRENT!$E:$E,$A13,DATA_CURRENT!$X:$X,AI$5)</f>
        <v>48.8</v>
      </c>
      <c r="AJ13" s="77">
        <f>SUMIFS(DATA_CURRENT!$V:$V,DATA_CURRENT!$E:$E,$A13,DATA_CURRENT!$X:$X,AJ$5)</f>
        <v>0</v>
      </c>
      <c r="AK13" s="77">
        <f>SUMIFS(DATA_CURRENT!$V:$V,DATA_CURRENT!$E:$E,$A13,DATA_CURRENT!$X:$X,AK$5)</f>
        <v>0</v>
      </c>
      <c r="AL13" s="77">
        <f>SUMIFS(DATA_CURRENT!$V:$V,DATA_CURRENT!$E:$E,$A13,DATA_CURRENT!$X:$X,AL$5)</f>
        <v>0</v>
      </c>
      <c r="AM13" s="77">
        <f>SUMIFS(DATA_CURRENT!$V:$V,DATA_CURRENT!$E:$E,$A13,DATA_CURRENT!$X:$X,AM$5)</f>
        <v>0</v>
      </c>
      <c r="AN13" s="33">
        <f t="shared" si="4"/>
        <v>48.8</v>
      </c>
      <c r="AO13" s="33">
        <f>SUMIFS(DATA_CURRENT!$V:$V,DATA_CURRENT!$E:$E,$A13,DATA_CURRENT!$X:$X,AO$5)</f>
        <v>0</v>
      </c>
      <c r="AP13" s="26">
        <f>SUMIFS(DATA_CURRENT!$V:$V,DATA_CURRENT!$E:$E,$A13,DATA_CURRENT!$X:$X,AP$5)</f>
        <v>39.409999999999997</v>
      </c>
      <c r="AQ13" s="30">
        <f t="shared" si="5"/>
        <v>88.21</v>
      </c>
      <c r="AR13" s="27"/>
    </row>
    <row r="14" spans="1:44" x14ac:dyDescent="0.25">
      <c r="A14" s="18" t="s">
        <v>23</v>
      </c>
      <c r="C14" s="28" t="s">
        <v>23</v>
      </c>
      <c r="D14" s="29">
        <f>COUNTIF(DATA_PRIOR!$E:$E,A14)</f>
        <v>0</v>
      </c>
      <c r="E14" s="30">
        <f>SUMIF(DATA_PRIOR!$E:$E,A14,DATA_PRIOR!$V:$V)</f>
        <v>0</v>
      </c>
      <c r="G14" s="29">
        <f t="shared" si="0"/>
        <v>0</v>
      </c>
      <c r="H14" s="30">
        <f t="shared" si="1"/>
        <v>0</v>
      </c>
      <c r="J14" s="31">
        <f>COUNTIFS(DATA_CURRENT!$B:$B,"Unresolved (Aug)",DATA_CURRENT!$E:$E,$A14)</f>
        <v>0</v>
      </c>
      <c r="K14" s="32">
        <f>SUMIFS(DATA_CURRENT!$V:$V,DATA_CURRENT!$E:$E,$A14,DATA_CURRENT!$B:$B,"Unresolved (Aug)")</f>
        <v>0</v>
      </c>
      <c r="L14" s="31">
        <f>COUNTIFS(DATA_CURRENT!$B:$B,"Unresolved (Oct)",DATA_CURRENT!$E:$E,$A14)</f>
        <v>0</v>
      </c>
      <c r="M14" s="32">
        <f>SUMIFS(DATA_CURRENT!$V:$V,DATA_CURRENT!$E:$E,$A14,DATA_CURRENT!$B:$B,"Unresolved (Oct)")</f>
        <v>0</v>
      </c>
      <c r="N14" s="31">
        <f>COUNTIFS(DATA_CURRENT!$B:$B,"Unresolved (Nov)",DATA_CURRENT!$E:$E,$A14)</f>
        <v>0</v>
      </c>
      <c r="O14" s="32">
        <f>SUMIFS(DATA_CURRENT!$V:$V,DATA_CURRENT!$E:$E,$A14,DATA_CURRENT!$B:$B,"Unresolved (Nov)")</f>
        <v>0</v>
      </c>
      <c r="P14" s="31">
        <f>COUNTIFS(DATA_CURRENT!$B:$B,"Unresolved (Dec)",DATA_CURRENT!$E:$E,$A14)</f>
        <v>0</v>
      </c>
      <c r="Q14" s="32">
        <f>SUMIFS(DATA_CURRENT!$V:$V,DATA_CURRENT!$E:$E,$A14,DATA_CURRENT!$B:$B,"Unresolved (Dec)")</f>
        <v>0</v>
      </c>
      <c r="R14" s="31">
        <f>COUNTIFS(DATA_CURRENT!$B:$B,"Unresolved (Jan)",DATA_CURRENT!$E:$E,$A14)</f>
        <v>0</v>
      </c>
      <c r="S14" s="32">
        <f>SUMIFS(DATA_CURRENT!$V:$V,DATA_CURRENT!$E:$E,$A14,DATA_CURRENT!$B:$B,"Unresolved (Jan)")</f>
        <v>0</v>
      </c>
      <c r="T14" s="31">
        <f>COUNTIFS(DATA_CURRENT!$B:$B,"Unresolved (Feb)",DATA_CURRENT!$E:$E,$A14)</f>
        <v>0</v>
      </c>
      <c r="U14" s="32">
        <f>SUMIFS(DATA_CURRENT!$V:$V,DATA_CURRENT!$E:$E,$A14,DATA_CURRENT!$B:$B,"Unresolved (Feb)")</f>
        <v>0</v>
      </c>
      <c r="V14" s="31">
        <f>COUNTIFS(DATA_CURRENT!$B:$B,"Unresolved (Mar)",DATA_CURRENT!$E:$E,$A14)</f>
        <v>0</v>
      </c>
      <c r="W14" s="32">
        <f>SUMIFS(DATA_CURRENT!$V:$V,DATA_CURRENT!$E:$E,$A14,DATA_CURRENT!$B:$B,"Unresolved (Mar)")</f>
        <v>0</v>
      </c>
      <c r="X14" s="31">
        <f>COUNTIFS(DATA_CURRENT!$B:$B,"Unresolved (Apr)",DATA_CURRENT!$E:$E,$A14)</f>
        <v>0</v>
      </c>
      <c r="Y14" s="32">
        <f>SUMIFS(DATA_CURRENT!$V:$V,DATA_CURRENT!$E:$E,$A14,DATA_CURRENT!$B:$B,"Unresolved (Apr)")</f>
        <v>0</v>
      </c>
      <c r="Z14" s="31">
        <f>COUNTIFS(DATA_CURRENT!$B:$B,"Unresolved (May)",DATA_CURRENT!$E:$E,$A14)</f>
        <v>0</v>
      </c>
      <c r="AA14" s="32">
        <f>SUMIFS(DATA_CURRENT!$V:$V,DATA_CURRENT!$E:$E,$A14,DATA_CURRENT!$B:$B,"Unresolved (May)")</f>
        <v>0</v>
      </c>
      <c r="AB14" s="29">
        <f>COUNTIFS(DATA_CURRENT!$B:$B,"Added",DATA_CURRENT!$E:$E,$A14)</f>
        <v>0</v>
      </c>
      <c r="AC14" s="30">
        <f>SUMIFS(DATA_CURRENT!$V:$V,DATA_CURRENT!$E:$E,$A14,DATA_CURRENT!$B:$B,"Added")</f>
        <v>0</v>
      </c>
      <c r="AE14" s="29">
        <f t="shared" si="2"/>
        <v>0</v>
      </c>
      <c r="AF14" s="30">
        <f t="shared" si="3"/>
        <v>0</v>
      </c>
      <c r="AH14" s="28" t="s">
        <v>23</v>
      </c>
      <c r="AI14" s="77">
        <f>SUMIFS(DATA_CURRENT!$V:$V,DATA_CURRENT!$E:$E,$A14,DATA_CURRENT!$X:$X,AI$5)</f>
        <v>0</v>
      </c>
      <c r="AJ14" s="77">
        <f>SUMIFS(DATA_CURRENT!$V:$V,DATA_CURRENT!$E:$E,$A14,DATA_CURRENT!$X:$X,AJ$5)</f>
        <v>0</v>
      </c>
      <c r="AK14" s="77">
        <f>SUMIFS(DATA_CURRENT!$V:$V,DATA_CURRENT!$E:$E,$A14,DATA_CURRENT!$X:$X,AK$5)</f>
        <v>0</v>
      </c>
      <c r="AL14" s="77">
        <f>SUMIFS(DATA_CURRENT!$V:$V,DATA_CURRENT!$E:$E,$A14,DATA_CURRENT!$X:$X,AL$5)</f>
        <v>0</v>
      </c>
      <c r="AM14" s="77">
        <f>SUMIFS(DATA_CURRENT!$V:$V,DATA_CURRENT!$E:$E,$A14,DATA_CURRENT!$X:$X,AM$5)</f>
        <v>0</v>
      </c>
      <c r="AN14" s="26">
        <f t="shared" si="4"/>
        <v>0</v>
      </c>
      <c r="AO14" s="33">
        <f>SUMIFS(DATA_CURRENT!$V:$V,DATA_CURRENT!$E:$E,$A14,DATA_CURRENT!$X:$X,AO$5)</f>
        <v>0</v>
      </c>
      <c r="AP14" s="26">
        <f>SUMIFS(DATA_CURRENT!$V:$V,DATA_CURRENT!$E:$E,$A14,DATA_CURRENT!$X:$X,AP$5)</f>
        <v>0</v>
      </c>
      <c r="AQ14" s="30">
        <f t="shared" si="5"/>
        <v>0</v>
      </c>
      <c r="AR14" s="27"/>
    </row>
    <row r="15" spans="1:44" x14ac:dyDescent="0.25">
      <c r="A15" s="18" t="s">
        <v>24</v>
      </c>
      <c r="C15" s="28" t="s">
        <v>24</v>
      </c>
      <c r="D15" s="29">
        <f>COUNTIF(DATA_PRIOR!$E:$E,A15)</f>
        <v>0</v>
      </c>
      <c r="E15" s="30">
        <f>SUMIF(DATA_PRIOR!$E:$E,A15,DATA_PRIOR!$V:$V)</f>
        <v>0</v>
      </c>
      <c r="G15" s="29">
        <f t="shared" si="0"/>
        <v>0</v>
      </c>
      <c r="H15" s="30">
        <f t="shared" si="1"/>
        <v>0</v>
      </c>
      <c r="J15" s="31">
        <f>COUNTIFS(DATA_CURRENT!$B:$B,"Unresolved (Aug)",DATA_CURRENT!$E:$E,$A15)</f>
        <v>0</v>
      </c>
      <c r="K15" s="32">
        <f>SUMIFS(DATA_CURRENT!$V:$V,DATA_CURRENT!$E:$E,$A15,DATA_CURRENT!$B:$B,"Unresolved (Aug)")</f>
        <v>0</v>
      </c>
      <c r="L15" s="31">
        <f>COUNTIFS(DATA_CURRENT!$B:$B,"Unresolved (Oct)",DATA_CURRENT!$E:$E,$A15)</f>
        <v>0</v>
      </c>
      <c r="M15" s="32">
        <f>SUMIFS(DATA_CURRENT!$V:$V,DATA_CURRENT!$E:$E,$A15,DATA_CURRENT!$B:$B,"Unresolved (Oct)")</f>
        <v>0</v>
      </c>
      <c r="N15" s="31">
        <f>COUNTIFS(DATA_CURRENT!$B:$B,"Unresolved (Nov)",DATA_CURRENT!$E:$E,$A15)</f>
        <v>0</v>
      </c>
      <c r="O15" s="32">
        <f>SUMIFS(DATA_CURRENT!$V:$V,DATA_CURRENT!$E:$E,$A15,DATA_CURRENT!$B:$B,"Unresolved (Nov)")</f>
        <v>0</v>
      </c>
      <c r="P15" s="31">
        <f>COUNTIFS(DATA_CURRENT!$B:$B,"Unresolved (Dec)",DATA_CURRENT!$E:$E,$A15)</f>
        <v>0</v>
      </c>
      <c r="Q15" s="32">
        <f>SUMIFS(DATA_CURRENT!$V:$V,DATA_CURRENT!$E:$E,$A15,DATA_CURRENT!$B:$B,"Unresolved (Dec)")</f>
        <v>0</v>
      </c>
      <c r="R15" s="31">
        <f>COUNTIFS(DATA_CURRENT!$B:$B,"Unresolved (Jan)",DATA_CURRENT!$E:$E,$A15)</f>
        <v>0</v>
      </c>
      <c r="S15" s="32">
        <f>SUMIFS(DATA_CURRENT!$V:$V,DATA_CURRENT!$E:$E,$A15,DATA_CURRENT!$B:$B,"Unresolved (Jan)")</f>
        <v>0</v>
      </c>
      <c r="T15" s="31">
        <f>COUNTIFS(DATA_CURRENT!$B:$B,"Unresolved (Feb)",DATA_CURRENT!$E:$E,$A15)</f>
        <v>0</v>
      </c>
      <c r="U15" s="32">
        <f>SUMIFS(DATA_CURRENT!$V:$V,DATA_CURRENT!$E:$E,$A15,DATA_CURRENT!$B:$B,"Unresolved (Feb)")</f>
        <v>0</v>
      </c>
      <c r="V15" s="31">
        <f>COUNTIFS(DATA_CURRENT!$B:$B,"Unresolved (Mar)",DATA_CURRENT!$E:$E,$A15)</f>
        <v>0</v>
      </c>
      <c r="W15" s="32">
        <f>SUMIFS(DATA_CURRENT!$V:$V,DATA_CURRENT!$E:$E,$A15,DATA_CURRENT!$B:$B,"Unresolved (Mar)")</f>
        <v>0</v>
      </c>
      <c r="X15" s="31">
        <f>COUNTIFS(DATA_CURRENT!$B:$B,"Unresolved (Apr)",DATA_CURRENT!$E:$E,$A15)</f>
        <v>0</v>
      </c>
      <c r="Y15" s="32">
        <f>SUMIFS(DATA_CURRENT!$V:$V,DATA_CURRENT!$E:$E,$A15,DATA_CURRENT!$B:$B,"Unresolved (Apr)")</f>
        <v>0</v>
      </c>
      <c r="Z15" s="31">
        <f>COUNTIFS(DATA_CURRENT!$B:$B,"Unresolved (May)",DATA_CURRENT!$E:$E,$A15)</f>
        <v>0</v>
      </c>
      <c r="AA15" s="32">
        <f>SUMIFS(DATA_CURRENT!$V:$V,DATA_CURRENT!$E:$E,$A15,DATA_CURRENT!$B:$B,"Unresolved (May)")</f>
        <v>0</v>
      </c>
      <c r="AB15" s="29">
        <f>COUNTIFS(DATA_CURRENT!$B:$B,"Added",DATA_CURRENT!$E:$E,$A15)</f>
        <v>0</v>
      </c>
      <c r="AC15" s="30">
        <f>SUMIFS(DATA_CURRENT!$V:$V,DATA_CURRENT!$E:$E,$A15,DATA_CURRENT!$B:$B,"Added")</f>
        <v>0</v>
      </c>
      <c r="AE15" s="29">
        <f t="shared" si="2"/>
        <v>0</v>
      </c>
      <c r="AF15" s="30">
        <f t="shared" si="3"/>
        <v>0</v>
      </c>
      <c r="AH15" s="28" t="s">
        <v>24</v>
      </c>
      <c r="AI15" s="77">
        <f>SUMIFS(DATA_CURRENT!$V:$V,DATA_CURRENT!$E:$E,$A15,DATA_CURRENT!$X:$X,AI$5)</f>
        <v>0</v>
      </c>
      <c r="AJ15" s="77">
        <f>SUMIFS(DATA_CURRENT!$V:$V,DATA_CURRENT!$E:$E,$A15,DATA_CURRENT!$X:$X,AJ$5)</f>
        <v>0</v>
      </c>
      <c r="AK15" s="77">
        <f>SUMIFS(DATA_CURRENT!$V:$V,DATA_CURRENT!$E:$E,$A15,DATA_CURRENT!$X:$X,AK$5)</f>
        <v>0</v>
      </c>
      <c r="AL15" s="77">
        <f>SUMIFS(DATA_CURRENT!$V:$V,DATA_CURRENT!$E:$E,$A15,DATA_CURRENT!$X:$X,AL$5)</f>
        <v>0</v>
      </c>
      <c r="AM15" s="77">
        <f>SUMIFS(DATA_CURRENT!$V:$V,DATA_CURRENT!$E:$E,$A15,DATA_CURRENT!$X:$X,AM$5)</f>
        <v>0</v>
      </c>
      <c r="AN15" s="26">
        <f t="shared" si="4"/>
        <v>0</v>
      </c>
      <c r="AO15" s="33">
        <f>SUMIFS(DATA_CURRENT!$V:$V,DATA_CURRENT!$E:$E,$A15,DATA_CURRENT!$X:$X,AO$5)</f>
        <v>0</v>
      </c>
      <c r="AP15" s="26">
        <f>SUMIFS(DATA_CURRENT!$V:$V,DATA_CURRENT!$E:$E,$A15,DATA_CURRENT!$X:$X,AP$5)</f>
        <v>0</v>
      </c>
      <c r="AQ15" s="30">
        <f>SUM(AN15:AP15)</f>
        <v>0</v>
      </c>
      <c r="AR15" s="27"/>
    </row>
    <row r="16" spans="1:44" x14ac:dyDescent="0.25">
      <c r="A16" s="18" t="s">
        <v>25</v>
      </c>
      <c r="C16" s="28" t="s">
        <v>26</v>
      </c>
      <c r="D16" s="29">
        <f>COUNTIF(DATA_PRIOR!$E:$E,A16)</f>
        <v>0</v>
      </c>
      <c r="E16" s="30">
        <f>SUMIF(DATA_PRIOR!$E:$E,A16,DATA_PRIOR!$V:$V)</f>
        <v>0</v>
      </c>
      <c r="G16" s="29">
        <f t="shared" si="0"/>
        <v>0</v>
      </c>
      <c r="H16" s="30">
        <f t="shared" si="1"/>
        <v>0</v>
      </c>
      <c r="J16" s="31">
        <f>COUNTIFS(DATA_CURRENT!$B:$B,"Unresolved (Aug)",DATA_CURRENT!$E:$E,$A16)</f>
        <v>0</v>
      </c>
      <c r="K16" s="32">
        <f>SUMIFS(DATA_CURRENT!$V:$V,DATA_CURRENT!$E:$E,$A16,DATA_CURRENT!$B:$B,"Unresolved (Aug)")</f>
        <v>0</v>
      </c>
      <c r="L16" s="31">
        <f>COUNTIFS(DATA_CURRENT!$B:$B,"Unresolved (Oct)",DATA_CURRENT!$E:$E,$A16)</f>
        <v>0</v>
      </c>
      <c r="M16" s="32">
        <f>SUMIFS(DATA_CURRENT!$V:$V,DATA_CURRENT!$E:$E,$A16,DATA_CURRENT!$B:$B,"Unresolved (Oct)")</f>
        <v>0</v>
      </c>
      <c r="N16" s="31">
        <f>COUNTIFS(DATA_CURRENT!$B:$B,"Unresolved (Nov)",DATA_CURRENT!$E:$E,$A16)</f>
        <v>0</v>
      </c>
      <c r="O16" s="32">
        <f>SUMIFS(DATA_CURRENT!$V:$V,DATA_CURRENT!$E:$E,$A16,DATA_CURRENT!$B:$B,"Unresolved (Nov)")</f>
        <v>0</v>
      </c>
      <c r="P16" s="31">
        <f>COUNTIFS(DATA_CURRENT!$B:$B,"Unresolved (Dec)",DATA_CURRENT!$E:$E,$A16)</f>
        <v>0</v>
      </c>
      <c r="Q16" s="32">
        <f>SUMIFS(DATA_CURRENT!$V:$V,DATA_CURRENT!$E:$E,$A16,DATA_CURRENT!$B:$B,"Unresolved (Dec)")</f>
        <v>0</v>
      </c>
      <c r="R16" s="31">
        <f>COUNTIFS(DATA_CURRENT!$B:$B,"Unresolved (Jan)",DATA_CURRENT!$E:$E,$A16)</f>
        <v>0</v>
      </c>
      <c r="S16" s="32">
        <f>SUMIFS(DATA_CURRENT!$V:$V,DATA_CURRENT!$E:$E,$A16,DATA_CURRENT!$B:$B,"Unresolved (Jan)")</f>
        <v>0</v>
      </c>
      <c r="T16" s="31">
        <f>COUNTIFS(DATA_CURRENT!$B:$B,"Unresolved (Feb)",DATA_CURRENT!$E:$E,$A16)</f>
        <v>0</v>
      </c>
      <c r="U16" s="32">
        <f>SUMIFS(DATA_CURRENT!$V:$V,DATA_CURRENT!$E:$E,$A16,DATA_CURRENT!$B:$B,"Unresolved (Feb)")</f>
        <v>0</v>
      </c>
      <c r="V16" s="31">
        <f>COUNTIFS(DATA_CURRENT!$B:$B,"Unresolved (Mar)",DATA_CURRENT!$E:$E,$A16)</f>
        <v>0</v>
      </c>
      <c r="W16" s="32">
        <f>SUMIFS(DATA_CURRENT!$V:$V,DATA_CURRENT!$E:$E,$A16,DATA_CURRENT!$B:$B,"Unresolved (Mar)")</f>
        <v>0</v>
      </c>
      <c r="X16" s="31">
        <f>COUNTIFS(DATA_CURRENT!$B:$B,"Unresolved (Apr)",DATA_CURRENT!$E:$E,$A16)</f>
        <v>0</v>
      </c>
      <c r="Y16" s="32">
        <f>SUMIFS(DATA_CURRENT!$V:$V,DATA_CURRENT!$E:$E,$A16,DATA_CURRENT!$B:$B,"Unresolved (Apr)")</f>
        <v>0</v>
      </c>
      <c r="Z16" s="31">
        <f>COUNTIFS(DATA_CURRENT!$B:$B,"Unresolved (May)",DATA_CURRENT!$E:$E,$A16)</f>
        <v>0</v>
      </c>
      <c r="AA16" s="32">
        <f>SUMIFS(DATA_CURRENT!$V:$V,DATA_CURRENT!$E:$E,$A16,DATA_CURRENT!$B:$B,"Unresolved (May)")</f>
        <v>0</v>
      </c>
      <c r="AB16" s="29">
        <f>COUNTIFS(DATA_CURRENT!$B:$B,"Added",DATA_CURRENT!$E:$E,$A16)</f>
        <v>0</v>
      </c>
      <c r="AC16" s="30">
        <f>SUMIFS(DATA_CURRENT!$V:$V,DATA_CURRENT!$E:$E,$A16,DATA_CURRENT!$B:$B,"Added")</f>
        <v>0</v>
      </c>
      <c r="AE16" s="29">
        <f t="shared" si="2"/>
        <v>0</v>
      </c>
      <c r="AF16" s="30">
        <f t="shared" si="3"/>
        <v>0</v>
      </c>
      <c r="AH16" s="28" t="s">
        <v>26</v>
      </c>
      <c r="AI16" s="77">
        <f>SUMIFS(DATA_CURRENT!$V:$V,DATA_CURRENT!$E:$E,$A16,DATA_CURRENT!$X:$X,AI$5)</f>
        <v>0</v>
      </c>
      <c r="AJ16" s="77">
        <f>SUMIFS(DATA_CURRENT!$V:$V,DATA_CURRENT!$E:$E,$A16,DATA_CURRENT!$X:$X,AJ$5)</f>
        <v>0</v>
      </c>
      <c r="AK16" s="77">
        <f>SUMIFS(DATA_CURRENT!$V:$V,DATA_CURRENT!$E:$E,$A16,DATA_CURRENT!$X:$X,AK$5)</f>
        <v>0</v>
      </c>
      <c r="AL16" s="77">
        <f>SUMIFS(DATA_CURRENT!$V:$V,DATA_CURRENT!$E:$E,$A16,DATA_CURRENT!$X:$X,AL$5)</f>
        <v>0</v>
      </c>
      <c r="AM16" s="77">
        <f>SUMIFS(DATA_CURRENT!$V:$V,DATA_CURRENT!$E:$E,$A16,DATA_CURRENT!$X:$X,AM$5)</f>
        <v>0</v>
      </c>
      <c r="AN16" s="33">
        <f t="shared" si="4"/>
        <v>0</v>
      </c>
      <c r="AO16" s="26">
        <f>SUMIFS(DATA_CURRENT!$V:$V,DATA_CURRENT!$E:$E,$A16,DATA_CURRENT!$X:$X,AO$5)</f>
        <v>0</v>
      </c>
      <c r="AP16" s="26">
        <f>SUMIFS(DATA_CURRENT!$V:$V,DATA_CURRENT!$E:$E,$A16,DATA_CURRENT!$X:$X,AP$5)</f>
        <v>0</v>
      </c>
      <c r="AQ16" s="30">
        <f t="shared" si="5"/>
        <v>0</v>
      </c>
      <c r="AR16" s="27"/>
    </row>
    <row r="17" spans="1:55" x14ac:dyDescent="0.25">
      <c r="C17" s="34" t="s">
        <v>12</v>
      </c>
      <c r="D17" s="35">
        <f>SUM(D6:D16)</f>
        <v>169</v>
      </c>
      <c r="E17" s="36">
        <f>SUM(E6:E16)</f>
        <v>1776.5800000000002</v>
      </c>
      <c r="G17" s="35">
        <f t="shared" si="0"/>
        <v>-85</v>
      </c>
      <c r="H17" s="36">
        <f t="shared" si="1"/>
        <v>-1146.2000000000003</v>
      </c>
      <c r="J17" s="37">
        <f t="shared" ref="J17:U17" si="6">SUM(J6:J16)</f>
        <v>1</v>
      </c>
      <c r="K17" s="38">
        <f t="shared" si="6"/>
        <v>-6.18</v>
      </c>
      <c r="L17" s="37">
        <f t="shared" si="6"/>
        <v>0</v>
      </c>
      <c r="M17" s="38">
        <f t="shared" si="6"/>
        <v>0</v>
      </c>
      <c r="N17" s="37">
        <f t="shared" si="6"/>
        <v>0</v>
      </c>
      <c r="O17" s="38">
        <f t="shared" si="6"/>
        <v>0</v>
      </c>
      <c r="P17" s="37">
        <f t="shared" si="6"/>
        <v>0</v>
      </c>
      <c r="Q17" s="38">
        <f t="shared" si="6"/>
        <v>0</v>
      </c>
      <c r="R17" s="37">
        <f t="shared" si="6"/>
        <v>6</v>
      </c>
      <c r="S17" s="38">
        <f t="shared" si="6"/>
        <v>58.28</v>
      </c>
      <c r="T17" s="37">
        <f t="shared" si="6"/>
        <v>0</v>
      </c>
      <c r="U17" s="38">
        <f t="shared" si="6"/>
        <v>0</v>
      </c>
      <c r="V17" s="37">
        <f t="shared" ref="V17:W17" si="7">SUM(V6:V16)</f>
        <v>2</v>
      </c>
      <c r="W17" s="38">
        <f t="shared" si="7"/>
        <v>39.880000000000003</v>
      </c>
      <c r="X17" s="37">
        <f t="shared" ref="X17:AC17" si="8">SUM(X6:X16)</f>
        <v>6</v>
      </c>
      <c r="Y17" s="38">
        <f t="shared" si="8"/>
        <v>7.52</v>
      </c>
      <c r="Z17" s="37">
        <f t="shared" ref="Z17:AA17" si="9">SUM(Z6:Z16)</f>
        <v>69</v>
      </c>
      <c r="AA17" s="38">
        <f t="shared" si="9"/>
        <v>530.88</v>
      </c>
      <c r="AB17" s="35">
        <f t="shared" si="8"/>
        <v>35</v>
      </c>
      <c r="AC17" s="36">
        <f t="shared" si="8"/>
        <v>705.77</v>
      </c>
      <c r="AE17" s="35">
        <f>+AB17+L17+J17+N17+P17+R17+T17+V17+X17+Z17</f>
        <v>119</v>
      </c>
      <c r="AF17" s="36">
        <f>+AC17+M17+K17+O17+Q17+S17+U17+W17+Y17+AA17</f>
        <v>1336.15</v>
      </c>
      <c r="AG17" s="27"/>
      <c r="AH17" s="34" t="s">
        <v>12</v>
      </c>
      <c r="AI17" s="36">
        <f>SUM(AI6:AI16)</f>
        <v>243.29000000000002</v>
      </c>
      <c r="AJ17" s="36">
        <f t="shared" ref="AJ17:AQ17" si="10">SUM(AJ6:AJ16)</f>
        <v>19.13</v>
      </c>
      <c r="AK17" s="36">
        <f t="shared" si="10"/>
        <v>312.76</v>
      </c>
      <c r="AL17" s="36">
        <f t="shared" si="10"/>
        <v>75.5</v>
      </c>
      <c r="AM17" s="36">
        <f t="shared" si="10"/>
        <v>-0.2</v>
      </c>
      <c r="AN17" s="36">
        <f t="shared" si="10"/>
        <v>650.4799999999999</v>
      </c>
      <c r="AO17" s="36">
        <f t="shared" si="10"/>
        <v>237.55</v>
      </c>
      <c r="AP17" s="36">
        <f t="shared" si="10"/>
        <v>448.12</v>
      </c>
      <c r="AQ17" s="36">
        <f t="shared" si="10"/>
        <v>1336.1499999999999</v>
      </c>
      <c r="AR17" s="27"/>
    </row>
    <row r="18" spans="1:55" ht="15.75" thickBot="1" x14ac:dyDescent="0.3">
      <c r="G18" s="39"/>
      <c r="H18" s="78">
        <f>H17/E17</f>
        <v>-0.64517218475948179</v>
      </c>
      <c r="J18" s="41"/>
      <c r="K18" s="42"/>
      <c r="L18" s="41"/>
      <c r="M18" s="42"/>
      <c r="N18" s="41"/>
      <c r="O18" s="1"/>
      <c r="P18" s="41"/>
      <c r="Q18" s="42"/>
      <c r="R18" s="1"/>
      <c r="S18" s="42"/>
      <c r="T18" s="41"/>
      <c r="U18" s="42"/>
      <c r="V18" s="1"/>
      <c r="W18" s="42"/>
      <c r="X18" s="1"/>
      <c r="Y18" s="42"/>
      <c r="Z18" s="1"/>
      <c r="AA18" s="42"/>
      <c r="AE18" s="139">
        <f>SUM(AE6:AE16)</f>
        <v>119</v>
      </c>
      <c r="AF18" s="140">
        <f>SUM(AF6:AF16)</f>
        <v>1336.1499999999999</v>
      </c>
      <c r="AW18" s="40"/>
    </row>
    <row r="19" spans="1:55" ht="15.75" thickTop="1" x14ac:dyDescent="0.25">
      <c r="G19" s="39"/>
      <c r="H19" s="2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E19" s="89"/>
      <c r="AF19" s="89"/>
      <c r="AW19" s="40"/>
    </row>
    <row r="20" spans="1:55" ht="15.75" thickBot="1" x14ac:dyDescent="0.3">
      <c r="E20" s="5"/>
      <c r="F20" s="5"/>
      <c r="G20" s="5"/>
      <c r="H20" s="5"/>
      <c r="R20" s="5"/>
      <c r="S20" s="5"/>
      <c r="T20" s="5"/>
      <c r="U20" s="5"/>
      <c r="V20" s="5"/>
      <c r="W20" s="5"/>
      <c r="X20" s="5"/>
      <c r="Y20" s="5"/>
      <c r="Z20" s="5"/>
      <c r="AA20" s="1"/>
    </row>
    <row r="21" spans="1:55" ht="15.75" thickTop="1" x14ac:dyDescent="0.25">
      <c r="J21" s="3"/>
      <c r="K21" s="4"/>
      <c r="L21" s="3"/>
      <c r="M21" s="4"/>
      <c r="N21" s="3"/>
      <c r="O21" s="4"/>
      <c r="P21" s="3"/>
      <c r="Q21" s="4"/>
      <c r="R21" s="3"/>
      <c r="S21" s="4"/>
      <c r="T21" s="3"/>
      <c r="U21" s="4"/>
      <c r="V21" s="3"/>
      <c r="W21" s="4"/>
      <c r="X21" s="3"/>
      <c r="Y21" s="4"/>
      <c r="Z21" s="3"/>
      <c r="AA21" s="5"/>
      <c r="AB21" s="13"/>
    </row>
    <row r="22" spans="1:55" ht="46.5" customHeight="1" thickBot="1" x14ac:dyDescent="0.3">
      <c r="D22" s="149" t="str">
        <f>+D3</f>
        <v>May'17</v>
      </c>
      <c r="E22" s="149"/>
      <c r="G22" s="149" t="s">
        <v>1</v>
      </c>
      <c r="H22" s="149"/>
      <c r="J22" s="146" t="str">
        <f>+J3</f>
        <v>unresolved (from August)</v>
      </c>
      <c r="K22" s="147"/>
      <c r="L22" s="146" t="str">
        <f>+L3</f>
        <v>unresolved (from October)</v>
      </c>
      <c r="M22" s="147"/>
      <c r="N22" s="146" t="str">
        <f>+N3</f>
        <v>unresolved (from November)</v>
      </c>
      <c r="O22" s="147"/>
      <c r="P22" s="143" t="str">
        <f>+P3</f>
        <v>unresolved (from December)</v>
      </c>
      <c r="Q22" s="143"/>
      <c r="R22" s="143" t="str">
        <f>+R3</f>
        <v>unresolved (from January)</v>
      </c>
      <c r="S22" s="143"/>
      <c r="T22" s="143" t="str">
        <f>+T3</f>
        <v>unresolved (from February)</v>
      </c>
      <c r="U22" s="143"/>
      <c r="V22" s="143" t="str">
        <f>+V3</f>
        <v>unresolved (from March)</v>
      </c>
      <c r="W22" s="143"/>
      <c r="X22" s="143" t="str">
        <f>+X3</f>
        <v>unresolved (from April)</v>
      </c>
      <c r="Y22" s="143"/>
      <c r="Z22" s="143" t="str">
        <f>+Z3</f>
        <v>unresolved (from May)</v>
      </c>
      <c r="AA22" s="143"/>
      <c r="AB22" s="148" t="str">
        <f>+AB3</f>
        <v>Added (from 150-180days)</v>
      </c>
      <c r="AC22" s="148"/>
      <c r="AE22" s="149" t="str">
        <f>+AE3</f>
        <v>June'17</v>
      </c>
      <c r="AF22" s="149"/>
      <c r="AS22" s="43" t="s">
        <v>27</v>
      </c>
      <c r="AW22" s="43" t="s">
        <v>28</v>
      </c>
    </row>
    <row r="23" spans="1:55" ht="47.25" customHeight="1" thickTop="1" thickBot="1" x14ac:dyDescent="0.3">
      <c r="C23" s="7" t="s">
        <v>29</v>
      </c>
      <c r="D23" s="8" t="s">
        <v>7</v>
      </c>
      <c r="E23" s="9" t="s">
        <v>8</v>
      </c>
      <c r="G23" s="8" t="s">
        <v>7</v>
      </c>
      <c r="H23" s="9" t="s">
        <v>8</v>
      </c>
      <c r="J23" s="10" t="s">
        <v>7</v>
      </c>
      <c r="K23" s="11" t="s">
        <v>8</v>
      </c>
      <c r="L23" s="10" t="s">
        <v>7</v>
      </c>
      <c r="M23" s="11" t="s">
        <v>8</v>
      </c>
      <c r="N23" s="10" t="s">
        <v>7</v>
      </c>
      <c r="O23" s="11" t="s">
        <v>8</v>
      </c>
      <c r="P23" s="10" t="s">
        <v>7</v>
      </c>
      <c r="Q23" s="11" t="s">
        <v>8</v>
      </c>
      <c r="R23" s="10" t="s">
        <v>7</v>
      </c>
      <c r="S23" s="11" t="s">
        <v>8</v>
      </c>
      <c r="T23" s="10" t="s">
        <v>7</v>
      </c>
      <c r="U23" s="11" t="s">
        <v>8</v>
      </c>
      <c r="V23" s="10" t="s">
        <v>7</v>
      </c>
      <c r="W23" s="11" t="s">
        <v>8</v>
      </c>
      <c r="X23" s="10" t="s">
        <v>7</v>
      </c>
      <c r="Y23" s="11" t="s">
        <v>8</v>
      </c>
      <c r="Z23" s="10" t="s">
        <v>7</v>
      </c>
      <c r="AA23" s="11" t="s">
        <v>8</v>
      </c>
      <c r="AB23" s="8" t="s">
        <v>7</v>
      </c>
      <c r="AC23" s="9" t="s">
        <v>8</v>
      </c>
      <c r="AE23" s="8" t="s">
        <v>7</v>
      </c>
      <c r="AF23" s="9" t="s">
        <v>8</v>
      </c>
      <c r="AH23" s="7" t="s">
        <v>29</v>
      </c>
      <c r="AI23" s="12"/>
      <c r="AJ23" s="12"/>
      <c r="AK23" s="12"/>
      <c r="AL23" s="12"/>
      <c r="AM23" s="12"/>
      <c r="AN23" s="8" t="s">
        <v>9</v>
      </c>
      <c r="AO23" s="8" t="s">
        <v>10</v>
      </c>
      <c r="AP23" s="8" t="s">
        <v>11</v>
      </c>
      <c r="AQ23" s="9" t="s">
        <v>12</v>
      </c>
      <c r="AS23" s="8" t="s">
        <v>30</v>
      </c>
      <c r="AT23" s="8" t="s">
        <v>31</v>
      </c>
      <c r="AU23" s="8" t="s">
        <v>32</v>
      </c>
      <c r="AW23" s="8" t="s">
        <v>31</v>
      </c>
      <c r="AX23" s="8" t="s">
        <v>32</v>
      </c>
      <c r="AY23" s="8" t="s">
        <v>33</v>
      </c>
    </row>
    <row r="24" spans="1:55" ht="15.75" thickBot="1" x14ac:dyDescent="0.3">
      <c r="J24" s="13"/>
      <c r="K24" s="6"/>
      <c r="L24" s="13"/>
      <c r="M24" s="6"/>
      <c r="N24" s="13"/>
      <c r="O24" s="6"/>
      <c r="P24" s="13"/>
      <c r="Q24" s="6"/>
      <c r="R24" s="13"/>
      <c r="S24" s="6"/>
      <c r="T24" s="13"/>
      <c r="U24" s="6"/>
      <c r="V24" s="13"/>
      <c r="W24" s="6"/>
      <c r="X24" s="13"/>
      <c r="Y24" s="6"/>
      <c r="Z24" s="5"/>
      <c r="AA24" s="97"/>
      <c r="AH24" s="7"/>
      <c r="AI24" s="14">
        <v>1</v>
      </c>
      <c r="AJ24" s="14">
        <v>2</v>
      </c>
      <c r="AK24" s="14">
        <v>3</v>
      </c>
      <c r="AL24" s="14">
        <v>4</v>
      </c>
      <c r="AM24" s="14">
        <v>5</v>
      </c>
      <c r="AN24" s="15"/>
      <c r="AO24" s="16">
        <v>8</v>
      </c>
      <c r="AP24" s="16" t="s">
        <v>13</v>
      </c>
      <c r="AQ24" s="17"/>
      <c r="AV24" s="44" t="s">
        <v>34</v>
      </c>
      <c r="AW24" s="24"/>
      <c r="AZ24" s="44" t="s">
        <v>35</v>
      </c>
      <c r="BB24" s="44" t="s">
        <v>36</v>
      </c>
    </row>
    <row r="25" spans="1:55" x14ac:dyDescent="0.25">
      <c r="A25" s="18" t="s">
        <v>37</v>
      </c>
      <c r="C25" s="19" t="s">
        <v>38</v>
      </c>
      <c r="D25" s="20">
        <f>COUNTIF(DATA_PRIOR!$J:$J,A25)</f>
        <v>20</v>
      </c>
      <c r="E25" s="21">
        <f>SUMIF(DATA_PRIOR!$J:$J,A25,DATA_PRIOR!$V:$V)</f>
        <v>337.22</v>
      </c>
      <c r="G25" s="20">
        <f>+L25-D25+J25+N25+P25+R25+T25+V25+X25+Z25</f>
        <v>-16</v>
      </c>
      <c r="H25" s="21">
        <f>+M25-E25+K25+O25+Q25+S25+U25+W25+Y25+AA25</f>
        <v>-276.52000000000004</v>
      </c>
      <c r="J25" s="22">
        <f>COUNTIFS(DATA_CURRENT!$B:$B,"Unresolved (Aug)",DATA_CURRENT!$J:$J,$A25)</f>
        <v>0</v>
      </c>
      <c r="K25" s="23">
        <f>SUMIFS(DATA_CURRENT!$V:$V,DATA_CURRENT!$J:$J,$A25,DATA_CURRENT!$B:$B,"Unresolved (Aug)")</f>
        <v>0</v>
      </c>
      <c r="L25" s="22">
        <f>COUNTIFS(DATA_CURRENT!$B:$B,"Unresolved (Oct)",DATA_CURRENT!$J:$J,$A25)</f>
        <v>0</v>
      </c>
      <c r="M25" s="23">
        <f>SUMIFS(DATA_CURRENT!$V:$V,DATA_CURRENT!$J:$J,$A25,DATA_CURRENT!$B:$B,"Unresolved (Oct)")</f>
        <v>0</v>
      </c>
      <c r="N25" s="22">
        <f>COUNTIFS(DATA_CURRENT!$B:$B,"Unresolved (Nov)",DATA_CURRENT!$J:$J,$A25)</f>
        <v>0</v>
      </c>
      <c r="O25" s="23">
        <f>SUMIFS(DATA_CURRENT!$V:$V,DATA_CURRENT!$J:$J,$A25,DATA_CURRENT!$B:$B,"Unresolved (Nov)")</f>
        <v>0</v>
      </c>
      <c r="P25" s="22">
        <f>COUNTIFS(DATA_CURRENT!$B:$B,"Unresolved (Dec)",DATA_CURRENT!$J:$J,$A25)</f>
        <v>0</v>
      </c>
      <c r="Q25" s="23">
        <f>SUMIFS(DATA_CURRENT!$V:$V,DATA_CURRENT!$J:$J,$A25,DATA_CURRENT!$B:$B,"Unresolved (Dec)")</f>
        <v>0</v>
      </c>
      <c r="R25" s="22">
        <f>COUNTIFS(DATA_CURRENT!$B:$B,"Unresolved (Jan)",DATA_CURRENT!$J:$J,$A25)</f>
        <v>0</v>
      </c>
      <c r="S25" s="23">
        <f>SUMIFS(DATA_CURRENT!$V:$V,DATA_CURRENT!$J:$J,$A25,DATA_CURRENT!$B:$B,"Unresolved (Jan)")</f>
        <v>0</v>
      </c>
      <c r="T25" s="22">
        <f>COUNTIFS(DATA_CURRENT!$B:$B,"Unresolved (Feb)",DATA_CURRENT!$J:$J,$A25)</f>
        <v>0</v>
      </c>
      <c r="U25" s="23">
        <f>SUMIFS(DATA_CURRENT!$V:$V,DATA_CURRENT!$J:$J,$A25,DATA_CURRENT!$B:$B,"Unresolved (Feb)")</f>
        <v>0</v>
      </c>
      <c r="V25" s="22">
        <f>COUNTIFS(DATA_CURRENT!$B:$B,"Unresolved (Mar)",DATA_CURRENT!$J:$J,$A25)</f>
        <v>0</v>
      </c>
      <c r="W25" s="23">
        <f>SUMIFS(DATA_CURRENT!$V:$V,DATA_CURRENT!$J:$J,$A25,DATA_CURRENT!$B:$B,"Unresolved (Mar)")</f>
        <v>0</v>
      </c>
      <c r="X25" s="22">
        <f>COUNTIFS(DATA_CURRENT!$B:$B,"Unresolved (Apr)",DATA_CURRENT!$J:$J,$A25)</f>
        <v>0</v>
      </c>
      <c r="Y25" s="23">
        <f>SUMIFS(DATA_CURRENT!$V:$V,DATA_CURRENT!$J:$J,$A25,DATA_CURRENT!$B:$B,"Unresolved (Apr)")</f>
        <v>0</v>
      </c>
      <c r="Z25" s="22">
        <f>COUNTIFS(DATA_CURRENT!$B:$B,"Unresolved (May)",DATA_CURRENT!$J:$J,$A25)</f>
        <v>4</v>
      </c>
      <c r="AA25" s="23">
        <f>SUMIFS(DATA_CURRENT!$V:$V,DATA_CURRENT!$J:$J,$A25,DATA_CURRENT!$B:$B,"Unresolved (May)")</f>
        <v>60.7</v>
      </c>
      <c r="AB25" s="20">
        <f>COUNTIFS(DATA_CURRENT!$B:$B,"Added",DATA_CURRENT!$J:$J,$A25)</f>
        <v>3</v>
      </c>
      <c r="AC25" s="21">
        <f>SUMIFS(DATA_CURRENT!$V:$V,DATA_CURRENT!$J:$J,$A25,DATA_CURRENT!$B:$B,"Added")</f>
        <v>71.84</v>
      </c>
      <c r="AE25" s="20">
        <f t="shared" ref="AE25:AE39" si="11">+AB25+L25+J25+N25+P25+R25+T25+V25+X25+Z25</f>
        <v>7</v>
      </c>
      <c r="AF25" s="21">
        <f t="shared" ref="AF25:AF39" si="12">+AC25+M25+K25+O25+Q25+S25+U25+W25+Y25+AA25</f>
        <v>132.54000000000002</v>
      </c>
      <c r="AH25" s="19" t="s">
        <v>38</v>
      </c>
      <c r="AI25" s="77">
        <f>SUMIFS(DATA_CURRENT!$V:$V,DATA_CURRENT!$J:$J,$A25,DATA_CURRENT!$X:$X,AI$5)</f>
        <v>0</v>
      </c>
      <c r="AJ25" s="77">
        <f>SUMIFS(DATA_CURRENT!$V:$V,DATA_CURRENT!$J:$J,$A25,DATA_CURRENT!$X:$X,AJ$5)</f>
        <v>-1.82</v>
      </c>
      <c r="AK25" s="77">
        <f>SUMIFS(DATA_CURRENT!$V:$V,DATA_CURRENT!$J:$J,$A25,DATA_CURRENT!$X:$X,AK$5)</f>
        <v>0</v>
      </c>
      <c r="AL25" s="77">
        <f>SUMIFS(DATA_CURRENT!$V:$V,DATA_CURRENT!$J:$J,$A25,DATA_CURRENT!$X:$X,AL$5)</f>
        <v>0</v>
      </c>
      <c r="AM25" s="77">
        <f>SUMIFS(DATA_CURRENT!$V:$V,DATA_CURRENT!$J:$J,$A25,DATA_CURRENT!$X:$X,AM$5)</f>
        <v>0</v>
      </c>
      <c r="AN25" s="33">
        <f t="shared" ref="AN25:AN38" si="13">SUM(AI25:AM25)</f>
        <v>-1.82</v>
      </c>
      <c r="AO25" s="24">
        <f>SUMIFS(DATA_CURRENT!$V:$V,DATA_CURRENT!$J:$J,$A25,DATA_CURRENT!$X:$X,AO$5)</f>
        <v>85.009999999999991</v>
      </c>
      <c r="AP25" s="24">
        <f>SUMIFS(DATA_CURRENT!$V:$V,DATA_CURRENT!$J:$J,$A25,DATA_CURRENT!$X:$X,AP$5)</f>
        <v>49.35</v>
      </c>
      <c r="AQ25" s="21">
        <f t="shared" ref="AQ25:AQ34" si="14">SUM(AN25:AP25)</f>
        <v>132.54</v>
      </c>
      <c r="AS25" s="24">
        <f>SUMIFS(DATA_CURRENT!$Z:$Z,DATA_CURRENT!$J:$J,$A25,DATA_CURRENT!$Y:$Y,AS$23)</f>
        <v>0</v>
      </c>
      <c r="AT25" s="24">
        <f>SUMIFS(DATA_CURRENT!$Z:$Z,DATA_CURRENT!$J:$J,$A25,DATA_CURRENT!$Y:$Y,AT$23)</f>
        <v>23.765000000000001</v>
      </c>
      <c r="AU25" s="24">
        <f>SUMIFS(DATA_CURRENT!$Z:$Z,DATA_CURRENT!$J:$J,$A25,DATA_CURRENT!$Y:$Y,AU$23)</f>
        <v>21.252499999999998</v>
      </c>
      <c r="AV25" s="21">
        <f t="shared" ref="AV25:AV38" si="15">SUM(AS25:AU25)</f>
        <v>45.017499999999998</v>
      </c>
      <c r="AW25" s="24">
        <f>SUMIFS(DATA_CURRENT!$AA:$AA,DATA_CURRENT!$J:$J,$A25,DATA_CURRENT!$Y:$Y,AW$23)</f>
        <v>23.765000000000001</v>
      </c>
      <c r="AX25" s="24">
        <f>SUMIFS(DATA_CURRENT!$AA:$AA,DATA_CURRENT!$J:$J,$A25,DATA_CURRENT!$Y:$Y,AX$23)</f>
        <v>63.7575</v>
      </c>
      <c r="AY25" s="24">
        <f>SUMIFS(DATA_CURRENT!$AA:$AA,DATA_CURRENT!$J:$J,$A25,DATA_CURRENT!$Y:$Y,AY$23)</f>
        <v>0</v>
      </c>
      <c r="AZ25" s="21">
        <f t="shared" ref="AZ25:AZ38" si="16">SUM(AW25:AY25)</f>
        <v>87.522500000000008</v>
      </c>
      <c r="BB25" s="21">
        <f t="shared" ref="BB25:BB39" si="17">AZ25+AV25</f>
        <v>132.54000000000002</v>
      </c>
      <c r="BC25" s="27">
        <f t="shared" ref="BC25:BC39" si="18">BB25-AQ25</f>
        <v>0</v>
      </c>
    </row>
    <row r="26" spans="1:55" x14ac:dyDescent="0.25">
      <c r="A26" s="18" t="s">
        <v>39</v>
      </c>
      <c r="C26" s="28" t="s">
        <v>40</v>
      </c>
      <c r="D26" s="29">
        <f>COUNTIF(DATA_PRIOR!$J:$J,A26)</f>
        <v>4</v>
      </c>
      <c r="E26" s="30">
        <f>SUMIF(DATA_PRIOR!$J:$J,A26,DATA_PRIOR!$V:$V)</f>
        <v>57.35</v>
      </c>
      <c r="G26" s="29">
        <f t="shared" ref="G26:G39" si="19">+L26-D26+J26+N26+P26+R26+T26+V26+X26+Z26</f>
        <v>0</v>
      </c>
      <c r="H26" s="30">
        <f t="shared" ref="H26:H39" si="20">+M26-E26+K26+O26+Q26+S26+U26+W26+Y26+AA26</f>
        <v>-28.14</v>
      </c>
      <c r="J26" s="31">
        <f>COUNTIFS(DATA_CURRENT!$B:$B,"Unresolved (Aug)",DATA_CURRENT!$J:$J,$A26)</f>
        <v>0</v>
      </c>
      <c r="K26" s="32">
        <f>SUMIFS(DATA_CURRENT!$V:$V,DATA_CURRENT!$J:$J,$A26,DATA_CURRENT!$B:$B,"Unresolved (Aug)")</f>
        <v>0</v>
      </c>
      <c r="L26" s="31">
        <f>COUNTIFS(DATA_CURRENT!$B:$B,"Unresolved (Oct)",DATA_CURRENT!$J:$J,$A26)</f>
        <v>0</v>
      </c>
      <c r="M26" s="32">
        <f>SUMIFS(DATA_CURRENT!$V:$V,DATA_CURRENT!$J:$J,$A26,DATA_CURRENT!$B:$B,"Unresolved (Oct)")</f>
        <v>0</v>
      </c>
      <c r="N26" s="31">
        <f>COUNTIFS(DATA_CURRENT!$B:$B,"Unresolved (Nov)",DATA_CURRENT!$J:$J,$A26)</f>
        <v>0</v>
      </c>
      <c r="O26" s="32">
        <f>SUMIFS(DATA_CURRENT!$V:$V,DATA_CURRENT!$J:$J,$A26,DATA_CURRENT!$B:$B,"Unresolved (Nov)")</f>
        <v>0</v>
      </c>
      <c r="P26" s="31">
        <f>COUNTIFS(DATA_CURRENT!$B:$B,"Unresolved (Dec)",DATA_CURRENT!$J:$J,$A26)</f>
        <v>0</v>
      </c>
      <c r="Q26" s="32">
        <f>SUMIFS(DATA_CURRENT!$V:$V,DATA_CURRENT!$J:$J,$A26,DATA_CURRENT!$B:$B,"Unresolved (Dec)")</f>
        <v>0</v>
      </c>
      <c r="R26" s="31">
        <f>COUNTIFS(DATA_CURRENT!$B:$B,"Unresolved (Jan)",DATA_CURRENT!$J:$J,$A26)</f>
        <v>0</v>
      </c>
      <c r="S26" s="32">
        <f>SUMIFS(DATA_CURRENT!$V:$V,DATA_CURRENT!$J:$J,$A26,DATA_CURRENT!$B:$B,"Unresolved (Jan)")</f>
        <v>0</v>
      </c>
      <c r="T26" s="31">
        <f>COUNTIFS(DATA_CURRENT!$B:$B,"Unresolved (Feb)",DATA_CURRENT!$J:$J,$A26)</f>
        <v>0</v>
      </c>
      <c r="U26" s="32">
        <f>SUMIFS(DATA_CURRENT!$V:$V,DATA_CURRENT!$J:$J,$A26,DATA_CURRENT!$B:$B,"Unresolved (Feb)")</f>
        <v>0</v>
      </c>
      <c r="V26" s="31">
        <f>COUNTIFS(DATA_CURRENT!$B:$B,"Unresolved (Mar)",DATA_CURRENT!$J:$J,$A26)</f>
        <v>0</v>
      </c>
      <c r="W26" s="32">
        <f>SUMIFS(DATA_CURRENT!$V:$V,DATA_CURRENT!$J:$J,$A26,DATA_CURRENT!$B:$B,"Unresolved (Mar)")</f>
        <v>0</v>
      </c>
      <c r="X26" s="31">
        <f>COUNTIFS(DATA_CURRENT!$B:$B,"Unresolved (Apr)",DATA_CURRENT!$J:$J,$A26)</f>
        <v>0</v>
      </c>
      <c r="Y26" s="32">
        <f>SUMIFS(DATA_CURRENT!$V:$V,DATA_CURRENT!$J:$J,$A26,DATA_CURRENT!$B:$B,"Unresolved (Apr)")</f>
        <v>0</v>
      </c>
      <c r="Z26" s="31">
        <f>COUNTIFS(DATA_CURRENT!$B:$B,"Unresolved (May)",DATA_CURRENT!$J:$J,$A26)</f>
        <v>4</v>
      </c>
      <c r="AA26" s="32">
        <f>SUMIFS(DATA_CURRENT!$V:$V,DATA_CURRENT!$J:$J,$A26,DATA_CURRENT!$B:$B,"Unresolved (May)")</f>
        <v>29.21</v>
      </c>
      <c r="AB26" s="29">
        <f>COUNTIFS(DATA_CURRENT!$B:$B,"Added",DATA_CURRENT!$J:$J,$A26)</f>
        <v>1</v>
      </c>
      <c r="AC26" s="30">
        <f>SUMIFS(DATA_CURRENT!$V:$V,DATA_CURRENT!$J:$J,$A26,DATA_CURRENT!$B:$B,"Added")</f>
        <v>27.97</v>
      </c>
      <c r="AE26" s="29">
        <f t="shared" si="11"/>
        <v>5</v>
      </c>
      <c r="AF26" s="30">
        <f t="shared" si="12"/>
        <v>57.18</v>
      </c>
      <c r="AH26" s="28" t="s">
        <v>40</v>
      </c>
      <c r="AI26" s="77">
        <f>SUMIFS(DATA_CURRENT!$V:$V,DATA_CURRENT!$J:$J,$A26,DATA_CURRENT!$X:$X,AI$5)</f>
        <v>0</v>
      </c>
      <c r="AJ26" s="77">
        <f>SUMIFS(DATA_CURRENT!$V:$V,DATA_CURRENT!$J:$J,$A26,DATA_CURRENT!$X:$X,AJ$5)</f>
        <v>0</v>
      </c>
      <c r="AK26" s="77">
        <f>SUMIFS(DATA_CURRENT!$V:$V,DATA_CURRENT!$J:$J,$A26,DATA_CURRENT!$X:$X,AK$5)</f>
        <v>0</v>
      </c>
      <c r="AL26" s="77">
        <f>SUMIFS(DATA_CURRENT!$V:$V,DATA_CURRENT!$J:$J,$A26,DATA_CURRENT!$X:$X,AL$5)</f>
        <v>0</v>
      </c>
      <c r="AM26" s="77">
        <f>SUMIFS(DATA_CURRENT!$V:$V,DATA_CURRENT!$J:$J,$A26,DATA_CURRENT!$X:$X,AM$5)</f>
        <v>-0.2</v>
      </c>
      <c r="AN26" s="26">
        <f t="shared" si="13"/>
        <v>-0.2</v>
      </c>
      <c r="AO26" s="33">
        <f>SUMIFS(DATA_CURRENT!$V:$V,DATA_CURRENT!$J:$J,$A26,DATA_CURRENT!$X:$X,AO$5)</f>
        <v>0</v>
      </c>
      <c r="AP26" s="26">
        <f>SUMIFS(DATA_CURRENT!$V:$V,DATA_CURRENT!$J:$J,$A26,DATA_CURRENT!$X:$X,AP$5)</f>
        <v>57.379999999999995</v>
      </c>
      <c r="AQ26" s="30">
        <f t="shared" si="14"/>
        <v>57.179999999999993</v>
      </c>
      <c r="AS26" s="26">
        <f>SUMIFS(DATA_CURRENT!$Z:$Z,DATA_CURRENT!$J:$J,$A26,DATA_CURRENT!$Y:$Y,AS$23)</f>
        <v>0</v>
      </c>
      <c r="AT26" s="26">
        <f>SUMIFS(DATA_CURRENT!$Z:$Z,DATA_CURRENT!$J:$J,$A26,DATA_CURRENT!$Y:$Y,AT$23)</f>
        <v>28.689999999999998</v>
      </c>
      <c r="AU26" s="26">
        <f>SUMIFS(DATA_CURRENT!$Z:$Z,DATA_CURRENT!$J:$J,$A26,DATA_CURRENT!$Y:$Y,AU$23)</f>
        <v>0</v>
      </c>
      <c r="AV26" s="30">
        <f t="shared" si="15"/>
        <v>28.689999999999998</v>
      </c>
      <c r="AW26" s="26">
        <f>SUMIFS(DATA_CURRENT!$AA:$AA,DATA_CURRENT!$J:$J,$A26,DATA_CURRENT!$Y:$Y,AW$23)</f>
        <v>28.689999999999998</v>
      </c>
      <c r="AX26" s="26">
        <f>SUMIFS(DATA_CURRENT!$AA:$AA,DATA_CURRENT!$J:$J,$A26,DATA_CURRENT!$Y:$Y,AX$23)</f>
        <v>0</v>
      </c>
      <c r="AY26" s="26">
        <f>SUMIFS(DATA_CURRENT!$AA:$AA,DATA_CURRENT!$J:$J,$A26,DATA_CURRENT!$Y:$Y,AY$23)</f>
        <v>-0.2</v>
      </c>
      <c r="AZ26" s="30">
        <f t="shared" si="16"/>
        <v>28.49</v>
      </c>
      <c r="BB26" s="30">
        <f t="shared" si="17"/>
        <v>57.179999999999993</v>
      </c>
      <c r="BC26" s="27">
        <f t="shared" si="18"/>
        <v>0</v>
      </c>
    </row>
    <row r="27" spans="1:55" x14ac:dyDescent="0.25">
      <c r="A27" s="18" t="s">
        <v>41</v>
      </c>
      <c r="C27" s="28" t="s">
        <v>42</v>
      </c>
      <c r="D27" s="29">
        <f>COUNTIF(DATA_PRIOR!$J:$J,A27)</f>
        <v>61</v>
      </c>
      <c r="E27" s="30">
        <f>SUMIF(DATA_PRIOR!$J:$J,A27,DATA_PRIOR!$V:$V)</f>
        <v>260.08000000000004</v>
      </c>
      <c r="G27" s="29">
        <f t="shared" si="19"/>
        <v>-24</v>
      </c>
      <c r="H27" s="30">
        <f t="shared" si="20"/>
        <v>-174.46000000000004</v>
      </c>
      <c r="J27" s="31">
        <f>COUNTIFS(DATA_CURRENT!$B:$B,"Unresolved (Aug)",DATA_CURRENT!$J:$J,$A27)</f>
        <v>0</v>
      </c>
      <c r="K27" s="32">
        <f>SUMIFS(DATA_CURRENT!$V:$V,DATA_CURRENT!$J:$J,$A27,DATA_CURRENT!$B:$B,"Unresolved (Aug)")</f>
        <v>0</v>
      </c>
      <c r="L27" s="31">
        <f>COUNTIFS(DATA_CURRENT!$B:$B,"Unresolved (Oct)",DATA_CURRENT!$J:$J,$A27)</f>
        <v>0</v>
      </c>
      <c r="M27" s="32">
        <f>SUMIFS(DATA_CURRENT!$V:$V,DATA_CURRENT!$J:$J,$A27,DATA_CURRENT!$B:$B,"Unresolved (Oct)")</f>
        <v>0</v>
      </c>
      <c r="N27" s="31">
        <f>COUNTIFS(DATA_CURRENT!$B:$B,"Unresolved (Nov)",DATA_CURRENT!$J:$J,$A27)</f>
        <v>0</v>
      </c>
      <c r="O27" s="32">
        <f>SUMIFS(DATA_CURRENT!$V:$V,DATA_CURRENT!$J:$J,$A27,DATA_CURRENT!$B:$B,"Unresolved (Nov)")</f>
        <v>0</v>
      </c>
      <c r="P27" s="31">
        <f>COUNTIFS(DATA_CURRENT!$B:$B,"Unresolved (Dec)",DATA_CURRENT!$J:$J,$A27)</f>
        <v>0</v>
      </c>
      <c r="Q27" s="32">
        <f>SUMIFS(DATA_CURRENT!$V:$V,DATA_CURRENT!$J:$J,$A27,DATA_CURRENT!$B:$B,"Unresolved (Dec)")</f>
        <v>0</v>
      </c>
      <c r="R27" s="31">
        <f>COUNTIFS(DATA_CURRENT!$B:$B,"Unresolved (Jan)",DATA_CURRENT!$J:$J,$A27)</f>
        <v>0</v>
      </c>
      <c r="S27" s="32">
        <f>SUMIFS(DATA_CURRENT!$V:$V,DATA_CURRENT!$J:$J,$A27,DATA_CURRENT!$B:$B,"Unresolved (Jan)")</f>
        <v>0</v>
      </c>
      <c r="T27" s="31">
        <f>COUNTIFS(DATA_CURRENT!$B:$B,"Unresolved (Feb)",DATA_CURRENT!$J:$J,$A27)</f>
        <v>0</v>
      </c>
      <c r="U27" s="32">
        <f>SUMIFS(DATA_CURRENT!$V:$V,DATA_CURRENT!$J:$J,$A27,DATA_CURRENT!$B:$B,"Unresolved (Feb)")</f>
        <v>0</v>
      </c>
      <c r="V27" s="31">
        <f>COUNTIFS(DATA_CURRENT!$B:$B,"Unresolved (Mar)",DATA_CURRENT!$J:$J,$A27)</f>
        <v>0</v>
      </c>
      <c r="W27" s="32">
        <f>SUMIFS(DATA_CURRENT!$V:$V,DATA_CURRENT!$J:$J,$A27,DATA_CURRENT!$B:$B,"Unresolved (Mar)")</f>
        <v>0</v>
      </c>
      <c r="X27" s="31">
        <f>COUNTIFS(DATA_CURRENT!$B:$B,"Unresolved (Apr)",DATA_CURRENT!$J:$J,$A27)</f>
        <v>6</v>
      </c>
      <c r="Y27" s="32">
        <f>SUMIFS(DATA_CURRENT!$V:$V,DATA_CURRENT!$J:$J,$A27,DATA_CURRENT!$B:$B,"Unresolved (Apr)")</f>
        <v>7.52</v>
      </c>
      <c r="Z27" s="31">
        <f>COUNTIFS(DATA_CURRENT!$B:$B,"Unresolved (May)",DATA_CURRENT!$J:$J,$A27)</f>
        <v>31</v>
      </c>
      <c r="AA27" s="32">
        <f>SUMIFS(DATA_CURRENT!$V:$V,DATA_CURRENT!$J:$J,$A27,DATA_CURRENT!$B:$B,"Unresolved (May)")</f>
        <v>78.099999999999994</v>
      </c>
      <c r="AB27" s="29">
        <f>COUNTIFS(DATA_CURRENT!$B:$B,"Added",DATA_CURRENT!$J:$J,$A27)</f>
        <v>10</v>
      </c>
      <c r="AC27" s="30">
        <f>SUMIFS(DATA_CURRENT!$V:$V,DATA_CURRENT!$J:$J,$A27,DATA_CURRENT!$B:$B,"Added")</f>
        <v>115.31</v>
      </c>
      <c r="AE27" s="29">
        <f t="shared" si="11"/>
        <v>47</v>
      </c>
      <c r="AF27" s="30">
        <f t="shared" si="12"/>
        <v>200.93</v>
      </c>
      <c r="AH27" s="28" t="s">
        <v>42</v>
      </c>
      <c r="AI27" s="77">
        <f>SUMIFS(DATA_CURRENT!$V:$V,DATA_CURRENT!$J:$J,$A27,DATA_CURRENT!$X:$X,AI$5)</f>
        <v>89.84</v>
      </c>
      <c r="AJ27" s="77">
        <f>SUMIFS(DATA_CURRENT!$V:$V,DATA_CURRENT!$J:$J,$A27,DATA_CURRENT!$X:$X,AJ$5)</f>
        <v>0</v>
      </c>
      <c r="AK27" s="77">
        <f>SUMIFS(DATA_CURRENT!$V:$V,DATA_CURRENT!$J:$J,$A27,DATA_CURRENT!$X:$X,AK$5)</f>
        <v>23.76</v>
      </c>
      <c r="AL27" s="77">
        <f>SUMIFS(DATA_CURRENT!$V:$V,DATA_CURRENT!$J:$J,$A27,DATA_CURRENT!$X:$X,AL$5)</f>
        <v>38.56</v>
      </c>
      <c r="AM27" s="77">
        <f>SUMIFS(DATA_CURRENT!$V:$V,DATA_CURRENT!$J:$J,$A27,DATA_CURRENT!$X:$X,AM$5)</f>
        <v>0</v>
      </c>
      <c r="AN27" s="26">
        <f t="shared" si="13"/>
        <v>152.16000000000003</v>
      </c>
      <c r="AO27" s="33">
        <f>SUMIFS(DATA_CURRENT!$V:$V,DATA_CURRENT!$J:$J,$A27,DATA_CURRENT!$X:$X,AO$5)</f>
        <v>48.77</v>
      </c>
      <c r="AP27" s="26">
        <f>SUMIFS(DATA_CURRENT!$V:$V,DATA_CURRENT!$J:$J,$A27,DATA_CURRENT!$X:$X,AP$5)</f>
        <v>0</v>
      </c>
      <c r="AQ27" s="30">
        <f t="shared" si="14"/>
        <v>200.93000000000004</v>
      </c>
      <c r="AS27" s="33">
        <f>SUMIFS(DATA_CURRENT!$Z:$Z,DATA_CURRENT!$J:$J,$A27,DATA_CURRENT!$Y:$Y,AS$23)</f>
        <v>89.84</v>
      </c>
      <c r="AT27" s="33">
        <f>SUMIFS(DATA_CURRENT!$Z:$Z,DATA_CURRENT!$J:$J,$A27,DATA_CURRENT!$Y:$Y,AT$23)</f>
        <v>31.16</v>
      </c>
      <c r="AU27" s="33">
        <f>SUMIFS(DATA_CURRENT!$Z:$Z,DATA_CURRENT!$J:$J,$A27,DATA_CURRENT!$Y:$Y,AU$23)</f>
        <v>12.192500000000001</v>
      </c>
      <c r="AV27" s="30">
        <f t="shared" si="15"/>
        <v>133.1925</v>
      </c>
      <c r="AW27" s="33">
        <f>SUMIFS(DATA_CURRENT!$AA:$AA,DATA_CURRENT!$J:$J,$A27,DATA_CURRENT!$Y:$Y,AW$23)</f>
        <v>31.16</v>
      </c>
      <c r="AX27" s="33">
        <f>SUMIFS(DATA_CURRENT!$AA:$AA,DATA_CURRENT!$J:$J,$A27,DATA_CURRENT!$Y:$Y,AX$23)</f>
        <v>36.577500000000001</v>
      </c>
      <c r="AY27" s="33">
        <f>SUMIFS(DATA_CURRENT!$AA:$AA,DATA_CURRENT!$J:$J,$A27,DATA_CURRENT!$Y:$Y,AY$23)</f>
        <v>0</v>
      </c>
      <c r="AZ27" s="30">
        <f t="shared" si="16"/>
        <v>67.737499999999997</v>
      </c>
      <c r="BB27" s="30">
        <f t="shared" si="17"/>
        <v>200.93</v>
      </c>
      <c r="BC27" s="27">
        <f t="shared" si="18"/>
        <v>0</v>
      </c>
    </row>
    <row r="28" spans="1:55" x14ac:dyDescent="0.25">
      <c r="A28" s="18" t="s">
        <v>43</v>
      </c>
      <c r="C28" s="28" t="s">
        <v>44</v>
      </c>
      <c r="D28" s="29">
        <f>COUNTIF(DATA_PRIOR!$J:$J,A28)</f>
        <v>11</v>
      </c>
      <c r="E28" s="30">
        <f>SUMIF(DATA_PRIOR!$J:$J,A28,DATA_PRIOR!$V:$V)</f>
        <v>269.49</v>
      </c>
      <c r="G28" s="29">
        <f t="shared" si="19"/>
        <v>-10</v>
      </c>
      <c r="H28" s="30">
        <f t="shared" si="20"/>
        <v>-275.68</v>
      </c>
      <c r="J28" s="31">
        <f>COUNTIFS(DATA_CURRENT!$B:$B,"Unresolved (Aug)",DATA_CURRENT!$J:$J,$A28)</f>
        <v>0</v>
      </c>
      <c r="K28" s="32">
        <f>SUMIFS(DATA_CURRENT!$V:$V,DATA_CURRENT!$J:$J,$A28,DATA_CURRENT!$B:$B,"Unresolved (Aug)")</f>
        <v>0</v>
      </c>
      <c r="L28" s="31">
        <f>COUNTIFS(DATA_CURRENT!$B:$B,"Unresolved (Oct)",DATA_CURRENT!$J:$J,$A28)</f>
        <v>0</v>
      </c>
      <c r="M28" s="32">
        <f>SUMIFS(DATA_CURRENT!$V:$V,DATA_CURRENT!$J:$J,$A28,DATA_CURRENT!$B:$B,"Unresolved (Oct)")</f>
        <v>0</v>
      </c>
      <c r="N28" s="31">
        <f>COUNTIFS(DATA_CURRENT!$B:$B,"Unresolved (Nov)",DATA_CURRENT!$J:$J,$A28)</f>
        <v>0</v>
      </c>
      <c r="O28" s="32">
        <f>SUMIFS(DATA_CURRENT!$V:$V,DATA_CURRENT!$J:$J,$A28,DATA_CURRENT!$B:$B,"Unresolved (Nov)")</f>
        <v>0</v>
      </c>
      <c r="P28" s="31">
        <f>COUNTIFS(DATA_CURRENT!$B:$B,"Unresolved (Dec)",DATA_CURRENT!$J:$J,$A28)</f>
        <v>0</v>
      </c>
      <c r="Q28" s="32">
        <f>SUMIFS(DATA_CURRENT!$V:$V,DATA_CURRENT!$J:$J,$A28,DATA_CURRENT!$B:$B,"Unresolved (Dec)")</f>
        <v>0</v>
      </c>
      <c r="R28" s="31">
        <f>COUNTIFS(DATA_CURRENT!$B:$B,"Unresolved (Jan)",DATA_CURRENT!$J:$J,$A28)</f>
        <v>0</v>
      </c>
      <c r="S28" s="32">
        <f>SUMIFS(DATA_CURRENT!$V:$V,DATA_CURRENT!$J:$J,$A28,DATA_CURRENT!$B:$B,"Unresolved (Jan)")</f>
        <v>0</v>
      </c>
      <c r="T28" s="31">
        <f>COUNTIFS(DATA_CURRENT!$B:$B,"Unresolved (Feb)",DATA_CURRENT!$J:$J,$A28)</f>
        <v>0</v>
      </c>
      <c r="U28" s="32">
        <f>SUMIFS(DATA_CURRENT!$V:$V,DATA_CURRENT!$J:$J,$A28,DATA_CURRENT!$B:$B,"Unresolved (Feb)")</f>
        <v>0</v>
      </c>
      <c r="V28" s="31">
        <f>COUNTIFS(DATA_CURRENT!$B:$B,"Unresolved (Mar)",DATA_CURRENT!$J:$J,$A28)</f>
        <v>0</v>
      </c>
      <c r="W28" s="32">
        <f>SUMIFS(DATA_CURRENT!$V:$V,DATA_CURRENT!$J:$J,$A28,DATA_CURRENT!$B:$B,"Unresolved (Mar)")</f>
        <v>0</v>
      </c>
      <c r="X28" s="31">
        <f>COUNTIFS(DATA_CURRENT!$B:$B,"Unresolved (Apr)",DATA_CURRENT!$J:$J,$A28)</f>
        <v>0</v>
      </c>
      <c r="Y28" s="32">
        <f>SUMIFS(DATA_CURRENT!$V:$V,DATA_CURRENT!$J:$J,$A28,DATA_CURRENT!$B:$B,"Unresolved (Apr)")</f>
        <v>0</v>
      </c>
      <c r="Z28" s="31">
        <f>COUNTIFS(DATA_CURRENT!$B:$B,"Unresolved (May)",DATA_CURRENT!$J:$J,$A28)</f>
        <v>1</v>
      </c>
      <c r="AA28" s="32">
        <f>SUMIFS(DATA_CURRENT!$V:$V,DATA_CURRENT!$J:$J,$A28,DATA_CURRENT!$B:$B,"Unresolved (May)")</f>
        <v>-6.19</v>
      </c>
      <c r="AB28" s="29">
        <f>COUNTIFS(DATA_CURRENT!$B:$B,"Added",DATA_CURRENT!$J:$J,$A28)</f>
        <v>6</v>
      </c>
      <c r="AC28" s="30">
        <f>SUMIFS(DATA_CURRENT!$V:$V,DATA_CURRENT!$J:$J,$A28,DATA_CURRENT!$B:$B,"Added")</f>
        <v>242.85</v>
      </c>
      <c r="AE28" s="29">
        <f t="shared" si="11"/>
        <v>7</v>
      </c>
      <c r="AF28" s="30">
        <f t="shared" si="12"/>
        <v>236.66</v>
      </c>
      <c r="AH28" s="28" t="s">
        <v>44</v>
      </c>
      <c r="AI28" s="77">
        <f>SUMIFS(DATA_CURRENT!$V:$V,DATA_CURRENT!$J:$J,$A28,DATA_CURRENT!$X:$X,AI$5)</f>
        <v>0</v>
      </c>
      <c r="AJ28" s="77">
        <f>SUMIFS(DATA_CURRENT!$V:$V,DATA_CURRENT!$J:$J,$A28,DATA_CURRENT!$X:$X,AJ$5)</f>
        <v>0</v>
      </c>
      <c r="AK28" s="77">
        <f>SUMIFS(DATA_CURRENT!$V:$V,DATA_CURRENT!$J:$J,$A28,DATA_CURRENT!$X:$X,AK$5)</f>
        <v>0</v>
      </c>
      <c r="AL28" s="77">
        <f>SUMIFS(DATA_CURRENT!$V:$V,DATA_CURRENT!$J:$J,$A28,DATA_CURRENT!$X:$X,AL$5)</f>
        <v>-6.19</v>
      </c>
      <c r="AM28" s="77">
        <f>SUMIFS(DATA_CURRENT!$V:$V,DATA_CURRENT!$J:$J,$A28,DATA_CURRENT!$X:$X,AM$5)</f>
        <v>0</v>
      </c>
      <c r="AN28" s="26">
        <f t="shared" si="13"/>
        <v>-6.19</v>
      </c>
      <c r="AO28" s="33">
        <f>SUMIFS(DATA_CURRENT!$V:$V,DATA_CURRENT!$J:$J,$A28,DATA_CURRENT!$X:$X,AO$5)</f>
        <v>0</v>
      </c>
      <c r="AP28" s="26">
        <f>SUMIFS(DATA_CURRENT!$V:$V,DATA_CURRENT!$J:$J,$A28,DATA_CURRENT!$X:$X,AP$5)</f>
        <v>242.85</v>
      </c>
      <c r="AQ28" s="30">
        <f t="shared" si="14"/>
        <v>236.66</v>
      </c>
      <c r="AS28" s="26">
        <f>SUMIFS(DATA_CURRENT!$Z:$Z,DATA_CURRENT!$J:$J,$A28,DATA_CURRENT!$Y:$Y,AS$23)</f>
        <v>0</v>
      </c>
      <c r="AT28" s="26">
        <f>SUMIFS(DATA_CURRENT!$Z:$Z,DATA_CURRENT!$J:$J,$A28,DATA_CURRENT!$Y:$Y,AT$23)</f>
        <v>118.33</v>
      </c>
      <c r="AU28" s="26">
        <f>SUMIFS(DATA_CURRENT!$Z:$Z,DATA_CURRENT!$J:$J,$A28,DATA_CURRENT!$Y:$Y,AU$23)</f>
        <v>0</v>
      </c>
      <c r="AV28" s="30">
        <f t="shared" si="15"/>
        <v>118.33</v>
      </c>
      <c r="AW28" s="26">
        <f>SUMIFS(DATA_CURRENT!$AA:$AA,DATA_CURRENT!$J:$J,$A28,DATA_CURRENT!$Y:$Y,AW$23)</f>
        <v>118.33</v>
      </c>
      <c r="AX28" s="26">
        <f>SUMIFS(DATA_CURRENT!$AA:$AA,DATA_CURRENT!$J:$J,$A28,DATA_CURRENT!$Y:$Y,AX$23)</f>
        <v>0</v>
      </c>
      <c r="AY28" s="26">
        <f>SUMIFS(DATA_CURRENT!$AA:$AA,DATA_CURRENT!$J:$J,$A28,DATA_CURRENT!$Y:$Y,AY$23)</f>
        <v>0</v>
      </c>
      <c r="AZ28" s="30">
        <f t="shared" si="16"/>
        <v>118.33</v>
      </c>
      <c r="BB28" s="30">
        <f t="shared" si="17"/>
        <v>236.66</v>
      </c>
      <c r="BC28" s="27">
        <f t="shared" si="18"/>
        <v>0</v>
      </c>
    </row>
    <row r="29" spans="1:55" x14ac:dyDescent="0.25">
      <c r="A29" s="18" t="s">
        <v>45</v>
      </c>
      <c r="C29" s="28" t="s">
        <v>46</v>
      </c>
      <c r="D29" s="29">
        <f>COUNTIF(DATA_PRIOR!$J:$J,A29)</f>
        <v>7</v>
      </c>
      <c r="E29" s="30">
        <f>SUMIF(DATA_PRIOR!$J:$J,A29,DATA_PRIOR!$V:$V)</f>
        <v>265.13</v>
      </c>
      <c r="G29" s="29">
        <f t="shared" si="19"/>
        <v>-5</v>
      </c>
      <c r="H29" s="30">
        <f t="shared" si="20"/>
        <v>-3.9099999999999682</v>
      </c>
      <c r="J29" s="31">
        <f>COUNTIFS(DATA_CURRENT!$B:$B,"Unresolved (Aug)",DATA_CURRENT!$J:$J,$A29)</f>
        <v>0</v>
      </c>
      <c r="K29" s="32">
        <f>SUMIFS(DATA_CURRENT!$V:$V,DATA_CURRENT!$J:$J,$A29,DATA_CURRENT!$B:$B,"Unresolved (Aug)")</f>
        <v>0</v>
      </c>
      <c r="L29" s="31">
        <f>COUNTIFS(DATA_CURRENT!$B:$B,"Unresolved (Oct)",DATA_CURRENT!$J:$J,$A29)</f>
        <v>0</v>
      </c>
      <c r="M29" s="32">
        <f>SUMIFS(DATA_CURRENT!$V:$V,DATA_CURRENT!$J:$J,$A29,DATA_CURRENT!$B:$B,"Unresolved (Oct)")</f>
        <v>0</v>
      </c>
      <c r="N29" s="31">
        <f>COUNTIFS(DATA_CURRENT!$B:$B,"Unresolved (Nov)",DATA_CURRENT!$J:$J,$A29)</f>
        <v>0</v>
      </c>
      <c r="O29" s="32">
        <f>SUMIFS(DATA_CURRENT!$V:$V,DATA_CURRENT!$J:$J,$A29,DATA_CURRENT!$B:$B,"Unresolved (Nov)")</f>
        <v>0</v>
      </c>
      <c r="P29" s="31">
        <f>COUNTIFS(DATA_CURRENT!$B:$B,"Unresolved (Dec)",DATA_CURRENT!$J:$J,$A29)</f>
        <v>0</v>
      </c>
      <c r="Q29" s="32">
        <f>SUMIFS(DATA_CURRENT!$V:$V,DATA_CURRENT!$J:$J,$A29,DATA_CURRENT!$B:$B,"Unresolved (Dec)")</f>
        <v>0</v>
      </c>
      <c r="R29" s="31">
        <f>COUNTIFS(DATA_CURRENT!$B:$B,"Unresolved (Jan)",DATA_CURRENT!$J:$J,$A29)</f>
        <v>0</v>
      </c>
      <c r="S29" s="32">
        <f>SUMIFS(DATA_CURRENT!$V:$V,DATA_CURRENT!$J:$J,$A29,DATA_CURRENT!$B:$B,"Unresolved (Jan)")</f>
        <v>0</v>
      </c>
      <c r="T29" s="31">
        <f>COUNTIFS(DATA_CURRENT!$B:$B,"Unresolved (Feb)",DATA_CURRENT!$J:$J,$A29)</f>
        <v>0</v>
      </c>
      <c r="U29" s="32">
        <f>SUMIFS(DATA_CURRENT!$V:$V,DATA_CURRENT!$J:$J,$A29,DATA_CURRENT!$B:$B,"Unresolved (Feb)")</f>
        <v>0</v>
      </c>
      <c r="V29" s="31">
        <f>COUNTIFS(DATA_CURRENT!$B:$B,"Unresolved (Mar)",DATA_CURRENT!$J:$J,$A29)</f>
        <v>0</v>
      </c>
      <c r="W29" s="32">
        <f>SUMIFS(DATA_CURRENT!$V:$V,DATA_CURRENT!$J:$J,$A29,DATA_CURRENT!$B:$B,"Unresolved (Mar)")</f>
        <v>0</v>
      </c>
      <c r="X29" s="31">
        <f>COUNTIFS(DATA_CURRENT!$B:$B,"Unresolved (Apr)",DATA_CURRENT!$J:$J,$A29)</f>
        <v>0</v>
      </c>
      <c r="Y29" s="32">
        <f>SUMIFS(DATA_CURRENT!$V:$V,DATA_CURRENT!$J:$J,$A29,DATA_CURRENT!$B:$B,"Unresolved (Apr)")</f>
        <v>0</v>
      </c>
      <c r="Z29" s="31">
        <f>COUNTIFS(DATA_CURRENT!$B:$B,"Unresolved (May)",DATA_CURRENT!$J:$J,$A29)</f>
        <v>2</v>
      </c>
      <c r="AA29" s="32">
        <f>SUMIFS(DATA_CURRENT!$V:$V,DATA_CURRENT!$J:$J,$A29,DATA_CURRENT!$B:$B,"Unresolved (May)")</f>
        <v>261.22000000000003</v>
      </c>
      <c r="AB29" s="29">
        <f>COUNTIFS(DATA_CURRENT!$B:$B,"Added",DATA_CURRENT!$J:$J,$A29)</f>
        <v>0</v>
      </c>
      <c r="AC29" s="30">
        <f>SUMIFS(DATA_CURRENT!$V:$V,DATA_CURRENT!$J:$J,$A29,DATA_CURRENT!$B:$B,"Added")</f>
        <v>0</v>
      </c>
      <c r="AE29" s="29">
        <f t="shared" si="11"/>
        <v>2</v>
      </c>
      <c r="AF29" s="30">
        <f t="shared" si="12"/>
        <v>261.22000000000003</v>
      </c>
      <c r="AH29" s="28" t="s">
        <v>46</v>
      </c>
      <c r="AI29" s="77">
        <f>SUMIFS(DATA_CURRENT!$V:$V,DATA_CURRENT!$J:$J,$A29,DATA_CURRENT!$X:$X,AI$5)</f>
        <v>0</v>
      </c>
      <c r="AJ29" s="77">
        <f>SUMIFS(DATA_CURRENT!$V:$V,DATA_CURRENT!$J:$J,$A29,DATA_CURRENT!$X:$X,AJ$5)</f>
        <v>0</v>
      </c>
      <c r="AK29" s="77">
        <f>SUMIFS(DATA_CURRENT!$V:$V,DATA_CURRENT!$J:$J,$A29,DATA_CURRENT!$X:$X,AK$5)</f>
        <v>261.22000000000003</v>
      </c>
      <c r="AL29" s="77">
        <f>SUMIFS(DATA_CURRENT!$V:$V,DATA_CURRENT!$J:$J,$A29,DATA_CURRENT!$X:$X,AL$5)</f>
        <v>0</v>
      </c>
      <c r="AM29" s="77">
        <f>SUMIFS(DATA_CURRENT!$V:$V,DATA_CURRENT!$J:$J,$A29,DATA_CURRENT!$X:$X,AM$5)</f>
        <v>0</v>
      </c>
      <c r="AN29" s="26">
        <f t="shared" si="13"/>
        <v>261.22000000000003</v>
      </c>
      <c r="AO29" s="33">
        <f>SUMIFS(DATA_CURRENT!$V:$V,DATA_CURRENT!$J:$J,$A29,DATA_CURRENT!$X:$X,AO$5)</f>
        <v>0</v>
      </c>
      <c r="AP29" s="26">
        <f>SUMIFS(DATA_CURRENT!$V:$V,DATA_CURRENT!$J:$J,$A29,DATA_CURRENT!$X:$X,AP$5)</f>
        <v>0</v>
      </c>
      <c r="AQ29" s="30">
        <f t="shared" si="14"/>
        <v>261.22000000000003</v>
      </c>
      <c r="AS29" s="33">
        <f>SUMIFS(DATA_CURRENT!$Z:$Z,DATA_CURRENT!$J:$J,$A29,DATA_CURRENT!$Y:$Y,AS$23)</f>
        <v>0</v>
      </c>
      <c r="AT29" s="33">
        <f>SUMIFS(DATA_CURRENT!$Z:$Z,DATA_CURRENT!$J:$J,$A29,DATA_CURRENT!$Y:$Y,AT$23)</f>
        <v>130.61000000000001</v>
      </c>
      <c r="AU29" s="33">
        <f>SUMIFS(DATA_CURRENT!$Z:$Z,DATA_CURRENT!$J:$J,$A29,DATA_CURRENT!$Y:$Y,AU$23)</f>
        <v>0</v>
      </c>
      <c r="AV29" s="30">
        <f t="shared" si="15"/>
        <v>130.61000000000001</v>
      </c>
      <c r="AW29" s="33">
        <f>SUMIFS(DATA_CURRENT!$AA:$AA,DATA_CURRENT!$J:$J,$A29,DATA_CURRENT!$Y:$Y,AW$23)</f>
        <v>130.61000000000001</v>
      </c>
      <c r="AX29" s="33">
        <f>SUMIFS(DATA_CURRENT!$AA:$AA,DATA_CURRENT!$J:$J,$A29,DATA_CURRENT!$Y:$Y,AX$23)</f>
        <v>0</v>
      </c>
      <c r="AY29" s="33">
        <f>SUMIFS(DATA_CURRENT!$AA:$AA,DATA_CURRENT!$J:$J,$A29,DATA_CURRENT!$Y:$Y,AY$23)</f>
        <v>0</v>
      </c>
      <c r="AZ29" s="30">
        <f t="shared" si="16"/>
        <v>130.61000000000001</v>
      </c>
      <c r="BB29" s="30">
        <f t="shared" si="17"/>
        <v>261.22000000000003</v>
      </c>
      <c r="BC29" s="27">
        <f t="shared" si="18"/>
        <v>0</v>
      </c>
    </row>
    <row r="30" spans="1:55" x14ac:dyDescent="0.25">
      <c r="A30" s="18" t="s">
        <v>47</v>
      </c>
      <c r="C30" s="28" t="s">
        <v>48</v>
      </c>
      <c r="D30" s="29">
        <f>COUNTIF(DATA_PRIOR!$J:$J,A30)</f>
        <v>8</v>
      </c>
      <c r="E30" s="30">
        <f>SUMIF(DATA_PRIOR!$J:$J,A30,DATA_PRIOR!$V:$V)</f>
        <v>40.94</v>
      </c>
      <c r="G30" s="29">
        <f t="shared" si="19"/>
        <v>-4</v>
      </c>
      <c r="H30" s="30">
        <f t="shared" si="20"/>
        <v>-38.049999999999997</v>
      </c>
      <c r="J30" s="31">
        <f>COUNTIFS(DATA_CURRENT!$B:$B,"Unresolved (Aug)",DATA_CURRENT!$J:$J,$A30)</f>
        <v>0</v>
      </c>
      <c r="K30" s="32">
        <f>SUMIFS(DATA_CURRENT!$V:$V,DATA_CURRENT!$J:$J,$A30,DATA_CURRENT!$B:$B,"Unresolved (Aug)")</f>
        <v>0</v>
      </c>
      <c r="L30" s="31">
        <f>COUNTIFS(DATA_CURRENT!$B:$B,"Unresolved (Oct)",DATA_CURRENT!$J:$J,$A30)</f>
        <v>0</v>
      </c>
      <c r="M30" s="32">
        <f>SUMIFS(DATA_CURRENT!$V:$V,DATA_CURRENT!$J:$J,$A30,DATA_CURRENT!$B:$B,"Unresolved (Oct)")</f>
        <v>0</v>
      </c>
      <c r="N30" s="31">
        <f>COUNTIFS(DATA_CURRENT!$B:$B,"Unresolved (Nov)",DATA_CURRENT!$J:$J,$A30)</f>
        <v>0</v>
      </c>
      <c r="O30" s="32">
        <f>SUMIFS(DATA_CURRENT!$V:$V,DATA_CURRENT!$J:$J,$A30,DATA_CURRENT!$B:$B,"Unresolved (Nov)")</f>
        <v>0</v>
      </c>
      <c r="P30" s="31">
        <f>COUNTIFS(DATA_CURRENT!$B:$B,"Unresolved (Dec)",DATA_CURRENT!$J:$J,$A30)</f>
        <v>0</v>
      </c>
      <c r="Q30" s="32">
        <f>SUMIFS(DATA_CURRENT!$V:$V,DATA_CURRENT!$J:$J,$A30,DATA_CURRENT!$B:$B,"Unresolved (Dec)")</f>
        <v>0</v>
      </c>
      <c r="R30" s="31">
        <f>COUNTIFS(DATA_CURRENT!$B:$B,"Unresolved (Jan)",DATA_CURRENT!$J:$J,$A30)</f>
        <v>0</v>
      </c>
      <c r="S30" s="32">
        <f>SUMIFS(DATA_CURRENT!$V:$V,DATA_CURRENT!$J:$J,$A30,DATA_CURRENT!$B:$B,"Unresolved (Jan)")</f>
        <v>0</v>
      </c>
      <c r="T30" s="31">
        <f>COUNTIFS(DATA_CURRENT!$B:$B,"Unresolved (Feb)",DATA_CURRENT!$J:$J,$A30)</f>
        <v>0</v>
      </c>
      <c r="U30" s="32">
        <f>SUMIFS(DATA_CURRENT!$V:$V,DATA_CURRENT!$J:$J,$A30,DATA_CURRENT!$B:$B,"Unresolved (Feb)")</f>
        <v>0</v>
      </c>
      <c r="V30" s="31">
        <f>COUNTIFS(DATA_CURRENT!$B:$B,"Unresolved (Mar)",DATA_CURRENT!$J:$J,$A30)</f>
        <v>0</v>
      </c>
      <c r="W30" s="32">
        <f>SUMIFS(DATA_CURRENT!$V:$V,DATA_CURRENT!$J:$J,$A30,DATA_CURRENT!$B:$B,"Unresolved (Mar)")</f>
        <v>0</v>
      </c>
      <c r="X30" s="31">
        <f>COUNTIFS(DATA_CURRENT!$B:$B,"Unresolved (Apr)",DATA_CURRENT!$J:$J,$A30)</f>
        <v>0</v>
      </c>
      <c r="Y30" s="32">
        <f>SUMIFS(DATA_CURRENT!$V:$V,DATA_CURRENT!$J:$J,$A30,DATA_CURRENT!$B:$B,"Unresolved (Apr)")</f>
        <v>0</v>
      </c>
      <c r="Z30" s="31">
        <f>COUNTIFS(DATA_CURRENT!$B:$B,"Unresolved (May)",DATA_CURRENT!$J:$J,$A30)</f>
        <v>4</v>
      </c>
      <c r="AA30" s="32">
        <f>SUMIFS(DATA_CURRENT!$V:$V,DATA_CURRENT!$J:$J,$A30,DATA_CURRENT!$B:$B,"Unresolved (May)")</f>
        <v>2.8899999999999997</v>
      </c>
      <c r="AB30" s="29">
        <f>COUNTIFS(DATA_CURRENT!$B:$B,"Added",DATA_CURRENT!$J:$J,$A30)</f>
        <v>2</v>
      </c>
      <c r="AC30" s="30">
        <f>SUMIFS(DATA_CURRENT!$V:$V,DATA_CURRENT!$J:$J,$A30,DATA_CURRENT!$B:$B,"Added")</f>
        <v>14.26</v>
      </c>
      <c r="AE30" s="29">
        <f t="shared" si="11"/>
        <v>6</v>
      </c>
      <c r="AF30" s="30">
        <f t="shared" si="12"/>
        <v>17.149999999999999</v>
      </c>
      <c r="AH30" s="28" t="s">
        <v>48</v>
      </c>
      <c r="AI30" s="77">
        <f>SUMIFS(DATA_CURRENT!$V:$V,DATA_CURRENT!$J:$J,$A30,DATA_CURRENT!$X:$X,AI$5)</f>
        <v>1.04</v>
      </c>
      <c r="AJ30" s="77">
        <f>SUMIFS(DATA_CURRENT!$V:$V,DATA_CURRENT!$J:$J,$A30,DATA_CURRENT!$X:$X,AJ$5)</f>
        <v>0</v>
      </c>
      <c r="AK30" s="77">
        <f>SUMIFS(DATA_CURRENT!$V:$V,DATA_CURRENT!$J:$J,$A30,DATA_CURRENT!$X:$X,AK$5)</f>
        <v>0</v>
      </c>
      <c r="AL30" s="77">
        <f>SUMIFS(DATA_CURRENT!$V:$V,DATA_CURRENT!$J:$J,$A30,DATA_CURRENT!$X:$X,AL$5)</f>
        <v>0</v>
      </c>
      <c r="AM30" s="77">
        <f>SUMIFS(DATA_CURRENT!$V:$V,DATA_CURRENT!$J:$J,$A30,DATA_CURRENT!$X:$X,AM$5)</f>
        <v>0</v>
      </c>
      <c r="AN30" s="26">
        <f t="shared" si="13"/>
        <v>1.04</v>
      </c>
      <c r="AO30" s="33">
        <f>SUMIFS(DATA_CURRENT!$V:$V,DATA_CURRENT!$J:$J,$A30,DATA_CURRENT!$X:$X,AO$5)</f>
        <v>16.11</v>
      </c>
      <c r="AP30" s="26">
        <f>SUMIFS(DATA_CURRENT!$V:$V,DATA_CURRENT!$J:$J,$A30,DATA_CURRENT!$X:$X,AP$5)</f>
        <v>0</v>
      </c>
      <c r="AQ30" s="30">
        <f t="shared" si="14"/>
        <v>17.149999999999999</v>
      </c>
      <c r="AS30" s="26">
        <f>SUMIFS(DATA_CURRENT!$Z:$Z,DATA_CURRENT!$J:$J,$A30,DATA_CURRENT!$Y:$Y,AS$23)</f>
        <v>1.04</v>
      </c>
      <c r="AT30" s="26">
        <f>SUMIFS(DATA_CURRENT!$Z:$Z,DATA_CURRENT!$J:$J,$A30,DATA_CURRENT!$Y:$Y,AT$23)</f>
        <v>0</v>
      </c>
      <c r="AU30" s="26">
        <f>SUMIFS(DATA_CURRENT!$Z:$Z,DATA_CURRENT!$J:$J,$A30,DATA_CURRENT!$Y:$Y,AU$23)</f>
        <v>4.0274999999999999</v>
      </c>
      <c r="AV30" s="30">
        <f t="shared" si="15"/>
        <v>5.0674999999999999</v>
      </c>
      <c r="AW30" s="26">
        <f>SUMIFS(DATA_CURRENT!$AA:$AA,DATA_CURRENT!$J:$J,$A30,DATA_CURRENT!$Y:$Y,AW$23)</f>
        <v>0</v>
      </c>
      <c r="AX30" s="26">
        <f>SUMIFS(DATA_CURRENT!$AA:$AA,DATA_CURRENT!$J:$J,$A30,DATA_CURRENT!$Y:$Y,AX$23)</f>
        <v>12.0825</v>
      </c>
      <c r="AY30" s="26">
        <f>SUMIFS(DATA_CURRENT!$AA:$AA,DATA_CURRENT!$J:$J,$A30,DATA_CURRENT!$Y:$Y,AY$23)</f>
        <v>0</v>
      </c>
      <c r="AZ30" s="30">
        <f t="shared" si="16"/>
        <v>12.0825</v>
      </c>
      <c r="BB30" s="30">
        <f t="shared" si="17"/>
        <v>17.149999999999999</v>
      </c>
      <c r="BC30" s="27">
        <f t="shared" si="18"/>
        <v>0</v>
      </c>
    </row>
    <row r="31" spans="1:55" x14ac:dyDescent="0.25">
      <c r="A31" s="18" t="s">
        <v>49</v>
      </c>
      <c r="C31" s="28" t="s">
        <v>50</v>
      </c>
      <c r="D31" s="29">
        <f>COUNTIF(DATA_PRIOR!$J:$J,A31)</f>
        <v>0</v>
      </c>
      <c r="E31" s="30">
        <f>SUMIF(DATA_PRIOR!$J:$J,A31,DATA_PRIOR!$V:$V)</f>
        <v>0</v>
      </c>
      <c r="G31" s="29">
        <f t="shared" si="19"/>
        <v>0</v>
      </c>
      <c r="H31" s="30">
        <f t="shared" si="20"/>
        <v>0</v>
      </c>
      <c r="J31" s="31">
        <f>COUNTIFS(DATA_CURRENT!$B:$B,"Unresolved (Aug)",DATA_CURRENT!$J:$J,$A31)</f>
        <v>0</v>
      </c>
      <c r="K31" s="32">
        <f>SUMIFS(DATA_CURRENT!$V:$V,DATA_CURRENT!$J:$J,$A31,DATA_CURRENT!$B:$B,"Unresolved (Aug)")</f>
        <v>0</v>
      </c>
      <c r="L31" s="31">
        <f>COUNTIFS(DATA_CURRENT!$B:$B,"Unresolved (Oct)",DATA_CURRENT!$J:$J,$A31)</f>
        <v>0</v>
      </c>
      <c r="M31" s="32">
        <f>SUMIFS(DATA_CURRENT!$V:$V,DATA_CURRENT!$J:$J,$A31,DATA_CURRENT!$B:$B,"Unresolved (Oct)")</f>
        <v>0</v>
      </c>
      <c r="N31" s="31">
        <f>COUNTIFS(DATA_CURRENT!$B:$B,"Unresolved (Nov)",DATA_CURRENT!$J:$J,$A31)</f>
        <v>0</v>
      </c>
      <c r="O31" s="32">
        <f>SUMIFS(DATA_CURRENT!$V:$V,DATA_CURRENT!$J:$J,$A31,DATA_CURRENT!$B:$B,"Unresolved (Nov)")</f>
        <v>0</v>
      </c>
      <c r="P31" s="31">
        <f>COUNTIFS(DATA_CURRENT!$B:$B,"Unresolved (Dec)",DATA_CURRENT!$J:$J,$A31)</f>
        <v>0</v>
      </c>
      <c r="Q31" s="32">
        <f>SUMIFS(DATA_CURRENT!$V:$V,DATA_CURRENT!$J:$J,$A31,DATA_CURRENT!$B:$B,"Unresolved (Dec)")</f>
        <v>0</v>
      </c>
      <c r="R31" s="31">
        <f>COUNTIFS(DATA_CURRENT!$B:$B,"Unresolved (Jan)",DATA_CURRENT!$J:$J,$A31)</f>
        <v>0</v>
      </c>
      <c r="S31" s="32">
        <f>SUMIFS(DATA_CURRENT!$V:$V,DATA_CURRENT!$J:$J,$A31,DATA_CURRENT!$B:$B,"Unresolved (Jan)")</f>
        <v>0</v>
      </c>
      <c r="T31" s="31">
        <f>COUNTIFS(DATA_CURRENT!$B:$B,"Unresolved (Feb)",DATA_CURRENT!$J:$J,$A31)</f>
        <v>0</v>
      </c>
      <c r="U31" s="32">
        <f>SUMIFS(DATA_CURRENT!$V:$V,DATA_CURRENT!$J:$J,$A31,DATA_CURRENT!$B:$B,"Unresolved (Feb)")</f>
        <v>0</v>
      </c>
      <c r="V31" s="31">
        <f>COUNTIFS(DATA_CURRENT!$B:$B,"Unresolved (Mar)",DATA_CURRENT!$J:$J,$A31)</f>
        <v>0</v>
      </c>
      <c r="W31" s="32">
        <f>SUMIFS(DATA_CURRENT!$V:$V,DATA_CURRENT!$J:$J,$A31,DATA_CURRENT!$B:$B,"Unresolved (Mar)")</f>
        <v>0</v>
      </c>
      <c r="X31" s="31">
        <f>COUNTIFS(DATA_CURRENT!$B:$B,"Unresolved (Apr)",DATA_CURRENT!$J:$J,$A31)</f>
        <v>0</v>
      </c>
      <c r="Y31" s="32">
        <f>SUMIFS(DATA_CURRENT!$V:$V,DATA_CURRENT!$J:$J,$A31,DATA_CURRENT!$B:$B,"Unresolved (Apr)")</f>
        <v>0</v>
      </c>
      <c r="Z31" s="31">
        <f>COUNTIFS(DATA_CURRENT!$B:$B,"Unresolved (May)",DATA_CURRENT!$J:$J,$A31)</f>
        <v>0</v>
      </c>
      <c r="AA31" s="32">
        <f>SUMIFS(DATA_CURRENT!$V:$V,DATA_CURRENT!$J:$J,$A31,DATA_CURRENT!$B:$B,"Unresolved (May)")</f>
        <v>0</v>
      </c>
      <c r="AB31" s="29">
        <f>COUNTIFS(DATA_CURRENT!$B:$B,"Added",DATA_CURRENT!$J:$J,$A31)</f>
        <v>0</v>
      </c>
      <c r="AC31" s="30">
        <f>SUMIFS(DATA_CURRENT!$V:$V,DATA_CURRENT!$J:$J,$A31,DATA_CURRENT!$B:$B,"Added")</f>
        <v>0</v>
      </c>
      <c r="AE31" s="29">
        <f t="shared" si="11"/>
        <v>0</v>
      </c>
      <c r="AF31" s="30">
        <f t="shared" si="12"/>
        <v>0</v>
      </c>
      <c r="AH31" s="28" t="s">
        <v>51</v>
      </c>
      <c r="AI31" s="77">
        <f>SUMIFS(DATA_CURRENT!$V:$V,DATA_CURRENT!$J:$J,$A31,DATA_CURRENT!$X:$X,AI$5)</f>
        <v>0</v>
      </c>
      <c r="AJ31" s="77">
        <f>SUMIFS(DATA_CURRENT!$V:$V,DATA_CURRENT!$J:$J,$A31,DATA_CURRENT!$X:$X,AJ$5)</f>
        <v>0</v>
      </c>
      <c r="AK31" s="77">
        <f>SUMIFS(DATA_CURRENT!$V:$V,DATA_CURRENT!$J:$J,$A31,DATA_CURRENT!$X:$X,AK$5)</f>
        <v>0</v>
      </c>
      <c r="AL31" s="77">
        <f>SUMIFS(DATA_CURRENT!$V:$V,DATA_CURRENT!$J:$J,$A31,DATA_CURRENT!$X:$X,AL$5)</f>
        <v>0</v>
      </c>
      <c r="AM31" s="77">
        <f>SUMIFS(DATA_CURRENT!$V:$V,DATA_CURRENT!$J:$J,$A31,DATA_CURRENT!$X:$X,AM$5)</f>
        <v>0</v>
      </c>
      <c r="AN31" s="26">
        <f t="shared" si="13"/>
        <v>0</v>
      </c>
      <c r="AO31" s="33">
        <f>SUMIFS(DATA_CURRENT!$V:$V,DATA_CURRENT!$J:$J,$A31,DATA_CURRENT!$X:$X,AO$5)</f>
        <v>0</v>
      </c>
      <c r="AP31" s="33">
        <f>SUMIFS(DATA_CURRENT!$V:$V,DATA_CURRENT!$J:$J,$A31,DATA_CURRENT!$X:$X,AP$5)</f>
        <v>0</v>
      </c>
      <c r="AQ31" s="30">
        <f t="shared" si="14"/>
        <v>0</v>
      </c>
      <c r="AS31" s="33">
        <f>SUMIFS(DATA_CURRENT!$Z:$Z,DATA_CURRENT!$J:$J,$A31,DATA_CURRENT!$Y:$Y,AS$23)</f>
        <v>0</v>
      </c>
      <c r="AT31" s="33">
        <f>SUMIFS(DATA_CURRENT!$Z:$Z,DATA_CURRENT!$J:$J,$A31,DATA_CURRENT!$Y:$Y,AT$23)</f>
        <v>0</v>
      </c>
      <c r="AU31" s="33">
        <f>SUMIFS(DATA_CURRENT!$Z:$Z,DATA_CURRENT!$J:$J,$A31,DATA_CURRENT!$Y:$Y,AU$23)</f>
        <v>0</v>
      </c>
      <c r="AV31" s="30">
        <f t="shared" si="15"/>
        <v>0</v>
      </c>
      <c r="AW31" s="33">
        <f>SUMIFS(DATA_CURRENT!$AA:$AA,DATA_CURRENT!$J:$J,$A31,DATA_CURRENT!$Y:$Y,AW$23)</f>
        <v>0</v>
      </c>
      <c r="AX31" s="33">
        <f>SUMIFS(DATA_CURRENT!$AA:$AA,DATA_CURRENT!$J:$J,$A31,DATA_CURRENT!$Y:$Y,AX$23)</f>
        <v>0</v>
      </c>
      <c r="AY31" s="33">
        <f>SUMIFS(DATA_CURRENT!$AA:$AA,DATA_CURRENT!$J:$J,$A31,DATA_CURRENT!$Y:$Y,AY$23)</f>
        <v>0</v>
      </c>
      <c r="AZ31" s="30">
        <f t="shared" si="16"/>
        <v>0</v>
      </c>
      <c r="BB31" s="30">
        <f t="shared" si="17"/>
        <v>0</v>
      </c>
      <c r="BC31" s="27">
        <f t="shared" si="18"/>
        <v>0</v>
      </c>
    </row>
    <row r="32" spans="1:55" x14ac:dyDescent="0.25">
      <c r="A32" s="18" t="s">
        <v>52</v>
      </c>
      <c r="C32" s="28" t="s">
        <v>53</v>
      </c>
      <c r="D32" s="29">
        <f>COUNTIF(DATA_PRIOR!$J:$J,A32)</f>
        <v>17</v>
      </c>
      <c r="E32" s="30">
        <f>SUMIF(DATA_PRIOR!$J:$J,A32,DATA_PRIOR!$V:$V)</f>
        <v>199.72</v>
      </c>
      <c r="G32" s="29">
        <f t="shared" si="19"/>
        <v>-7</v>
      </c>
      <c r="H32" s="30">
        <f t="shared" si="20"/>
        <v>-134.98000000000002</v>
      </c>
      <c r="J32" s="31">
        <f>COUNTIFS(DATA_CURRENT!$B:$B,"Unresolved (Aug)",DATA_CURRENT!$J:$J,$A32)</f>
        <v>1</v>
      </c>
      <c r="K32" s="32">
        <f>SUMIFS(DATA_CURRENT!$V:$V,DATA_CURRENT!$J:$J,$A32,DATA_CURRENT!$B:$B,"Unresolved (Aug)")</f>
        <v>-6.18</v>
      </c>
      <c r="L32" s="31">
        <f>COUNTIFS(DATA_CURRENT!$B:$B,"Unresolved (Oct)",DATA_CURRENT!$J:$J,$A32)</f>
        <v>0</v>
      </c>
      <c r="M32" s="32">
        <f>SUMIFS(DATA_CURRENT!$V:$V,DATA_CURRENT!$J:$J,$A32,DATA_CURRENT!$B:$B,"Unresolved (Oct)")</f>
        <v>0</v>
      </c>
      <c r="N32" s="31">
        <f>COUNTIFS(DATA_CURRENT!$B:$B,"Unresolved (Nov)",DATA_CURRENT!$J:$J,$A32)</f>
        <v>0</v>
      </c>
      <c r="O32" s="32">
        <f>SUMIFS(DATA_CURRENT!$V:$V,DATA_CURRENT!$J:$J,$A32,DATA_CURRENT!$B:$B,"Unresolved (Nov)")</f>
        <v>0</v>
      </c>
      <c r="P32" s="31">
        <f>COUNTIFS(DATA_CURRENT!$B:$B,"Unresolved (Dec)",DATA_CURRENT!$J:$J,$A32)</f>
        <v>0</v>
      </c>
      <c r="Q32" s="32">
        <f>SUMIFS(DATA_CURRENT!$V:$V,DATA_CURRENT!$J:$J,$A32,DATA_CURRENT!$B:$B,"Unresolved (Dec)")</f>
        <v>0</v>
      </c>
      <c r="R32" s="31">
        <f>COUNTIFS(DATA_CURRENT!$B:$B,"Unresolved (Jan)",DATA_CURRENT!$J:$J,$A32)</f>
        <v>5</v>
      </c>
      <c r="S32" s="32">
        <f>SUMIFS(DATA_CURRENT!$V:$V,DATA_CURRENT!$J:$J,$A32,DATA_CURRENT!$B:$B,"Unresolved (Jan)")</f>
        <v>16.62</v>
      </c>
      <c r="T32" s="31">
        <f>COUNTIFS(DATA_CURRENT!$B:$B,"Unresolved (Feb)",DATA_CURRENT!$J:$J,$A32)</f>
        <v>0</v>
      </c>
      <c r="U32" s="32">
        <f>SUMIFS(DATA_CURRENT!$V:$V,DATA_CURRENT!$J:$J,$A32,DATA_CURRENT!$B:$B,"Unresolved (Feb)")</f>
        <v>0</v>
      </c>
      <c r="V32" s="31">
        <f>COUNTIFS(DATA_CURRENT!$B:$B,"Unresolved (Mar)",DATA_CURRENT!$J:$J,$A32)</f>
        <v>2</v>
      </c>
      <c r="W32" s="32">
        <f>SUMIFS(DATA_CURRENT!$V:$V,DATA_CURRENT!$J:$J,$A32,DATA_CURRENT!$B:$B,"Unresolved (Mar)")</f>
        <v>39.880000000000003</v>
      </c>
      <c r="X32" s="31">
        <f>COUNTIFS(DATA_CURRENT!$B:$B,"Unresolved (Apr)",DATA_CURRENT!$J:$J,$A32)</f>
        <v>0</v>
      </c>
      <c r="Y32" s="32">
        <f>SUMIFS(DATA_CURRENT!$V:$V,DATA_CURRENT!$J:$J,$A32,DATA_CURRENT!$B:$B,"Unresolved (Apr)")</f>
        <v>0</v>
      </c>
      <c r="Z32" s="31">
        <f>COUNTIFS(DATA_CURRENT!$B:$B,"Unresolved (May)",DATA_CURRENT!$J:$J,$A32)</f>
        <v>2</v>
      </c>
      <c r="AA32" s="32">
        <f>SUMIFS(DATA_CURRENT!$V:$V,DATA_CURRENT!$J:$J,$A32,DATA_CURRENT!$B:$B,"Unresolved (May)")</f>
        <v>14.42</v>
      </c>
      <c r="AB32" s="29">
        <f>COUNTIFS(DATA_CURRENT!$B:$B,"Added",DATA_CURRENT!$J:$J,$A32)</f>
        <v>6</v>
      </c>
      <c r="AC32" s="30">
        <f>SUMIFS(DATA_CURRENT!$V:$V,DATA_CURRENT!$J:$J,$A32,DATA_CURRENT!$B:$B,"Added")</f>
        <v>130.21</v>
      </c>
      <c r="AE32" s="29">
        <f t="shared" si="11"/>
        <v>16</v>
      </c>
      <c r="AF32" s="30">
        <f t="shared" si="12"/>
        <v>194.95</v>
      </c>
      <c r="AH32" s="28" t="s">
        <v>53</v>
      </c>
      <c r="AI32" s="77">
        <f>SUMIFS(DATA_CURRENT!$V:$V,DATA_CURRENT!$J:$J,$A32,DATA_CURRENT!$X:$X,AI$5)</f>
        <v>26.01</v>
      </c>
      <c r="AJ32" s="77">
        <f>SUMIFS(DATA_CURRENT!$V:$V,DATA_CURRENT!$J:$J,$A32,DATA_CURRENT!$X:$X,AJ$5)</f>
        <v>0</v>
      </c>
      <c r="AK32" s="77">
        <f>SUMIFS(DATA_CURRENT!$V:$V,DATA_CURRENT!$J:$J,$A32,DATA_CURRENT!$X:$X,AK$5)</f>
        <v>15.86</v>
      </c>
      <c r="AL32" s="77">
        <f>SUMIFS(DATA_CURRENT!$V:$V,DATA_CURRENT!$J:$J,$A32,DATA_CURRENT!$X:$X,AL$5)</f>
        <v>16.149999999999999</v>
      </c>
      <c r="AM32" s="77">
        <f>SUMIFS(DATA_CURRENT!$V:$V,DATA_CURRENT!$J:$J,$A32,DATA_CURRENT!$X:$X,AM$5)</f>
        <v>0</v>
      </c>
      <c r="AN32" s="26">
        <f t="shared" si="13"/>
        <v>58.02</v>
      </c>
      <c r="AO32" s="33">
        <f>SUMIFS(DATA_CURRENT!$V:$V,DATA_CURRENT!$J:$J,$A32,DATA_CURRENT!$X:$X,AO$5)</f>
        <v>38.39</v>
      </c>
      <c r="AP32" s="33">
        <f>SUMIFS(DATA_CURRENT!$V:$V,DATA_CURRENT!$J:$J,$A32,DATA_CURRENT!$X:$X,AP$5)</f>
        <v>98.54</v>
      </c>
      <c r="AQ32" s="30">
        <f t="shared" si="14"/>
        <v>194.95</v>
      </c>
      <c r="AR32" s="27"/>
      <c r="AS32" s="33">
        <f>SUMIFS(DATA_CURRENT!$Z:$Z,DATA_CURRENT!$J:$J,$A32,DATA_CURRENT!$Y:$Y,AS$23)</f>
        <v>26.01</v>
      </c>
      <c r="AT32" s="33">
        <f>SUMIFS(DATA_CURRENT!$Z:$Z,DATA_CURRENT!$J:$J,$A32,DATA_CURRENT!$Y:$Y,AT$23)</f>
        <v>65.274999999999991</v>
      </c>
      <c r="AU32" s="33">
        <f>SUMIFS(DATA_CURRENT!$Z:$Z,DATA_CURRENT!$J:$J,$A32,DATA_CURRENT!$Y:$Y,AU$23)</f>
        <v>9.5975000000000001</v>
      </c>
      <c r="AV32" s="30">
        <f t="shared" si="15"/>
        <v>100.88249999999999</v>
      </c>
      <c r="AW32" s="33">
        <f>SUMIFS(DATA_CURRENT!$AA:$AA,DATA_CURRENT!$J:$J,$A32,DATA_CURRENT!$Y:$Y,AW$23)</f>
        <v>65.274999999999991</v>
      </c>
      <c r="AX32" s="33">
        <f>SUMIFS(DATA_CURRENT!$AA:$AA,DATA_CURRENT!$J:$J,$A32,DATA_CURRENT!$Y:$Y,AX$23)</f>
        <v>28.792500000000004</v>
      </c>
      <c r="AY32" s="33">
        <f>SUMIFS(DATA_CURRENT!$AA:$AA,DATA_CURRENT!$J:$J,$A32,DATA_CURRENT!$Y:$Y,AY$23)</f>
        <v>0</v>
      </c>
      <c r="AZ32" s="30">
        <f t="shared" si="16"/>
        <v>94.067499999999995</v>
      </c>
      <c r="BB32" s="30">
        <f t="shared" si="17"/>
        <v>194.95</v>
      </c>
      <c r="BC32" s="27">
        <f t="shared" si="18"/>
        <v>0</v>
      </c>
    </row>
    <row r="33" spans="1:55" x14ac:dyDescent="0.25">
      <c r="A33" s="18" t="s">
        <v>54</v>
      </c>
      <c r="C33" s="28" t="s">
        <v>55</v>
      </c>
      <c r="D33" s="29">
        <f>COUNTIF(DATA_PRIOR!$J:$J,A33)</f>
        <v>20</v>
      </c>
      <c r="E33" s="30">
        <f>SUMIF(DATA_PRIOR!$J:$J,A33,DATA_PRIOR!$V:$V)</f>
        <v>74.89</v>
      </c>
      <c r="G33" s="29">
        <f t="shared" si="19"/>
        <v>-10</v>
      </c>
      <c r="H33" s="30">
        <f t="shared" si="20"/>
        <v>-44.11</v>
      </c>
      <c r="J33" s="31">
        <f>COUNTIFS(DATA_CURRENT!$B:$B,"Unresolved (Aug)",DATA_CURRENT!$J:$J,$A33)</f>
        <v>0</v>
      </c>
      <c r="K33" s="32">
        <f>SUMIFS(DATA_CURRENT!$V:$V,DATA_CURRENT!$J:$J,$A33,DATA_CURRENT!$B:$B,"Unresolved (Aug)")</f>
        <v>0</v>
      </c>
      <c r="L33" s="31">
        <f>COUNTIFS(DATA_CURRENT!$B:$B,"Unresolved (Oct)",DATA_CURRENT!$J:$J,$A33)</f>
        <v>0</v>
      </c>
      <c r="M33" s="32">
        <f>SUMIFS(DATA_CURRENT!$V:$V,DATA_CURRENT!$J:$J,$A33,DATA_CURRENT!$B:$B,"Unresolved (Oct)")</f>
        <v>0</v>
      </c>
      <c r="N33" s="31">
        <f>COUNTIFS(DATA_CURRENT!$B:$B,"Unresolved (Nov)",DATA_CURRENT!$J:$J,$A33)</f>
        <v>0</v>
      </c>
      <c r="O33" s="32">
        <f>SUMIFS(DATA_CURRENT!$V:$V,DATA_CURRENT!$J:$J,$A33,DATA_CURRENT!$B:$B,"Unresolved (Nov)")</f>
        <v>0</v>
      </c>
      <c r="P33" s="31">
        <f>COUNTIFS(DATA_CURRENT!$B:$B,"Unresolved (Dec)",DATA_CURRENT!$J:$J,$A33)</f>
        <v>0</v>
      </c>
      <c r="Q33" s="32">
        <f>SUMIFS(DATA_CURRENT!$V:$V,DATA_CURRENT!$J:$J,$A33,DATA_CURRENT!$B:$B,"Unresolved (Dec)")</f>
        <v>0</v>
      </c>
      <c r="R33" s="31">
        <f>COUNTIFS(DATA_CURRENT!$B:$B,"Unresolved (Jan)",DATA_CURRENT!$J:$J,$A33)</f>
        <v>0</v>
      </c>
      <c r="S33" s="32">
        <f>SUMIFS(DATA_CURRENT!$V:$V,DATA_CURRENT!$J:$J,$A33,DATA_CURRENT!$B:$B,"Unresolved (Jan)")</f>
        <v>0</v>
      </c>
      <c r="T33" s="31">
        <f>COUNTIFS(DATA_CURRENT!$B:$B,"Unresolved (Feb)",DATA_CURRENT!$J:$J,$A33)</f>
        <v>0</v>
      </c>
      <c r="U33" s="32">
        <f>SUMIFS(DATA_CURRENT!$V:$V,DATA_CURRENT!$J:$J,$A33,DATA_CURRENT!$B:$B,"Unresolved (Feb)")</f>
        <v>0</v>
      </c>
      <c r="V33" s="31">
        <f>COUNTIFS(DATA_CURRENT!$B:$B,"Unresolved (Mar)",DATA_CURRENT!$J:$J,$A33)</f>
        <v>0</v>
      </c>
      <c r="W33" s="32">
        <f>SUMIFS(DATA_CURRENT!$V:$V,DATA_CURRENT!$J:$J,$A33,DATA_CURRENT!$B:$B,"Unresolved (Mar)")</f>
        <v>0</v>
      </c>
      <c r="X33" s="31">
        <f>COUNTIFS(DATA_CURRENT!$B:$B,"Unresolved (Apr)",DATA_CURRENT!$J:$J,$A33)</f>
        <v>0</v>
      </c>
      <c r="Y33" s="32">
        <f>SUMIFS(DATA_CURRENT!$V:$V,DATA_CURRENT!$J:$J,$A33,DATA_CURRENT!$B:$B,"Unresolved (Apr)")</f>
        <v>0</v>
      </c>
      <c r="Z33" s="31">
        <f>COUNTIFS(DATA_CURRENT!$B:$B,"Unresolved (May)",DATA_CURRENT!$J:$J,$A33)</f>
        <v>10</v>
      </c>
      <c r="AA33" s="32">
        <f>SUMIFS(DATA_CURRENT!$V:$V,DATA_CURRENT!$J:$J,$A33,DATA_CURRENT!$B:$B,"Unresolved (May)")</f>
        <v>30.78</v>
      </c>
      <c r="AB33" s="29">
        <f>COUNTIFS(DATA_CURRENT!$B:$B,"Added",DATA_CURRENT!$J:$J,$A33)</f>
        <v>0</v>
      </c>
      <c r="AC33" s="30">
        <f>SUMIFS(DATA_CURRENT!$V:$V,DATA_CURRENT!$J:$J,$A33,DATA_CURRENT!$B:$B,"Added")</f>
        <v>0</v>
      </c>
      <c r="AE33" s="29">
        <f t="shared" si="11"/>
        <v>10</v>
      </c>
      <c r="AF33" s="30">
        <f t="shared" si="12"/>
        <v>30.78</v>
      </c>
      <c r="AH33" s="28" t="s">
        <v>55</v>
      </c>
      <c r="AI33" s="77">
        <f>SUMIFS(DATA_CURRENT!$V:$V,DATA_CURRENT!$J:$J,$A33,DATA_CURRENT!$X:$X,AI$5)</f>
        <v>0</v>
      </c>
      <c r="AJ33" s="77">
        <f>SUMIFS(DATA_CURRENT!$V:$V,DATA_CURRENT!$J:$J,$A33,DATA_CURRENT!$X:$X,AJ$5)</f>
        <v>8.25</v>
      </c>
      <c r="AK33" s="77">
        <f>SUMIFS(DATA_CURRENT!$V:$V,DATA_CURRENT!$J:$J,$A33,DATA_CURRENT!$X:$X,AK$5)</f>
        <v>11.92</v>
      </c>
      <c r="AL33" s="77">
        <f>SUMIFS(DATA_CURRENT!$V:$V,DATA_CURRENT!$J:$J,$A33,DATA_CURRENT!$X:$X,AL$5)</f>
        <v>4.6900000000000004</v>
      </c>
      <c r="AM33" s="77">
        <f>SUMIFS(DATA_CURRENT!$V:$V,DATA_CURRENT!$J:$J,$A33,DATA_CURRENT!$X:$X,AM$5)</f>
        <v>0</v>
      </c>
      <c r="AN33" s="33">
        <f t="shared" si="13"/>
        <v>24.860000000000003</v>
      </c>
      <c r="AO33" s="26">
        <f>SUMIFS(DATA_CURRENT!$V:$V,DATA_CURRENT!$J:$J,$A33,DATA_CURRENT!$X:$X,AO$5)</f>
        <v>5.92</v>
      </c>
      <c r="AP33" s="26">
        <f>SUMIFS(DATA_CURRENT!$V:$V,DATA_CURRENT!$J:$J,$A33,DATA_CURRENT!$X:$X,AP$5)</f>
        <v>0</v>
      </c>
      <c r="AQ33" s="30">
        <f t="shared" si="14"/>
        <v>30.78</v>
      </c>
      <c r="AS33" s="26">
        <f>SUMIFS(DATA_CURRENT!$Z:$Z,DATA_CURRENT!$J:$J,$A33,DATA_CURRENT!$Y:$Y,AS$23)</f>
        <v>0</v>
      </c>
      <c r="AT33" s="26">
        <f>SUMIFS(DATA_CURRENT!$Z:$Z,DATA_CURRENT!$J:$J,$A33,DATA_CURRENT!$Y:$Y,AT$23)</f>
        <v>12.43</v>
      </c>
      <c r="AU33" s="26">
        <f>SUMIFS(DATA_CURRENT!$Z:$Z,DATA_CURRENT!$J:$J,$A33,DATA_CURRENT!$Y:$Y,AU$23)</f>
        <v>1.48</v>
      </c>
      <c r="AV33" s="30">
        <f t="shared" si="15"/>
        <v>13.91</v>
      </c>
      <c r="AW33" s="26">
        <f>SUMIFS(DATA_CURRENT!$AA:$AA,DATA_CURRENT!$J:$J,$A33,DATA_CURRENT!$Y:$Y,AW$23)</f>
        <v>12.43</v>
      </c>
      <c r="AX33" s="26">
        <f>SUMIFS(DATA_CURRENT!$AA:$AA,DATA_CURRENT!$J:$J,$A33,DATA_CURRENT!$Y:$Y,AX$23)</f>
        <v>4.4399999999999995</v>
      </c>
      <c r="AY33" s="26">
        <f>SUMIFS(DATA_CURRENT!$AA:$AA,DATA_CURRENT!$J:$J,$A33,DATA_CURRENT!$Y:$Y,AY$23)</f>
        <v>0</v>
      </c>
      <c r="AZ33" s="30">
        <f t="shared" si="16"/>
        <v>16.869999999999997</v>
      </c>
      <c r="BB33" s="30">
        <f t="shared" si="17"/>
        <v>30.779999999999998</v>
      </c>
      <c r="BC33" s="27">
        <f t="shared" si="18"/>
        <v>0</v>
      </c>
    </row>
    <row r="34" spans="1:55" x14ac:dyDescent="0.25">
      <c r="A34" s="18" t="s">
        <v>56</v>
      </c>
      <c r="C34" s="28" t="s">
        <v>57</v>
      </c>
      <c r="D34" s="29">
        <f>COUNTIF(DATA_PRIOR!$J:$J,A34)</f>
        <v>14</v>
      </c>
      <c r="E34" s="30">
        <f>SUMIF(DATA_PRIOR!$J:$J,A34,DATA_PRIOR!$V:$V)</f>
        <v>147.01</v>
      </c>
      <c r="G34" s="29">
        <f t="shared" si="19"/>
        <v>-6</v>
      </c>
      <c r="H34" s="30">
        <f t="shared" si="20"/>
        <v>-98.759999999999991</v>
      </c>
      <c r="J34" s="31">
        <f>COUNTIFS(DATA_CURRENT!$B:$B,"Unresolved (Aug)",DATA_CURRENT!$J:$J,$A34)</f>
        <v>0</v>
      </c>
      <c r="K34" s="32">
        <f>SUMIFS(DATA_CURRENT!$V:$V,DATA_CURRENT!$J:$J,$A34,DATA_CURRENT!$B:$B,"Unresolved (Aug)")</f>
        <v>0</v>
      </c>
      <c r="L34" s="31">
        <f>COUNTIFS(DATA_CURRENT!$B:$B,"Unresolved (Oct)",DATA_CURRENT!$J:$J,$A34)</f>
        <v>0</v>
      </c>
      <c r="M34" s="32">
        <f>SUMIFS(DATA_CURRENT!$V:$V,DATA_CURRENT!$J:$J,$A34,DATA_CURRENT!$B:$B,"Unresolved (Oct)")</f>
        <v>0</v>
      </c>
      <c r="N34" s="31">
        <f>COUNTIFS(DATA_CURRENT!$B:$B,"Unresolved (Nov)",DATA_CURRENT!$J:$J,$A34)</f>
        <v>0</v>
      </c>
      <c r="O34" s="32">
        <f>SUMIFS(DATA_CURRENT!$V:$V,DATA_CURRENT!$J:$J,$A34,DATA_CURRENT!$B:$B,"Unresolved (Nov)")</f>
        <v>0</v>
      </c>
      <c r="P34" s="31">
        <f>COUNTIFS(DATA_CURRENT!$B:$B,"Unresolved (Dec)",DATA_CURRENT!$J:$J,$A34)</f>
        <v>0</v>
      </c>
      <c r="Q34" s="32">
        <f>SUMIFS(DATA_CURRENT!$V:$V,DATA_CURRENT!$J:$J,$A34,DATA_CURRENT!$B:$B,"Unresolved (Dec)")</f>
        <v>0</v>
      </c>
      <c r="R34" s="31">
        <f>COUNTIFS(DATA_CURRENT!$B:$B,"Unresolved (Jan)",DATA_CURRENT!$J:$J,$A34)</f>
        <v>1</v>
      </c>
      <c r="S34" s="32">
        <f>SUMIFS(DATA_CURRENT!$V:$V,DATA_CURRENT!$J:$J,$A34,DATA_CURRENT!$B:$B,"Unresolved (Jan)")</f>
        <v>41.66</v>
      </c>
      <c r="T34" s="31">
        <f>COUNTIFS(DATA_CURRENT!$B:$B,"Unresolved (Feb)",DATA_CURRENT!$J:$J,$A34)</f>
        <v>0</v>
      </c>
      <c r="U34" s="32">
        <f>SUMIFS(DATA_CURRENT!$V:$V,DATA_CURRENT!$J:$J,$A34,DATA_CURRENT!$B:$B,"Unresolved (Feb)")</f>
        <v>0</v>
      </c>
      <c r="V34" s="31">
        <f>COUNTIFS(DATA_CURRENT!$B:$B,"Unresolved (Mar)",DATA_CURRENT!$J:$J,$A34)</f>
        <v>0</v>
      </c>
      <c r="W34" s="32">
        <f>SUMIFS(DATA_CURRENT!$V:$V,DATA_CURRENT!$J:$J,$A34,DATA_CURRENT!$B:$B,"Unresolved (Mar)")</f>
        <v>0</v>
      </c>
      <c r="X34" s="31">
        <f>COUNTIFS(DATA_CURRENT!$B:$B,"Unresolved (Apr)",DATA_CURRENT!$J:$J,$A34)</f>
        <v>0</v>
      </c>
      <c r="Y34" s="32">
        <f>SUMIFS(DATA_CURRENT!$V:$V,DATA_CURRENT!$J:$J,$A34,DATA_CURRENT!$B:$B,"Unresolved (Apr)")</f>
        <v>0</v>
      </c>
      <c r="Z34" s="31">
        <f>COUNTIFS(DATA_CURRENT!$B:$B,"Unresolved (May)",DATA_CURRENT!$J:$J,$A34)</f>
        <v>7</v>
      </c>
      <c r="AA34" s="32">
        <f>SUMIFS(DATA_CURRENT!$V:$V,DATA_CURRENT!$J:$J,$A34,DATA_CURRENT!$B:$B,"Unresolved (May)")</f>
        <v>6.5900000000000016</v>
      </c>
      <c r="AB34" s="29">
        <f>COUNTIFS(DATA_CURRENT!$B:$B,"Added",DATA_CURRENT!$J:$J,$A34)</f>
        <v>7</v>
      </c>
      <c r="AC34" s="30">
        <f>SUMIFS(DATA_CURRENT!$V:$V,DATA_CURRENT!$J:$J,$A34,DATA_CURRENT!$B:$B,"Added")</f>
        <v>103.32999999999998</v>
      </c>
      <c r="AE34" s="29">
        <f t="shared" si="11"/>
        <v>15</v>
      </c>
      <c r="AF34" s="30">
        <f t="shared" si="12"/>
        <v>151.57999999999998</v>
      </c>
      <c r="AH34" s="28" t="s">
        <v>57</v>
      </c>
      <c r="AI34" s="77">
        <f>SUMIFS(DATA_CURRENT!$V:$V,DATA_CURRENT!$J:$J,$A34,DATA_CURRENT!$X:$X,AI$5)</f>
        <v>73.239999999999995</v>
      </c>
      <c r="AJ34" s="77">
        <f>SUMIFS(DATA_CURRENT!$V:$V,DATA_CURRENT!$J:$J,$A34,DATA_CURRENT!$X:$X,AJ$5)</f>
        <v>12.7</v>
      </c>
      <c r="AK34" s="77">
        <f>SUMIFS(DATA_CURRENT!$V:$V,DATA_CURRENT!$J:$J,$A34,DATA_CURRENT!$X:$X,AK$5)</f>
        <v>0</v>
      </c>
      <c r="AL34" s="77">
        <f>SUMIFS(DATA_CURRENT!$V:$V,DATA_CURRENT!$J:$J,$A34,DATA_CURRENT!$X:$X,AL$5)</f>
        <v>22.290000000000003</v>
      </c>
      <c r="AM34" s="77">
        <f>SUMIFS(DATA_CURRENT!$V:$V,DATA_CURRENT!$J:$J,$A34,DATA_CURRENT!$X:$X,AM$5)</f>
        <v>0</v>
      </c>
      <c r="AN34" s="33">
        <f t="shared" si="13"/>
        <v>108.23</v>
      </c>
      <c r="AO34" s="33">
        <f>SUMIFS(DATA_CURRENT!$V:$V,DATA_CURRENT!$J:$J,$A34,DATA_CURRENT!$X:$X,AO$5)</f>
        <v>43.35</v>
      </c>
      <c r="AP34" s="26">
        <f>SUMIFS(DATA_CURRENT!$V:$V,DATA_CURRENT!$J:$J,$A34,DATA_CURRENT!$X:$X,AP$5)</f>
        <v>0</v>
      </c>
      <c r="AQ34" s="30">
        <f t="shared" si="14"/>
        <v>151.58000000000001</v>
      </c>
      <c r="AS34" s="26">
        <f>SUMIFS(DATA_CURRENT!$Z:$Z,DATA_CURRENT!$J:$J,$A34,DATA_CURRENT!$Y:$Y,AS$23)</f>
        <v>73.239999999999995</v>
      </c>
      <c r="AT34" s="26">
        <f>SUMIFS(DATA_CURRENT!$Z:$Z,DATA_CURRENT!$J:$J,$A34,DATA_CURRENT!$Y:$Y,AT$23)</f>
        <v>17.495000000000001</v>
      </c>
      <c r="AU34" s="26">
        <f>SUMIFS(DATA_CURRENT!$Z:$Z,DATA_CURRENT!$J:$J,$A34,DATA_CURRENT!$Y:$Y,AU$23)</f>
        <v>10.8375</v>
      </c>
      <c r="AV34" s="30">
        <f t="shared" si="15"/>
        <v>101.57250000000001</v>
      </c>
      <c r="AW34" s="26">
        <f>SUMIFS(DATA_CURRENT!$AA:$AA,DATA_CURRENT!$J:$J,$A34,DATA_CURRENT!$Y:$Y,AW$23)</f>
        <v>17.495000000000001</v>
      </c>
      <c r="AX34" s="26">
        <f>SUMIFS(DATA_CURRENT!$AA:$AA,DATA_CURRENT!$J:$J,$A34,DATA_CURRENT!$Y:$Y,AX$23)</f>
        <v>32.512500000000003</v>
      </c>
      <c r="AY34" s="26">
        <f>SUMIFS(DATA_CURRENT!$AA:$AA,DATA_CURRENT!$J:$J,$A34,DATA_CURRENT!$Y:$Y,AY$23)</f>
        <v>0</v>
      </c>
      <c r="AZ34" s="30">
        <f t="shared" si="16"/>
        <v>50.007500000000007</v>
      </c>
      <c r="BB34" s="30">
        <f t="shared" si="17"/>
        <v>151.58000000000001</v>
      </c>
      <c r="BC34" s="27">
        <f t="shared" si="18"/>
        <v>0</v>
      </c>
    </row>
    <row r="35" spans="1:55" x14ac:dyDescent="0.25">
      <c r="A35" s="18" t="s">
        <v>58</v>
      </c>
      <c r="C35" s="28" t="s">
        <v>51</v>
      </c>
      <c r="D35" s="29">
        <f>COUNTIF(DATA_PRIOR!$J:$J,A35)</f>
        <v>7</v>
      </c>
      <c r="E35" s="30">
        <f>SUMIF(DATA_PRIOR!$J:$J,A35,DATA_PRIOR!$V:$V)</f>
        <v>124.74999999999999</v>
      </c>
      <c r="G35" s="29">
        <f t="shared" si="19"/>
        <v>-3</v>
      </c>
      <c r="H35" s="30">
        <f t="shared" si="20"/>
        <v>-71.589999999999989</v>
      </c>
      <c r="J35" s="31">
        <f>COUNTIFS(DATA_CURRENT!$B:$B,"Unresolved (Aug)",DATA_CURRENT!$J:$J,$A35)</f>
        <v>0</v>
      </c>
      <c r="K35" s="32">
        <f>SUMIFS(DATA_CURRENT!$V:$V,DATA_CURRENT!$J:$J,$A35,DATA_CURRENT!$B:$B,"Unresolved (Aug)")</f>
        <v>0</v>
      </c>
      <c r="L35" s="31">
        <f>COUNTIFS(DATA_CURRENT!$B:$B,"Unresolved (Oct)",DATA_CURRENT!$J:$J,$A35)</f>
        <v>0</v>
      </c>
      <c r="M35" s="32">
        <f>SUMIFS(DATA_CURRENT!$V:$V,DATA_CURRENT!$J:$J,$A35,DATA_CURRENT!$B:$B,"Unresolved (Oct)")</f>
        <v>0</v>
      </c>
      <c r="N35" s="31">
        <f>COUNTIFS(DATA_CURRENT!$B:$B,"Unresolved (Nov)",DATA_CURRENT!$J:$J,$A35)</f>
        <v>0</v>
      </c>
      <c r="O35" s="32">
        <f>SUMIFS(DATA_CURRENT!$V:$V,DATA_CURRENT!$J:$J,$A35,DATA_CURRENT!$B:$B,"Unresolved (Nov)")</f>
        <v>0</v>
      </c>
      <c r="P35" s="31">
        <f>COUNTIFS(DATA_CURRENT!$B:$B,"Unresolved (Dec)",DATA_CURRENT!$J:$J,$A35)</f>
        <v>0</v>
      </c>
      <c r="Q35" s="32">
        <f>SUMIFS(DATA_CURRENT!$V:$V,DATA_CURRENT!$J:$J,$A35,DATA_CURRENT!$B:$B,"Unresolved (Dec)")</f>
        <v>0</v>
      </c>
      <c r="R35" s="31">
        <f>COUNTIFS(DATA_CURRENT!$B:$B,"Unresolved (Jan)",DATA_CURRENT!$J:$J,$A35)</f>
        <v>0</v>
      </c>
      <c r="S35" s="32">
        <f>SUMIFS(DATA_CURRENT!$V:$V,DATA_CURRENT!$J:$J,$A35,DATA_CURRENT!$B:$B,"Unresolved (Jan)")</f>
        <v>0</v>
      </c>
      <c r="T35" s="31">
        <f>COUNTIFS(DATA_CURRENT!$B:$B,"Unresolved (Feb)",DATA_CURRENT!$J:$J,$A35)</f>
        <v>0</v>
      </c>
      <c r="U35" s="32">
        <f>SUMIFS(DATA_CURRENT!$V:$V,DATA_CURRENT!$J:$J,$A35,DATA_CURRENT!$B:$B,"Unresolved (Feb)")</f>
        <v>0</v>
      </c>
      <c r="V35" s="31">
        <f>COUNTIFS(DATA_CURRENT!$B:$B,"Unresolved (Mar)",DATA_CURRENT!$J:$J,$A35)</f>
        <v>0</v>
      </c>
      <c r="W35" s="32">
        <f>SUMIFS(DATA_CURRENT!$V:$V,DATA_CURRENT!$J:$J,$A35,DATA_CURRENT!$B:$B,"Unresolved (Mar)")</f>
        <v>0</v>
      </c>
      <c r="X35" s="31">
        <f>COUNTIFS(DATA_CURRENT!$B:$B,"Unresolved (Apr)",DATA_CURRENT!$J:$J,$A35)</f>
        <v>0</v>
      </c>
      <c r="Y35" s="32">
        <f>SUMIFS(DATA_CURRENT!$V:$V,DATA_CURRENT!$J:$J,$A35,DATA_CURRENT!$B:$B,"Unresolved (Apr)")</f>
        <v>0</v>
      </c>
      <c r="Z35" s="31">
        <f>COUNTIFS(DATA_CURRENT!$B:$B,"Unresolved (May)",DATA_CURRENT!$J:$J,$A35)</f>
        <v>4</v>
      </c>
      <c r="AA35" s="32">
        <f>SUMIFS(DATA_CURRENT!$V:$V,DATA_CURRENT!$J:$J,$A35,DATA_CURRENT!$B:$B,"Unresolved (May)")</f>
        <v>53.16</v>
      </c>
      <c r="AB35" s="29">
        <f>COUNTIFS(DATA_CURRENT!$B:$B,"Added",DATA_CURRENT!$J:$J,$A35)</f>
        <v>0</v>
      </c>
      <c r="AC35" s="30">
        <f>SUMIFS(DATA_CURRENT!$V:$V,DATA_CURRENT!$J:$J,$A35,DATA_CURRENT!$B:$B,"Added")</f>
        <v>0</v>
      </c>
      <c r="AE35" s="29">
        <f t="shared" si="11"/>
        <v>4</v>
      </c>
      <c r="AF35" s="30">
        <f t="shared" si="12"/>
        <v>53.16</v>
      </c>
      <c r="AH35" s="28" t="s">
        <v>51</v>
      </c>
      <c r="AI35" s="77">
        <f>SUMIFS(DATA_CURRENT!$V:$V,DATA_CURRENT!$J:$J,$A35,DATA_CURRENT!$X:$X,AI$5)</f>
        <v>53.16</v>
      </c>
      <c r="AJ35" s="77">
        <f>SUMIFS(DATA_CURRENT!$V:$V,DATA_CURRENT!$J:$J,$A35,DATA_CURRENT!$X:$X,AJ$5)</f>
        <v>0</v>
      </c>
      <c r="AK35" s="77">
        <f>SUMIFS(DATA_CURRENT!$V:$V,DATA_CURRENT!$J:$J,$A35,DATA_CURRENT!$X:$X,AK$5)</f>
        <v>0</v>
      </c>
      <c r="AL35" s="77">
        <f>SUMIFS(DATA_CURRENT!$V:$V,DATA_CURRENT!$J:$J,$A35,DATA_CURRENT!$X:$X,AL$5)</f>
        <v>0</v>
      </c>
      <c r="AM35" s="77">
        <f>SUMIFS(DATA_CURRENT!$V:$V,DATA_CURRENT!$J:$J,$A35,DATA_CURRENT!$X:$X,AM$5)</f>
        <v>0</v>
      </c>
      <c r="AN35" s="26">
        <f t="shared" si="13"/>
        <v>53.16</v>
      </c>
      <c r="AO35" s="33">
        <f>SUMIFS(DATA_CURRENT!$V:$V,DATA_CURRENT!$J:$J,$A35,DATA_CURRENT!$X:$X,AO$5)</f>
        <v>0</v>
      </c>
      <c r="AP35" s="33">
        <f>SUMIFS(DATA_CURRENT!$V:$V,DATA_CURRENT!$J:$J,$A35,DATA_CURRENT!$X:$X,AP$5)</f>
        <v>0</v>
      </c>
      <c r="AQ35" s="30">
        <f>SUM(AN35:AP35)</f>
        <v>53.16</v>
      </c>
      <c r="AS35" s="33">
        <f>SUMIFS(DATA_CURRENT!$Z:$Z,DATA_CURRENT!$J:$J,$A35,DATA_CURRENT!$Y:$Y,AS$23)</f>
        <v>53.16</v>
      </c>
      <c r="AT35" s="33">
        <f>SUMIFS(DATA_CURRENT!$Z:$Z,DATA_CURRENT!$J:$J,$A35,DATA_CURRENT!$Y:$Y,AT$23)</f>
        <v>0</v>
      </c>
      <c r="AU35" s="33">
        <f>SUMIFS(DATA_CURRENT!$Z:$Z,DATA_CURRENT!$J:$J,$A35,DATA_CURRENT!$Y:$Y,AU$23)</f>
        <v>0</v>
      </c>
      <c r="AV35" s="30">
        <f t="shared" si="15"/>
        <v>53.16</v>
      </c>
      <c r="AW35" s="33">
        <f>SUMIFS(DATA_CURRENT!$AA:$AA,DATA_CURRENT!$J:$J,$A35,DATA_CURRENT!$Y:$Y,AW$23)</f>
        <v>0</v>
      </c>
      <c r="AX35" s="33">
        <f>SUMIFS(DATA_CURRENT!$AA:$AA,DATA_CURRENT!$J:$J,$A35,DATA_CURRENT!$Y:$Y,AX$23)</f>
        <v>0</v>
      </c>
      <c r="AY35" s="33">
        <f>SUMIFS(DATA_CURRENT!$AA:$AA,DATA_CURRENT!$J:$J,$A35,DATA_CURRENT!$Y:$Y,AY$23)</f>
        <v>0</v>
      </c>
      <c r="AZ35" s="30">
        <f t="shared" si="16"/>
        <v>0</v>
      </c>
      <c r="BB35" s="30">
        <f t="shared" si="17"/>
        <v>53.16</v>
      </c>
      <c r="BC35" s="27">
        <f t="shared" si="18"/>
        <v>0</v>
      </c>
    </row>
    <row r="36" spans="1:55" x14ac:dyDescent="0.25">
      <c r="A36" s="18" t="s">
        <v>59</v>
      </c>
      <c r="C36" s="28" t="s">
        <v>60</v>
      </c>
      <c r="D36" s="29">
        <f>COUNTIF(DATA_PRIOR!$J:$J,A36)</f>
        <v>0</v>
      </c>
      <c r="E36" s="30">
        <f>SUMIF(DATA_PRIOR!$J:$J,A36,DATA_PRIOR!$V:$V)</f>
        <v>0</v>
      </c>
      <c r="G36" s="29">
        <f t="shared" si="19"/>
        <v>0</v>
      </c>
      <c r="H36" s="30">
        <f t="shared" si="20"/>
        <v>0</v>
      </c>
      <c r="J36" s="31">
        <f>COUNTIFS(DATA_CURRENT!$B:$B,"Unresolved (Aug)",DATA_CURRENT!$J:$J,$A36)</f>
        <v>0</v>
      </c>
      <c r="K36" s="32">
        <f>SUMIFS(DATA_CURRENT!$V:$V,DATA_CURRENT!$J:$J,$A36,DATA_CURRENT!$B:$B,"Unresolved (Aug)")</f>
        <v>0</v>
      </c>
      <c r="L36" s="31">
        <f>COUNTIFS(DATA_CURRENT!$B:$B,"Unresolved (Oct)",DATA_CURRENT!$J:$J,$A36)</f>
        <v>0</v>
      </c>
      <c r="M36" s="32">
        <f>SUMIFS(DATA_CURRENT!$V:$V,DATA_CURRENT!$J:$J,$A36,DATA_CURRENT!$B:$B,"Unresolved (Oct)")</f>
        <v>0</v>
      </c>
      <c r="N36" s="31">
        <f>COUNTIFS(DATA_CURRENT!$B:$B,"Unresolved (Nov)",DATA_CURRENT!$J:$J,$A36)</f>
        <v>0</v>
      </c>
      <c r="O36" s="32">
        <f>SUMIFS(DATA_CURRENT!$V:$V,DATA_CURRENT!$J:$J,$A36,DATA_CURRENT!$B:$B,"Unresolved (Nov)")</f>
        <v>0</v>
      </c>
      <c r="P36" s="31">
        <f>COUNTIFS(DATA_CURRENT!$B:$B,"Unresolved (Dec)",DATA_CURRENT!$J:$J,$A36)</f>
        <v>0</v>
      </c>
      <c r="Q36" s="32">
        <f>SUMIFS(DATA_CURRENT!$V:$V,DATA_CURRENT!$J:$J,$A36,DATA_CURRENT!$B:$B,"Unresolved (Dec)")</f>
        <v>0</v>
      </c>
      <c r="R36" s="31">
        <f>COUNTIFS(DATA_CURRENT!$B:$B,"Unresolved (Jan)",DATA_CURRENT!$J:$J,$A36)</f>
        <v>0</v>
      </c>
      <c r="S36" s="32">
        <f>SUMIFS(DATA_CURRENT!$V:$V,DATA_CURRENT!$J:$J,$A36,DATA_CURRENT!$B:$B,"Unresolved (Jan)")</f>
        <v>0</v>
      </c>
      <c r="T36" s="31">
        <f>COUNTIFS(DATA_CURRENT!$B:$B,"Unresolved (Feb)",DATA_CURRENT!$J:$J,$A36)</f>
        <v>0</v>
      </c>
      <c r="U36" s="32">
        <f>SUMIFS(DATA_CURRENT!$V:$V,DATA_CURRENT!$J:$J,$A36,DATA_CURRENT!$B:$B,"Unresolved (Feb)")</f>
        <v>0</v>
      </c>
      <c r="V36" s="31">
        <f>COUNTIFS(DATA_CURRENT!$B:$B,"Unresolved (Mar)",DATA_CURRENT!$J:$J,$A36)</f>
        <v>0</v>
      </c>
      <c r="W36" s="32">
        <f>SUMIFS(DATA_CURRENT!$V:$V,DATA_CURRENT!$J:$J,$A36,DATA_CURRENT!$B:$B,"Unresolved (Mar)")</f>
        <v>0</v>
      </c>
      <c r="X36" s="31">
        <f>COUNTIFS(DATA_CURRENT!$B:$B,"Unresolved (Apr)",DATA_CURRENT!$J:$J,$A36)</f>
        <v>0</v>
      </c>
      <c r="Y36" s="32">
        <f>SUMIFS(DATA_CURRENT!$V:$V,DATA_CURRENT!$J:$J,$A36,DATA_CURRENT!$B:$B,"Unresolved (Apr)")</f>
        <v>0</v>
      </c>
      <c r="Z36" s="31">
        <f>COUNTIFS(DATA_CURRENT!$B:$B,"Unresolved (May)",DATA_CURRENT!$J:$J,$A36)</f>
        <v>0</v>
      </c>
      <c r="AA36" s="32">
        <f>SUMIFS(DATA_CURRENT!$V:$V,DATA_CURRENT!$J:$J,$A36,DATA_CURRENT!$B:$B,"Unresolved (May)")</f>
        <v>0</v>
      </c>
      <c r="AB36" s="29">
        <f>COUNTIFS(DATA_CURRENT!$B:$B,"Added",DATA_CURRENT!$J:$J,$A36)</f>
        <v>0</v>
      </c>
      <c r="AC36" s="30">
        <f>SUMIFS(DATA_CURRENT!$V:$V,DATA_CURRENT!$J:$J,$A36,DATA_CURRENT!$B:$B,"Added")</f>
        <v>0</v>
      </c>
      <c r="AE36" s="29">
        <f t="shared" si="11"/>
        <v>0</v>
      </c>
      <c r="AF36" s="30">
        <f t="shared" si="12"/>
        <v>0</v>
      </c>
      <c r="AH36" s="28" t="s">
        <v>60</v>
      </c>
      <c r="AI36" s="77">
        <f>SUMIFS(DATA_CURRENT!$V:$V,DATA_CURRENT!$J:$J,$A36,DATA_CURRENT!$X:$X,AI$5)</f>
        <v>0</v>
      </c>
      <c r="AJ36" s="77">
        <f>SUMIFS(DATA_CURRENT!$V:$V,DATA_CURRENT!$J:$J,$A36,DATA_CURRENT!$X:$X,AJ$5)</f>
        <v>0</v>
      </c>
      <c r="AK36" s="77">
        <f>SUMIFS(DATA_CURRENT!$V:$V,DATA_CURRENT!$J:$J,$A36,DATA_CURRENT!$X:$X,AK$5)</f>
        <v>0</v>
      </c>
      <c r="AL36" s="77">
        <f>SUMIFS(DATA_CURRENT!$V:$V,DATA_CURRENT!$J:$J,$A36,DATA_CURRENT!$X:$X,AL$5)</f>
        <v>0</v>
      </c>
      <c r="AM36" s="77">
        <f>SUMIFS(DATA_CURRENT!$V:$V,DATA_CURRENT!$J:$J,$A36,DATA_CURRENT!$X:$X,AM$5)</f>
        <v>0</v>
      </c>
      <c r="AN36" s="26">
        <f t="shared" si="13"/>
        <v>0</v>
      </c>
      <c r="AO36" s="33">
        <f>SUMIFS(DATA_CURRENT!$V:$V,DATA_CURRENT!$J:$J,$A36,DATA_CURRENT!$X:$X,AO$5)</f>
        <v>0</v>
      </c>
      <c r="AP36" s="33">
        <f>SUMIFS(DATA_CURRENT!$V:$V,DATA_CURRENT!$J:$J,$A36,DATA_CURRENT!$X:$X,AP$5)</f>
        <v>0</v>
      </c>
      <c r="AQ36" s="30">
        <f>SUM(AN36:AP36)</f>
        <v>0</v>
      </c>
      <c r="AS36" s="33">
        <f>SUMIFS(DATA_CURRENT!$Z:$Z,DATA_CURRENT!$J:$J,$A36,DATA_CURRENT!$Y:$Y,AS$23)</f>
        <v>0</v>
      </c>
      <c r="AT36" s="33">
        <f>SUMIFS(DATA_CURRENT!$Z:$Z,DATA_CURRENT!$J:$J,$A36,DATA_CURRENT!$Y:$Y,AT$23)</f>
        <v>0</v>
      </c>
      <c r="AU36" s="33">
        <f>SUMIFS(DATA_CURRENT!$Z:$Z,DATA_CURRENT!$J:$J,$A36,DATA_CURRENT!$Y:$Y,AU$23)</f>
        <v>0</v>
      </c>
      <c r="AV36" s="30">
        <f t="shared" si="15"/>
        <v>0</v>
      </c>
      <c r="AW36" s="33">
        <f>SUMIFS(DATA_CURRENT!$AA:$AA,DATA_CURRENT!$J:$J,$A36,DATA_CURRENT!$Y:$Y,AW$23)</f>
        <v>0</v>
      </c>
      <c r="AX36" s="33">
        <f>SUMIFS(DATA_CURRENT!$AA:$AA,DATA_CURRENT!$J:$J,$A36,DATA_CURRENT!$Y:$Y,AX$23)</f>
        <v>0</v>
      </c>
      <c r="AY36" s="33">
        <f>SUMIFS(DATA_CURRENT!$AA:$AA,DATA_CURRENT!$J:$J,$A36,DATA_CURRENT!$Y:$Y,AY$23)</f>
        <v>0</v>
      </c>
      <c r="AZ36" s="30">
        <f t="shared" si="16"/>
        <v>0</v>
      </c>
      <c r="BB36" s="30">
        <f t="shared" si="17"/>
        <v>0</v>
      </c>
      <c r="BC36" s="27"/>
    </row>
    <row r="37" spans="1:55" x14ac:dyDescent="0.25">
      <c r="A37" s="18" t="s">
        <v>61</v>
      </c>
      <c r="C37" s="28" t="s">
        <v>62</v>
      </c>
      <c r="D37" s="29">
        <f>COUNTIF(DATA_PRIOR!$J:$J,A37)</f>
        <v>0</v>
      </c>
      <c r="E37" s="30">
        <f>SUMIF(DATA_PRIOR!$J:$J,A37,DATA_PRIOR!$V:$V)</f>
        <v>0</v>
      </c>
      <c r="G37" s="29">
        <f t="shared" si="19"/>
        <v>0</v>
      </c>
      <c r="H37" s="30">
        <f t="shared" si="20"/>
        <v>0</v>
      </c>
      <c r="J37" s="31">
        <f>COUNTIFS(DATA_CURRENT!$B:$B,"Unresolved (Aug)",DATA_CURRENT!$J:$J,$A37)</f>
        <v>0</v>
      </c>
      <c r="K37" s="32">
        <f>SUMIFS(DATA_CURRENT!$V:$V,DATA_CURRENT!$J:$J,$A37,DATA_CURRENT!$B:$B,"Unresolved (Aug)")</f>
        <v>0</v>
      </c>
      <c r="L37" s="31">
        <f>COUNTIFS(DATA_CURRENT!$B:$B,"Unresolved (Oct)",DATA_CURRENT!$J:$J,$A37)</f>
        <v>0</v>
      </c>
      <c r="M37" s="32">
        <f>SUMIFS(DATA_CURRENT!$V:$V,DATA_CURRENT!$J:$J,$A37,DATA_CURRENT!$B:$B,"Unresolved (Oct)")</f>
        <v>0</v>
      </c>
      <c r="N37" s="31">
        <f>COUNTIFS(DATA_CURRENT!$B:$B,"Unresolved (Nov)",DATA_CURRENT!$J:$J,$A37)</f>
        <v>0</v>
      </c>
      <c r="O37" s="32">
        <f>SUMIFS(DATA_CURRENT!$V:$V,DATA_CURRENT!$J:$J,$A37,DATA_CURRENT!$B:$B,"Unresolved (Nov)")</f>
        <v>0</v>
      </c>
      <c r="P37" s="31">
        <f>COUNTIFS(DATA_CURRENT!$B:$B,"Unresolved (Dec)",DATA_CURRENT!$J:$J,$A37)</f>
        <v>0</v>
      </c>
      <c r="Q37" s="32">
        <f>SUMIFS(DATA_CURRENT!$V:$V,DATA_CURRENT!$J:$J,$A37,DATA_CURRENT!$B:$B,"Unresolved (Dec)")</f>
        <v>0</v>
      </c>
      <c r="R37" s="31">
        <f>COUNTIFS(DATA_CURRENT!$B:$B,"Unresolved (Jan)",DATA_CURRENT!$J:$J,$A37)</f>
        <v>0</v>
      </c>
      <c r="S37" s="32">
        <f>SUMIFS(DATA_CURRENT!$V:$V,DATA_CURRENT!$J:$J,$A37,DATA_CURRENT!$B:$B,"Unresolved (Jan)")</f>
        <v>0</v>
      </c>
      <c r="T37" s="31">
        <f>COUNTIFS(DATA_CURRENT!$B:$B,"Unresolved (Feb)",DATA_CURRENT!$J:$J,$A37)</f>
        <v>0</v>
      </c>
      <c r="U37" s="32">
        <f>SUMIFS(DATA_CURRENT!$V:$V,DATA_CURRENT!$J:$J,$A37,DATA_CURRENT!$B:$B,"Unresolved (Feb)")</f>
        <v>0</v>
      </c>
      <c r="V37" s="31">
        <f>COUNTIFS(DATA_CURRENT!$B:$B,"Unresolved (Mar)",DATA_CURRENT!$J:$J,$A37)</f>
        <v>0</v>
      </c>
      <c r="W37" s="32">
        <f>SUMIFS(DATA_CURRENT!$V:$V,DATA_CURRENT!$J:$J,$A37,DATA_CURRENT!$B:$B,"Unresolved (Mar)")</f>
        <v>0</v>
      </c>
      <c r="X37" s="31">
        <f>COUNTIFS(DATA_CURRENT!$B:$B,"Unresolved (Apr)",DATA_CURRENT!$J:$J,$A37)</f>
        <v>0</v>
      </c>
      <c r="Y37" s="32">
        <f>SUMIFS(DATA_CURRENT!$V:$V,DATA_CURRENT!$J:$J,$A37,DATA_CURRENT!$B:$B,"Unresolved (Apr)")</f>
        <v>0</v>
      </c>
      <c r="Z37" s="31">
        <f>COUNTIFS(DATA_CURRENT!$B:$B,"Unresolved (May)",DATA_CURRENT!$J:$J,$A37)</f>
        <v>0</v>
      </c>
      <c r="AA37" s="32">
        <f>SUMIFS(DATA_CURRENT!$V:$V,DATA_CURRENT!$J:$J,$A37,DATA_CURRENT!$B:$B,"Unresolved (May)")</f>
        <v>0</v>
      </c>
      <c r="AB37" s="29">
        <f>COUNTIFS(DATA_CURRENT!$B:$B,"Added",DATA_CURRENT!$J:$J,$A37)</f>
        <v>0</v>
      </c>
      <c r="AC37" s="30">
        <f>SUMIFS(DATA_CURRENT!$V:$V,DATA_CURRENT!$J:$J,$A37,DATA_CURRENT!$B:$B,"Added")</f>
        <v>0</v>
      </c>
      <c r="AE37" s="29">
        <f t="shared" si="11"/>
        <v>0</v>
      </c>
      <c r="AF37" s="30">
        <f t="shared" si="12"/>
        <v>0</v>
      </c>
      <c r="AH37" s="28" t="s">
        <v>62</v>
      </c>
      <c r="AI37" s="77">
        <f>SUMIFS(DATA_CURRENT!$V:$V,DATA_CURRENT!$J:$J,$A37,DATA_CURRENT!$X:$X,AI$5)</f>
        <v>0</v>
      </c>
      <c r="AJ37" s="77">
        <f>SUMIFS(DATA_CURRENT!$V:$V,DATA_CURRENT!$J:$J,$A37,DATA_CURRENT!$X:$X,AJ$5)</f>
        <v>0</v>
      </c>
      <c r="AK37" s="77">
        <f>SUMIFS(DATA_CURRENT!$V:$V,DATA_CURRENT!$J:$J,$A37,DATA_CURRENT!$X:$X,AK$5)</f>
        <v>0</v>
      </c>
      <c r="AL37" s="77">
        <f>SUMIFS(DATA_CURRENT!$V:$V,DATA_CURRENT!$J:$J,$A37,DATA_CURRENT!$X:$X,AL$5)</f>
        <v>0</v>
      </c>
      <c r="AM37" s="77">
        <f>SUMIFS(DATA_CURRENT!$V:$V,DATA_CURRENT!$J:$J,$A37,DATA_CURRENT!$X:$X,AM$5)</f>
        <v>0</v>
      </c>
      <c r="AN37" s="26">
        <f t="shared" si="13"/>
        <v>0</v>
      </c>
      <c r="AO37" s="33">
        <f>SUMIFS(DATA_CURRENT!$V:$V,DATA_CURRENT!$J:$J,$A37,DATA_CURRENT!$X:$X,AO$5)</f>
        <v>0</v>
      </c>
      <c r="AP37" s="33">
        <f>SUMIFS(DATA_CURRENT!$V:$V,DATA_CURRENT!$J:$J,$A37,DATA_CURRENT!$X:$X,AP$5)</f>
        <v>0</v>
      </c>
      <c r="AQ37" s="30">
        <f>SUM(AN37:AP37)</f>
        <v>0</v>
      </c>
      <c r="AS37" s="33">
        <f>SUMIFS(DATA_CURRENT!$Z:$Z,DATA_CURRENT!$J:$J,$A37,DATA_CURRENT!$Y:$Y,AS$23)</f>
        <v>0</v>
      </c>
      <c r="AT37" s="33">
        <f>SUMIFS(DATA_CURRENT!$Z:$Z,DATA_CURRENT!$J:$J,$A37,DATA_CURRENT!$Y:$Y,AT$23)</f>
        <v>0</v>
      </c>
      <c r="AU37" s="33">
        <f>SUMIFS(DATA_CURRENT!$Z:$Z,DATA_CURRENT!$J:$J,$A37,DATA_CURRENT!$Y:$Y,AU$23)</f>
        <v>0</v>
      </c>
      <c r="AV37" s="30">
        <f t="shared" si="15"/>
        <v>0</v>
      </c>
      <c r="AW37" s="33">
        <f>SUMIFS(DATA_CURRENT!$AA:$AA,DATA_CURRENT!$J:$J,$A37,DATA_CURRENT!$Y:$Y,AW$23)</f>
        <v>0</v>
      </c>
      <c r="AX37" s="33">
        <f>SUMIFS(DATA_CURRENT!$AA:$AA,DATA_CURRENT!$J:$J,$A37,DATA_CURRENT!$Y:$Y,AX$23)</f>
        <v>0</v>
      </c>
      <c r="AY37" s="33">
        <f>SUMIFS(DATA_CURRENT!$AA:$AA,DATA_CURRENT!$J:$J,$A37,DATA_CURRENT!$Y:$Y,AY$23)</f>
        <v>0</v>
      </c>
      <c r="AZ37" s="30">
        <f t="shared" si="16"/>
        <v>0</v>
      </c>
      <c r="BB37" s="30">
        <f t="shared" si="17"/>
        <v>0</v>
      </c>
      <c r="BC37" s="27"/>
    </row>
    <row r="38" spans="1:55" x14ac:dyDescent="0.25">
      <c r="A38" s="18" t="s">
        <v>63</v>
      </c>
      <c r="C38" s="28" t="s">
        <v>64</v>
      </c>
      <c r="D38" s="29">
        <f>COUNTIF(DATA_PRIOR!$J:$J,A38)</f>
        <v>0</v>
      </c>
      <c r="E38" s="30">
        <f>SUMIF(DATA_PRIOR!$J:$J,A38,DATA_PRIOR!$V:$V)</f>
        <v>0</v>
      </c>
      <c r="G38" s="29">
        <f t="shared" si="19"/>
        <v>0</v>
      </c>
      <c r="H38" s="30">
        <f t="shared" si="20"/>
        <v>0</v>
      </c>
      <c r="J38" s="31">
        <f>COUNTIFS(DATA_CURRENT!$B:$B,"Unresolved (Aug)",DATA_CURRENT!$J:$J,$A38)</f>
        <v>0</v>
      </c>
      <c r="K38" s="32">
        <f>SUMIFS(DATA_CURRENT!$V:$V,DATA_CURRENT!$J:$J,$A38,DATA_CURRENT!$B:$B,"Unresolved (Aug)")</f>
        <v>0</v>
      </c>
      <c r="L38" s="31">
        <f>COUNTIFS(DATA_CURRENT!$B:$B,"Unresolved (Oct)",DATA_CURRENT!$J:$J,$A38)</f>
        <v>0</v>
      </c>
      <c r="M38" s="32">
        <f>SUMIFS(DATA_CURRENT!$V:$V,DATA_CURRENT!$J:$J,$A38,DATA_CURRENT!$B:$B,"Unresolved (Oct)")</f>
        <v>0</v>
      </c>
      <c r="N38" s="31">
        <f>COUNTIFS(DATA_CURRENT!$B:$B,"Unresolved (Nov)",DATA_CURRENT!$J:$J,$A38)</f>
        <v>0</v>
      </c>
      <c r="O38" s="32">
        <f>SUMIFS(DATA_CURRENT!$V:$V,DATA_CURRENT!$J:$J,$A38,DATA_CURRENT!$B:$B,"Unresolved (Nov)")</f>
        <v>0</v>
      </c>
      <c r="P38" s="31">
        <f>COUNTIFS(DATA_CURRENT!$B:$B,"Unresolved (Dec)",DATA_CURRENT!$J:$J,$A38)</f>
        <v>0</v>
      </c>
      <c r="Q38" s="32">
        <f>SUMIFS(DATA_CURRENT!$V:$V,DATA_CURRENT!$J:$J,$A38,DATA_CURRENT!$B:$B,"Unresolved (Dec)")</f>
        <v>0</v>
      </c>
      <c r="R38" s="31">
        <f>COUNTIFS(DATA_CURRENT!$B:$B,"Unresolved (Jan)",DATA_CURRENT!$J:$J,$A38)</f>
        <v>0</v>
      </c>
      <c r="S38" s="32">
        <f>SUMIFS(DATA_CURRENT!$V:$V,DATA_CURRENT!$J:$J,$A38,DATA_CURRENT!$B:$B,"Unresolved (Jan)")</f>
        <v>0</v>
      </c>
      <c r="T38" s="31">
        <f>COUNTIFS(DATA_CURRENT!$B:$B,"Unresolved (Feb)",DATA_CURRENT!$J:$J,$A38)</f>
        <v>0</v>
      </c>
      <c r="U38" s="32">
        <f>SUMIFS(DATA_CURRENT!$V:$V,DATA_CURRENT!$J:$J,$A38,DATA_CURRENT!$B:$B,"Unresolved (Feb)")</f>
        <v>0</v>
      </c>
      <c r="V38" s="31">
        <f>COUNTIFS(DATA_CURRENT!$B:$B,"Unresolved (Mar)",DATA_CURRENT!$J:$J,$A38)</f>
        <v>0</v>
      </c>
      <c r="W38" s="32">
        <f>SUMIFS(DATA_CURRENT!$V:$V,DATA_CURRENT!$J:$J,$A38,DATA_CURRENT!$B:$B,"Unresolved (Mar)")</f>
        <v>0</v>
      </c>
      <c r="X38" s="31">
        <f>COUNTIFS(DATA_CURRENT!$B:$B,"Unresolved (Apr)",DATA_CURRENT!$J:$J,$A38)</f>
        <v>0</v>
      </c>
      <c r="Y38" s="32">
        <f>SUMIFS(DATA_CURRENT!$V:$V,DATA_CURRENT!$J:$J,$A38,DATA_CURRENT!$B:$B,"Unresolved (Apr)")</f>
        <v>0</v>
      </c>
      <c r="Z38" s="31">
        <f>COUNTIFS(DATA_CURRENT!$B:$B,"Unresolved (May)",DATA_CURRENT!$J:$J,$A38)</f>
        <v>0</v>
      </c>
      <c r="AA38" s="32">
        <f>SUMIFS(DATA_CURRENT!$V:$V,DATA_CURRENT!$J:$J,$A38,DATA_CURRENT!$B:$B,"Unresolved (May)")</f>
        <v>0</v>
      </c>
      <c r="AB38" s="29">
        <f>COUNTIFS(DATA_CURRENT!$B:$B,"Added",DATA_CURRENT!$J:$J,$A38)</f>
        <v>0</v>
      </c>
      <c r="AC38" s="30">
        <f>SUMIFS(DATA_CURRENT!$V:$V,DATA_CURRENT!$J:$J,$A38,DATA_CURRENT!$B:$B,"Added")</f>
        <v>0</v>
      </c>
      <c r="AE38" s="29">
        <f t="shared" si="11"/>
        <v>0</v>
      </c>
      <c r="AF38" s="30">
        <f t="shared" si="12"/>
        <v>0</v>
      </c>
      <c r="AH38" s="28" t="s">
        <v>64</v>
      </c>
      <c r="AI38" s="77">
        <f>SUMIFS(DATA_CURRENT!$V:$V,DATA_CURRENT!$J:$J,$A38,DATA_CURRENT!$X:$X,AI$5)</f>
        <v>0</v>
      </c>
      <c r="AJ38" s="77">
        <f>SUMIFS(DATA_CURRENT!$V:$V,DATA_CURRENT!$J:$J,$A38,DATA_CURRENT!$X:$X,AJ$5)</f>
        <v>0</v>
      </c>
      <c r="AK38" s="77">
        <f>SUMIFS(DATA_CURRENT!$V:$V,DATA_CURRENT!$J:$J,$A38,DATA_CURRENT!$X:$X,AK$5)</f>
        <v>0</v>
      </c>
      <c r="AL38" s="77">
        <f>SUMIFS(DATA_CURRENT!$V:$V,DATA_CURRENT!$J:$J,$A38,DATA_CURRENT!$X:$X,AL$5)</f>
        <v>0</v>
      </c>
      <c r="AM38" s="77">
        <f>SUMIFS(DATA_CURRENT!$V:$V,DATA_CURRENT!$J:$J,$A38,DATA_CURRENT!$X:$X,AM$5)</f>
        <v>0</v>
      </c>
      <c r="AN38" s="26">
        <f t="shared" si="13"/>
        <v>0</v>
      </c>
      <c r="AO38" s="33">
        <f>SUMIFS(DATA_CURRENT!$V:$V,DATA_CURRENT!$J:$J,$A38,DATA_CURRENT!$X:$X,AO$5)</f>
        <v>0</v>
      </c>
      <c r="AP38" s="26">
        <f>SUMIFS(DATA_CURRENT!$V:$V,DATA_CURRENT!$J:$J,$A38,DATA_CURRENT!$X:$X,AP$5)</f>
        <v>0</v>
      </c>
      <c r="AQ38" s="30">
        <f>SUM(AN38:AP38)</f>
        <v>0</v>
      </c>
      <c r="AS38" s="26">
        <f>SUMIFS(DATA_CURRENT!$Z:$Z,DATA_CURRENT!$J:$J,$A38,DATA_CURRENT!$Y:$Y,AS$23)</f>
        <v>0</v>
      </c>
      <c r="AT38" s="26">
        <f>SUMIFS(DATA_CURRENT!$Z:$Z,DATA_CURRENT!$J:$J,$A38,DATA_CURRENT!$Y:$Y,AT$23)</f>
        <v>0</v>
      </c>
      <c r="AU38" s="26">
        <f>SUMIFS(DATA_CURRENT!$Z:$Z,DATA_CURRENT!$J:$J,$A38,DATA_CURRENT!$Y:$Y,AU$23)</f>
        <v>0</v>
      </c>
      <c r="AV38" s="30">
        <f t="shared" si="15"/>
        <v>0</v>
      </c>
      <c r="AW38" s="26">
        <f>SUMIFS(DATA_CURRENT!$AA:$AA,DATA_CURRENT!$J:$J,$A38,DATA_CURRENT!$Y:$Y,AW$23)</f>
        <v>0</v>
      </c>
      <c r="AX38" s="26">
        <f>SUMIFS(DATA_CURRENT!$AA:$AA,DATA_CURRENT!$J:$J,$A38,DATA_CURRENT!$Y:$Y,AX$23)</f>
        <v>0</v>
      </c>
      <c r="AY38" s="26">
        <f>SUMIFS(DATA_CURRENT!$AA:$AA,DATA_CURRENT!$J:$J,$A38,DATA_CURRENT!$Y:$Y,AY$23)</f>
        <v>0</v>
      </c>
      <c r="AZ38" s="30">
        <f t="shared" si="16"/>
        <v>0</v>
      </c>
      <c r="BB38" s="30">
        <f t="shared" si="17"/>
        <v>0</v>
      </c>
      <c r="BC38" s="27">
        <f t="shared" si="18"/>
        <v>0</v>
      </c>
    </row>
    <row r="39" spans="1:55" x14ac:dyDescent="0.25">
      <c r="C39" s="34" t="s">
        <v>12</v>
      </c>
      <c r="D39" s="35">
        <f>SUM(D25:D38)</f>
        <v>169</v>
      </c>
      <c r="E39" s="36">
        <f>SUM(E25:E38)</f>
        <v>1776.5800000000002</v>
      </c>
      <c r="G39" s="35">
        <f t="shared" si="19"/>
        <v>-85</v>
      </c>
      <c r="H39" s="36">
        <f t="shared" si="20"/>
        <v>-1146.2000000000003</v>
      </c>
      <c r="J39" s="37">
        <f t="shared" ref="J39:K39" si="21">SUM(J28:J38)</f>
        <v>1</v>
      </c>
      <c r="K39" s="38">
        <f t="shared" si="21"/>
        <v>-6.18</v>
      </c>
      <c r="L39" s="37">
        <f t="shared" ref="L39:W39" si="22">SUM(L25:L38)</f>
        <v>0</v>
      </c>
      <c r="M39" s="38">
        <f t="shared" si="22"/>
        <v>0</v>
      </c>
      <c r="N39" s="37">
        <f t="shared" si="22"/>
        <v>0</v>
      </c>
      <c r="O39" s="38">
        <f t="shared" si="22"/>
        <v>0</v>
      </c>
      <c r="P39" s="37">
        <f t="shared" si="22"/>
        <v>0</v>
      </c>
      <c r="Q39" s="38">
        <f t="shared" si="22"/>
        <v>0</v>
      </c>
      <c r="R39" s="37">
        <f t="shared" si="22"/>
        <v>6</v>
      </c>
      <c r="S39" s="38">
        <f t="shared" si="22"/>
        <v>58.28</v>
      </c>
      <c r="T39" s="37">
        <f t="shared" si="22"/>
        <v>0</v>
      </c>
      <c r="U39" s="38">
        <f t="shared" si="22"/>
        <v>0</v>
      </c>
      <c r="V39" s="37">
        <f t="shared" si="22"/>
        <v>2</v>
      </c>
      <c r="W39" s="38">
        <f t="shared" si="22"/>
        <v>39.880000000000003</v>
      </c>
      <c r="X39" s="37">
        <f t="shared" ref="X39:AC39" si="23">SUM(X25:X38)</f>
        <v>6</v>
      </c>
      <c r="Y39" s="38">
        <f t="shared" si="23"/>
        <v>7.52</v>
      </c>
      <c r="Z39" s="36">
        <f t="shared" si="23"/>
        <v>69</v>
      </c>
      <c r="AA39" s="38">
        <f t="shared" si="23"/>
        <v>530.88</v>
      </c>
      <c r="AB39" s="35">
        <f t="shared" si="23"/>
        <v>35</v>
      </c>
      <c r="AC39" s="36">
        <f t="shared" si="23"/>
        <v>705.77</v>
      </c>
      <c r="AE39" s="35">
        <f t="shared" si="11"/>
        <v>119</v>
      </c>
      <c r="AF39" s="36">
        <f t="shared" si="12"/>
        <v>1336.15</v>
      </c>
      <c r="AH39" s="34" t="s">
        <v>12</v>
      </c>
      <c r="AI39" s="36">
        <f t="shared" ref="AI39:AQ39" si="24">SUM(AI25:AI38)</f>
        <v>243.29</v>
      </c>
      <c r="AJ39" s="36">
        <f t="shared" si="24"/>
        <v>19.13</v>
      </c>
      <c r="AK39" s="36">
        <f t="shared" si="24"/>
        <v>312.76000000000005</v>
      </c>
      <c r="AL39" s="36">
        <f t="shared" si="24"/>
        <v>75.5</v>
      </c>
      <c r="AM39" s="36">
        <f t="shared" si="24"/>
        <v>-0.2</v>
      </c>
      <c r="AN39" s="36">
        <f t="shared" si="24"/>
        <v>650.48</v>
      </c>
      <c r="AO39" s="36">
        <f t="shared" si="24"/>
        <v>237.54999999999995</v>
      </c>
      <c r="AP39" s="36">
        <f t="shared" si="24"/>
        <v>448.12</v>
      </c>
      <c r="AQ39" s="36">
        <f t="shared" si="24"/>
        <v>1336.1499999999999</v>
      </c>
      <c r="AS39" s="36">
        <f t="shared" ref="AS39:AZ39" si="25">SUM(AS25:AS38)</f>
        <v>243.29</v>
      </c>
      <c r="AT39" s="36">
        <f t="shared" si="25"/>
        <v>427.755</v>
      </c>
      <c r="AU39" s="36">
        <f t="shared" si="25"/>
        <v>59.387499999999989</v>
      </c>
      <c r="AV39" s="36">
        <f t="shared" si="25"/>
        <v>730.43249999999989</v>
      </c>
      <c r="AW39" s="36">
        <f t="shared" si="25"/>
        <v>427.755</v>
      </c>
      <c r="AX39" s="36">
        <f t="shared" si="25"/>
        <v>178.16250000000002</v>
      </c>
      <c r="AY39" s="36">
        <f t="shared" si="25"/>
        <v>-0.2</v>
      </c>
      <c r="AZ39" s="36">
        <f t="shared" si="25"/>
        <v>605.71749999999997</v>
      </c>
      <c r="BB39" s="36">
        <f t="shared" si="17"/>
        <v>1336.1499999999999</v>
      </c>
      <c r="BC39" s="27">
        <f t="shared" si="18"/>
        <v>0</v>
      </c>
    </row>
    <row r="40" spans="1:55" ht="15.75" thickBot="1" x14ac:dyDescent="0.3">
      <c r="J40" s="41"/>
      <c r="K40" s="42"/>
      <c r="L40" s="41"/>
      <c r="M40" s="42"/>
      <c r="N40" s="41"/>
      <c r="O40" s="42"/>
      <c r="P40" s="41"/>
      <c r="Q40" s="42"/>
      <c r="R40" s="41"/>
      <c r="S40" s="42"/>
      <c r="T40" s="41"/>
      <c r="U40" s="42"/>
      <c r="V40" s="41"/>
      <c r="W40" s="42"/>
      <c r="X40" s="41"/>
      <c r="Y40" s="42"/>
      <c r="Z40" s="41"/>
      <c r="AA40" s="42"/>
    </row>
    <row r="41" spans="1:55" ht="15.75" hidden="1" outlineLevel="1" thickTop="1" x14ac:dyDescent="0.25">
      <c r="AH41" s="43" t="s">
        <v>65</v>
      </c>
      <c r="AV41" s="27">
        <f>AV39-AQ44</f>
        <v>0</v>
      </c>
      <c r="AZ41" s="27">
        <f>AZ39-AQ45</f>
        <v>0</v>
      </c>
    </row>
    <row r="42" spans="1:55" hidden="1" outlineLevel="1" x14ac:dyDescent="0.25">
      <c r="AH42" s="43" t="s">
        <v>184</v>
      </c>
      <c r="AI42" s="46">
        <v>0</v>
      </c>
      <c r="AJ42" s="46">
        <v>0.5</v>
      </c>
      <c r="AK42" s="46">
        <v>0.5</v>
      </c>
      <c r="AL42" s="46">
        <v>0.5</v>
      </c>
      <c r="AM42" s="46">
        <v>1</v>
      </c>
      <c r="AO42" s="46">
        <v>0.75</v>
      </c>
      <c r="AP42" s="46">
        <v>0.5</v>
      </c>
      <c r="AV42" s="27"/>
      <c r="AZ42" s="27"/>
    </row>
    <row r="43" spans="1:55" hidden="1" outlineLevel="1" x14ac:dyDescent="0.25">
      <c r="D43">
        <f>D39-D17</f>
        <v>0</v>
      </c>
      <c r="E43">
        <f>E39-E17</f>
        <v>0</v>
      </c>
      <c r="G43">
        <f>G39-G17</f>
        <v>0</v>
      </c>
      <c r="H43" s="87">
        <f>H39-H17</f>
        <v>0</v>
      </c>
      <c r="J43">
        <f t="shared" ref="J43:S43" si="26">J39-J17</f>
        <v>0</v>
      </c>
      <c r="K43">
        <f t="shared" si="26"/>
        <v>0</v>
      </c>
      <c r="L43">
        <f t="shared" si="26"/>
        <v>0</v>
      </c>
      <c r="M43">
        <f t="shared" si="26"/>
        <v>0</v>
      </c>
      <c r="N43">
        <f t="shared" si="26"/>
        <v>0</v>
      </c>
      <c r="O43">
        <f t="shared" si="26"/>
        <v>0</v>
      </c>
      <c r="P43">
        <f t="shared" si="26"/>
        <v>0</v>
      </c>
      <c r="Q43">
        <f t="shared" si="26"/>
        <v>0</v>
      </c>
      <c r="R43">
        <f t="shared" si="26"/>
        <v>0</v>
      </c>
      <c r="S43">
        <f t="shared" si="26"/>
        <v>0</v>
      </c>
      <c r="AB43">
        <f>AB39-AB17</f>
        <v>0</v>
      </c>
      <c r="AC43">
        <f>AC39-AC17</f>
        <v>0</v>
      </c>
      <c r="AE43">
        <f>AE39-AE17</f>
        <v>0</v>
      </c>
      <c r="AF43">
        <f>AF39-AF17</f>
        <v>0</v>
      </c>
      <c r="AH43" s="45" t="s">
        <v>66</v>
      </c>
      <c r="AI43" s="46">
        <v>1</v>
      </c>
      <c r="AJ43" s="46">
        <v>0.5</v>
      </c>
      <c r="AK43" s="46">
        <v>0.5</v>
      </c>
      <c r="AL43" s="46">
        <v>0.5</v>
      </c>
      <c r="AM43" s="46">
        <v>0</v>
      </c>
      <c r="AO43" s="46">
        <v>0.25</v>
      </c>
      <c r="AP43" s="46">
        <v>0.5</v>
      </c>
    </row>
    <row r="44" spans="1:55" ht="16.5" collapsed="1" thickTop="1" thickBot="1" x14ac:dyDescent="0.3">
      <c r="Z44" s="1"/>
      <c r="AA44" s="1"/>
      <c r="AH44" t="s">
        <v>256</v>
      </c>
      <c r="AI44" s="72">
        <f>AI39*AI43</f>
        <v>243.29</v>
      </c>
      <c r="AJ44" s="72">
        <f>AJ39*AJ43</f>
        <v>9.5649999999999995</v>
      </c>
      <c r="AK44" s="72">
        <f>AK39*AK43</f>
        <v>156.38000000000002</v>
      </c>
      <c r="AL44" s="72">
        <f>AL39*AL43</f>
        <v>37.75</v>
      </c>
      <c r="AM44" s="72">
        <f>AM39*AM43</f>
        <v>0</v>
      </c>
      <c r="AN44" s="72">
        <f>SUM(AI44:AM44)</f>
        <v>446.98500000000001</v>
      </c>
      <c r="AO44" s="72">
        <f>AO39*AO43</f>
        <v>59.387499999999989</v>
      </c>
      <c r="AP44" s="72">
        <f>AP39*AP43</f>
        <v>224.06</v>
      </c>
      <c r="AQ44" s="72">
        <f>SUM(AN44:AP44)</f>
        <v>730.4325</v>
      </c>
    </row>
    <row r="45" spans="1:55" ht="15.75" thickTop="1" x14ac:dyDescent="0.25">
      <c r="J45" s="3"/>
      <c r="K45" s="4"/>
      <c r="L45" s="3"/>
      <c r="M45" s="4"/>
      <c r="N45" s="3"/>
      <c r="O45" s="4"/>
      <c r="P45" s="3"/>
      <c r="Q45" s="4"/>
      <c r="R45" s="3"/>
      <c r="S45" s="4"/>
      <c r="T45" s="3"/>
      <c r="U45" s="4"/>
      <c r="V45" s="3"/>
      <c r="W45" s="4"/>
      <c r="X45" s="3"/>
      <c r="Y45" s="4"/>
      <c r="Z45" s="5"/>
      <c r="AA45" s="5"/>
      <c r="AB45" s="13"/>
      <c r="AH45" t="s">
        <v>257</v>
      </c>
      <c r="AI45" s="72">
        <f>AI39*AI42</f>
        <v>0</v>
      </c>
      <c r="AJ45" s="72">
        <f t="shared" ref="AJ45:AP45" si="27">AJ39*AJ42</f>
        <v>9.5649999999999995</v>
      </c>
      <c r="AK45" s="72">
        <f t="shared" si="27"/>
        <v>156.38000000000002</v>
      </c>
      <c r="AL45" s="72">
        <f t="shared" si="27"/>
        <v>37.75</v>
      </c>
      <c r="AM45" s="72">
        <f>AM39*AM42</f>
        <v>-0.2</v>
      </c>
      <c r="AN45" s="72">
        <f>SUM(AI45:AM45)</f>
        <v>203.49500000000003</v>
      </c>
      <c r="AO45" s="72">
        <f t="shared" si="27"/>
        <v>178.16249999999997</v>
      </c>
      <c r="AP45" s="72">
        <f t="shared" si="27"/>
        <v>224.06</v>
      </c>
      <c r="AQ45" s="72">
        <f>SUM(AN45:AP45)</f>
        <v>605.71749999999997</v>
      </c>
    </row>
    <row r="46" spans="1:55" ht="51.75" customHeight="1" thickBot="1" x14ac:dyDescent="0.3">
      <c r="D46" s="149" t="str">
        <f>+D3</f>
        <v>May'17</v>
      </c>
      <c r="E46" s="149"/>
      <c r="G46" s="149" t="s">
        <v>1</v>
      </c>
      <c r="H46" s="149"/>
      <c r="J46" s="146" t="str">
        <f>+J3</f>
        <v>unresolved (from August)</v>
      </c>
      <c r="K46" s="147"/>
      <c r="L46" s="146" t="str">
        <f>+L3</f>
        <v>unresolved (from October)</v>
      </c>
      <c r="M46" s="147"/>
      <c r="N46" s="146" t="str">
        <f>+N3</f>
        <v>unresolved (from November)</v>
      </c>
      <c r="O46" s="147"/>
      <c r="P46" s="143" t="str">
        <f>+P3</f>
        <v>unresolved (from December)</v>
      </c>
      <c r="Q46" s="143"/>
      <c r="R46" s="143" t="str">
        <f>+R3</f>
        <v>unresolved (from January)</v>
      </c>
      <c r="S46" s="143"/>
      <c r="T46" s="143" t="str">
        <f>+T3</f>
        <v>unresolved (from February)</v>
      </c>
      <c r="U46" s="143"/>
      <c r="V46" s="143" t="str">
        <f>+V3</f>
        <v>unresolved (from March)</v>
      </c>
      <c r="W46" s="143"/>
      <c r="X46" s="143" t="str">
        <f>+X3</f>
        <v>unresolved (from April)</v>
      </c>
      <c r="Y46" s="143"/>
      <c r="Z46" s="143" t="str">
        <f>+Z3</f>
        <v>unresolved (from May)</v>
      </c>
      <c r="AA46" s="143"/>
      <c r="AB46" s="148" t="str">
        <f>+AB3</f>
        <v>Added (from 150-180days)</v>
      </c>
      <c r="AC46" s="148"/>
      <c r="AE46" s="149" t="str">
        <f>+AE3</f>
        <v>June'17</v>
      </c>
      <c r="AF46" s="149"/>
    </row>
    <row r="47" spans="1:55" ht="30" customHeight="1" thickTop="1" thickBot="1" x14ac:dyDescent="0.3">
      <c r="C47" s="7" t="s">
        <v>67</v>
      </c>
      <c r="D47" s="8" t="s">
        <v>7</v>
      </c>
      <c r="E47" s="9" t="s">
        <v>8</v>
      </c>
      <c r="G47" s="8" t="s">
        <v>7</v>
      </c>
      <c r="H47" s="9" t="s">
        <v>8</v>
      </c>
      <c r="J47" s="10" t="s">
        <v>7</v>
      </c>
      <c r="K47" s="11" t="s">
        <v>8</v>
      </c>
      <c r="L47" s="10" t="s">
        <v>7</v>
      </c>
      <c r="M47" s="11" t="s">
        <v>8</v>
      </c>
      <c r="N47" s="10" t="s">
        <v>7</v>
      </c>
      <c r="O47" s="11" t="s">
        <v>8</v>
      </c>
      <c r="P47" s="10" t="s">
        <v>7</v>
      </c>
      <c r="Q47" s="11" t="s">
        <v>8</v>
      </c>
      <c r="R47" s="10" t="s">
        <v>7</v>
      </c>
      <c r="S47" s="11" t="s">
        <v>8</v>
      </c>
      <c r="T47" s="10" t="s">
        <v>7</v>
      </c>
      <c r="U47" s="11" t="s">
        <v>8</v>
      </c>
      <c r="V47" s="10" t="s">
        <v>7</v>
      </c>
      <c r="W47" s="11" t="s">
        <v>8</v>
      </c>
      <c r="X47" s="10" t="s">
        <v>7</v>
      </c>
      <c r="Y47" s="11" t="s">
        <v>8</v>
      </c>
      <c r="Z47" s="10" t="s">
        <v>7</v>
      </c>
      <c r="AA47" s="11" t="s">
        <v>8</v>
      </c>
      <c r="AB47" s="8" t="s">
        <v>7</v>
      </c>
      <c r="AC47" s="9" t="s">
        <v>8</v>
      </c>
      <c r="AE47" s="8" t="s">
        <v>7</v>
      </c>
      <c r="AF47" s="9" t="s">
        <v>8</v>
      </c>
      <c r="AH47" s="7" t="s">
        <v>67</v>
      </c>
      <c r="AI47" s="12"/>
      <c r="AJ47" s="12"/>
      <c r="AK47" s="12"/>
      <c r="AL47" s="12"/>
      <c r="AM47" s="12"/>
      <c r="AN47" s="8" t="s">
        <v>9</v>
      </c>
      <c r="AO47" s="8" t="s">
        <v>10</v>
      </c>
      <c r="AP47" s="8" t="s">
        <v>11</v>
      </c>
      <c r="AQ47" s="9" t="s">
        <v>12</v>
      </c>
    </row>
    <row r="48" spans="1:55" ht="15.75" thickBot="1" x14ac:dyDescent="0.3">
      <c r="J48" s="13"/>
      <c r="K48" s="6"/>
      <c r="L48" s="13"/>
      <c r="M48" s="6"/>
      <c r="N48" s="13"/>
      <c r="O48" s="6"/>
      <c r="P48" s="13"/>
      <c r="Q48" s="6"/>
      <c r="R48" s="13"/>
      <c r="S48" s="6"/>
      <c r="T48" s="13"/>
      <c r="U48" s="6"/>
      <c r="V48" s="13"/>
      <c r="W48" s="6"/>
      <c r="X48" s="13"/>
      <c r="Y48" s="6"/>
      <c r="Z48" s="5"/>
      <c r="AA48" s="5"/>
      <c r="AB48" s="141"/>
      <c r="AH48" s="7"/>
      <c r="AI48" s="14">
        <v>1</v>
      </c>
      <c r="AJ48" s="14">
        <v>2</v>
      </c>
      <c r="AK48" s="14">
        <v>3</v>
      </c>
      <c r="AL48" s="14">
        <v>4</v>
      </c>
      <c r="AM48" s="14">
        <v>5</v>
      </c>
      <c r="AN48" s="15"/>
      <c r="AO48" s="16">
        <v>8</v>
      </c>
      <c r="AP48" s="16" t="s">
        <v>13</v>
      </c>
      <c r="AQ48" s="17"/>
    </row>
    <row r="49" spans="1:43" x14ac:dyDescent="0.25">
      <c r="A49" s="18" t="s">
        <v>14</v>
      </c>
      <c r="C49" s="19" t="s">
        <v>14</v>
      </c>
      <c r="D49" s="20">
        <f>COUNTIF(DATA_PRIOR!$H:$H,A49)</f>
        <v>13</v>
      </c>
      <c r="E49" s="21">
        <f>SUMIF(DATA_PRIOR!$H:$H,A49,DATA_PRIOR!$V:$V)</f>
        <v>374.33</v>
      </c>
      <c r="G49" s="20">
        <f t="shared" ref="G49:G60" si="28">+L49-D49+J49+N49+P49+R49+T49+V49+X49+Z49</f>
        <v>-12</v>
      </c>
      <c r="H49" s="21">
        <f t="shared" ref="H49:H60" si="29">+M49-E49+K49+O49+Q49+S49+U49+W49+Y49+AA49</f>
        <v>-373.24</v>
      </c>
      <c r="J49" s="22">
        <f>COUNTIFS(DATA_CURRENT!$B:$B,"Unresolved (Aug)",DATA_CURRENT!$H:$H,$A49)</f>
        <v>0</v>
      </c>
      <c r="K49" s="23">
        <f>SUMIFS(DATA_CURRENT!$V:$V,DATA_CURRENT!$H:$H,$A49,DATA_CURRENT!$B:$B,"Unresolved (Aug)")</f>
        <v>0</v>
      </c>
      <c r="L49" s="22">
        <f>COUNTIFS(DATA_CURRENT!$B:$B,"Unresolved (Oct)",DATA_CURRENT!$H:$H,$A49)</f>
        <v>0</v>
      </c>
      <c r="M49" s="23">
        <f>SUMIFS(DATA_CURRENT!$V:$V,DATA_CURRENT!$H:$H,$A49,DATA_CURRENT!$B:$B,"Unresolved (Oct)")</f>
        <v>0</v>
      </c>
      <c r="N49" s="22">
        <f>COUNTIFS(DATA_CURRENT!$B:$B,"Unresolved (Nov)",DATA_CURRENT!$H:$H,$A49)</f>
        <v>0</v>
      </c>
      <c r="O49" s="23">
        <f>SUMIFS(DATA_CURRENT!$V:$V,DATA_CURRENT!$H:$H,$A49,DATA_CURRENT!$B:$B,"Unresolved (Nov)")</f>
        <v>0</v>
      </c>
      <c r="P49" s="22">
        <f>COUNTIFS(DATA_CURRENT!$B:$B,"Unresolved (Dec)",DATA_CURRENT!$H:$H,$A49)</f>
        <v>0</v>
      </c>
      <c r="Q49" s="23">
        <f>SUMIFS(DATA_CURRENT!$V:$V,DATA_CURRENT!$H:$H,$A49,DATA_CURRENT!$B:$B,"Unresolved (Dec)")</f>
        <v>0</v>
      </c>
      <c r="R49" s="22">
        <f>COUNTIFS(DATA_CURRENT!$B:$B,"Unresolved (Jan)",DATA_CURRENT!$H:$H,$A49)</f>
        <v>0</v>
      </c>
      <c r="S49" s="23">
        <f>SUMIFS(DATA_CURRENT!$V:$V,DATA_CURRENT!$H:$H,$A49,DATA_CURRENT!$B:$B,"Unresolved (Jan)")</f>
        <v>0</v>
      </c>
      <c r="T49" s="22">
        <f>COUNTIFS(DATA_CURRENT!$B:$B,"Unresolved (Feb)",DATA_CURRENT!$H:$H,$A49)</f>
        <v>0</v>
      </c>
      <c r="U49" s="23">
        <f>SUMIFS(DATA_CURRENT!$V:$V,DATA_CURRENT!$H:$H,$A49,DATA_CURRENT!$B:$B,"Unresolved (Feb)")</f>
        <v>0</v>
      </c>
      <c r="V49" s="22">
        <f>COUNTIFS(DATA_CURRENT!$B:$B,"Unresolved (Mar)",DATA_CURRENT!$H:$H,$A49)</f>
        <v>0</v>
      </c>
      <c r="W49" s="23">
        <f>SUMIFS(DATA_CURRENT!$V:$V,DATA_CURRENT!$H:$H,$A49,DATA_CURRENT!$B:$B,"Unresolved (Mar)")</f>
        <v>0</v>
      </c>
      <c r="X49" s="22">
        <f>COUNTIFS(DATA_CURRENT!$B:$B,"Unresolved (Apr)",DATA_CURRENT!$H:$H,$A49)</f>
        <v>0</v>
      </c>
      <c r="Y49" s="23">
        <f>SUMIFS(DATA_CURRENT!$V:$V,DATA_CURRENT!$H:$H,$A49,DATA_CURRENT!$B:$B,"Unresolved (Apr)")</f>
        <v>0</v>
      </c>
      <c r="Z49" s="22">
        <f>COUNTIFS(DATA_CURRENT!$B:$B,"Unresolved (May)",DATA_CURRENT!$H:$H,$A49)</f>
        <v>1</v>
      </c>
      <c r="AA49" s="23">
        <f>SUMIFS(DATA_CURRENT!$V:$V,DATA_CURRENT!$H:$H,$A49,DATA_CURRENT!$B:$B,"Unresolved (May)")</f>
        <v>1.0900000000000001</v>
      </c>
      <c r="AB49" s="20">
        <f>COUNTIFS(DATA_CURRENT!$B:$B,"Added",DATA_CURRENT!$H:$H,$A49)</f>
        <v>10</v>
      </c>
      <c r="AC49" s="21">
        <f>SUMIFS(DATA_CURRENT!$V:$V,DATA_CURRENT!$H:$H,$A49,DATA_CURRENT!$B:$B,"Added")</f>
        <v>358.71</v>
      </c>
      <c r="AE49" s="20">
        <f t="shared" ref="AE49:AE60" si="30">+AB49+L49+J49+N49+P49+R49+T49+V49+X49+Z49</f>
        <v>11</v>
      </c>
      <c r="AF49" s="21">
        <f t="shared" ref="AF49:AF60" si="31">+AC49+M49+K49+O49+Q49+S49+U49+W49+Y49+AA49</f>
        <v>359.79999999999995</v>
      </c>
      <c r="AH49" s="19" t="s">
        <v>20</v>
      </c>
      <c r="AI49" s="77">
        <f>SUMIFS(DATA_CURRENT!$V:$V,DATA_CURRENT!$H:$H,$A49,DATA_CURRENT!$X:$X,AI$5)</f>
        <v>26.01</v>
      </c>
      <c r="AJ49" s="77">
        <f>SUMIFS(DATA_CURRENT!$V:$V,DATA_CURRENT!$H:$H,$A49,DATA_CURRENT!$X:$X,AJ$5)</f>
        <v>-1.82</v>
      </c>
      <c r="AK49" s="77">
        <f>SUMIFS(DATA_CURRENT!$V:$V,DATA_CURRENT!$H:$H,$A49,DATA_CURRENT!$X:$X,AK$5)</f>
        <v>0</v>
      </c>
      <c r="AL49" s="77">
        <f>SUMIFS(DATA_CURRENT!$V:$V,DATA_CURRENT!$H:$H,$A49,DATA_CURRENT!$X:$X,AL$5)</f>
        <v>0</v>
      </c>
      <c r="AM49" s="77">
        <f>SUMIFS(DATA_CURRENT!$V:$V,DATA_CURRENT!$H:$H,$A49,DATA_CURRENT!$X:$X,AM$5)</f>
        <v>0</v>
      </c>
      <c r="AN49" s="24">
        <f t="shared" ref="AN49:AN59" si="32">SUM(AI49:AM49)</f>
        <v>24.19</v>
      </c>
      <c r="AO49" s="24">
        <f>SUMIFS(DATA_CURRENT!$V:$V,DATA_CURRENT!$H:$H,$A49,DATA_CURRENT!$X:$X,AO$5)</f>
        <v>0</v>
      </c>
      <c r="AP49" s="24">
        <f>SUMIFS(DATA_CURRENT!$V:$V,DATA_CURRENT!$H:$H,$A49,DATA_CURRENT!$X:$X,AP$5)</f>
        <v>335.60999999999996</v>
      </c>
      <c r="AQ49" s="21">
        <f t="shared" ref="AQ49:AQ59" si="33">SUM(AN49:AP49)</f>
        <v>359.79999999999995</v>
      </c>
    </row>
    <row r="50" spans="1:43" x14ac:dyDescent="0.25">
      <c r="A50" s="18" t="s">
        <v>20</v>
      </c>
      <c r="C50" s="28" t="s">
        <v>20</v>
      </c>
      <c r="D50" s="29">
        <f>COUNTIF(DATA_PRIOR!$H:$H,A50)</f>
        <v>89</v>
      </c>
      <c r="E50" s="30">
        <f>SUMIF(DATA_PRIOR!$H:$H,A50,DATA_PRIOR!$V:$V)</f>
        <v>374.34</v>
      </c>
      <c r="G50" s="29">
        <f t="shared" si="28"/>
        <v>-32</v>
      </c>
      <c r="H50" s="30">
        <f t="shared" si="29"/>
        <v>-194.20999999999998</v>
      </c>
      <c r="J50" s="31">
        <f>COUNTIFS(DATA_CURRENT!$B:$B,"Unresolved (Aug)",DATA_CURRENT!$H:$H,$A50)</f>
        <v>0</v>
      </c>
      <c r="K50" s="32">
        <f>SUMIFS(DATA_CURRENT!$V:$V,DATA_CURRENT!$H:$H,$A50,DATA_CURRENT!$B:$B,"Unresolved (Aug)")</f>
        <v>0</v>
      </c>
      <c r="L50" s="31">
        <f>COUNTIFS(DATA_CURRENT!$B:$B,"Unresolved (Oct)",DATA_CURRENT!$H:$H,$A50)</f>
        <v>0</v>
      </c>
      <c r="M50" s="32">
        <f>SUMIFS(DATA_CURRENT!$V:$V,DATA_CURRENT!$H:$H,$A50,DATA_CURRENT!$B:$B,"Unresolved (Oct)")</f>
        <v>0</v>
      </c>
      <c r="N50" s="31">
        <f>COUNTIFS(DATA_CURRENT!$B:$B,"Unresolved (Nov)",DATA_CURRENT!$H:$H,$A50)</f>
        <v>0</v>
      </c>
      <c r="O50" s="32">
        <f>SUMIFS(DATA_CURRENT!$V:$V,DATA_CURRENT!$H:$H,$A50,DATA_CURRENT!$B:$B,"Unresolved (Nov)")</f>
        <v>0</v>
      </c>
      <c r="P50" s="31">
        <f>COUNTIFS(DATA_CURRENT!$B:$B,"Unresolved (Dec)",DATA_CURRENT!$H:$H,$A50)</f>
        <v>0</v>
      </c>
      <c r="Q50" s="32">
        <f>SUMIFS(DATA_CURRENT!$V:$V,DATA_CURRENT!$H:$H,$A50,DATA_CURRENT!$B:$B,"Unresolved (Dec)")</f>
        <v>0</v>
      </c>
      <c r="R50" s="31">
        <f>COUNTIFS(DATA_CURRENT!$B:$B,"Unresolved (Jan)",DATA_CURRENT!$H:$H,$A50)</f>
        <v>5</v>
      </c>
      <c r="S50" s="32">
        <f>SUMIFS(DATA_CURRENT!$V:$V,DATA_CURRENT!$H:$H,$A50,DATA_CURRENT!$B:$B,"Unresolved (Jan)")</f>
        <v>16.62</v>
      </c>
      <c r="T50" s="31">
        <f>COUNTIFS(DATA_CURRENT!$B:$B,"Unresolved (Feb)",DATA_CURRENT!$H:$H,$A50)</f>
        <v>0</v>
      </c>
      <c r="U50" s="32">
        <f>SUMIFS(DATA_CURRENT!$V:$V,DATA_CURRENT!$H:$H,$A50,DATA_CURRENT!$B:$B,"Unresolved (Feb)")</f>
        <v>0</v>
      </c>
      <c r="V50" s="31">
        <f>COUNTIFS(DATA_CURRENT!$B:$B,"Unresolved (Mar)",DATA_CURRENT!$H:$H,$A50)</f>
        <v>2</v>
      </c>
      <c r="W50" s="32">
        <f>SUMIFS(DATA_CURRENT!$V:$V,DATA_CURRENT!$H:$H,$A50,DATA_CURRENT!$B:$B,"Unresolved (Mar)")</f>
        <v>39.880000000000003</v>
      </c>
      <c r="X50" s="31">
        <f>COUNTIFS(DATA_CURRENT!$B:$B,"Unresolved (Apr)",DATA_CURRENT!$H:$H,$A50)</f>
        <v>6</v>
      </c>
      <c r="Y50" s="32">
        <f>SUMIFS(DATA_CURRENT!$V:$V,DATA_CURRENT!$H:$H,$A50,DATA_CURRENT!$B:$B,"Unresolved (Apr)")</f>
        <v>7.52</v>
      </c>
      <c r="Z50" s="31">
        <f>COUNTIFS(DATA_CURRENT!$B:$B,"Unresolved (May)",DATA_CURRENT!$H:$H,$A50)</f>
        <v>44</v>
      </c>
      <c r="AA50" s="32">
        <f>SUMIFS(DATA_CURRENT!$V:$V,DATA_CURRENT!$H:$H,$A50,DATA_CURRENT!$B:$B,"Unresolved (May)")</f>
        <v>116.11</v>
      </c>
      <c r="AB50" s="29">
        <f>COUNTIFS(DATA_CURRENT!$B:$B,"Added",DATA_CURRENT!$H:$H,$A50)</f>
        <v>15</v>
      </c>
      <c r="AC50" s="30">
        <f>SUMIFS(DATA_CURRENT!$V:$V,DATA_CURRENT!$H:$H,$A50,DATA_CURRENT!$B:$B,"Added")</f>
        <v>145.71</v>
      </c>
      <c r="AE50" s="29">
        <f t="shared" si="30"/>
        <v>72</v>
      </c>
      <c r="AF50" s="30">
        <f t="shared" si="31"/>
        <v>325.84000000000003</v>
      </c>
      <c r="AG50" s="27"/>
      <c r="AH50" s="28" t="s">
        <v>16</v>
      </c>
      <c r="AI50" s="77">
        <f>SUMIFS(DATA_CURRENT!$V:$V,DATA_CURRENT!$H:$H,$A50,DATA_CURRENT!$X:$X,AI$5)</f>
        <v>125.01</v>
      </c>
      <c r="AJ50" s="77">
        <f>SUMIFS(DATA_CURRENT!$V:$V,DATA_CURRENT!$H:$H,$A50,DATA_CURRENT!$X:$X,AJ$5)</f>
        <v>0</v>
      </c>
      <c r="AK50" s="77">
        <f>SUMIFS(DATA_CURRENT!$V:$V,DATA_CURRENT!$H:$H,$A50,DATA_CURRENT!$X:$X,AK$5)</f>
        <v>17.02</v>
      </c>
      <c r="AL50" s="77">
        <f>SUMIFS(DATA_CURRENT!$V:$V,DATA_CURRENT!$H:$H,$A50,DATA_CURRENT!$X:$X,AL$5)</f>
        <v>59.4</v>
      </c>
      <c r="AM50" s="77">
        <f>SUMIFS(DATA_CURRENT!$V:$V,DATA_CURRENT!$H:$H,$A50,DATA_CURRENT!$X:$X,AM$5)</f>
        <v>0</v>
      </c>
      <c r="AN50" s="33">
        <f t="shared" si="32"/>
        <v>201.43</v>
      </c>
      <c r="AO50" s="26">
        <f>SUMIFS(DATA_CURRENT!$V:$V,DATA_CURRENT!$H:$H,$A50,DATA_CURRENT!$X:$X,AO$5)</f>
        <v>121.08000000000001</v>
      </c>
      <c r="AP50" s="26">
        <f>SUMIFS(DATA_CURRENT!$V:$V,DATA_CURRENT!$H:$H,$A50,DATA_CURRENT!$X:$X,AP$5)</f>
        <v>3.33</v>
      </c>
      <c r="AQ50" s="30">
        <f t="shared" si="33"/>
        <v>325.83999999999997</v>
      </c>
    </row>
    <row r="51" spans="1:43" x14ac:dyDescent="0.25">
      <c r="A51" s="18" t="s">
        <v>21</v>
      </c>
      <c r="C51" s="28" t="s">
        <v>21</v>
      </c>
      <c r="D51" s="29">
        <f>COUNTIF(DATA_PRIOR!$H:$H,A51)</f>
        <v>10</v>
      </c>
      <c r="E51" s="30">
        <f>SUMIF(DATA_PRIOR!$H:$H,A51,DATA_PRIOR!$V:$V)</f>
        <v>165.4</v>
      </c>
      <c r="G51" s="29">
        <f t="shared" si="28"/>
        <v>-8</v>
      </c>
      <c r="H51" s="30">
        <f t="shared" si="29"/>
        <v>-172.85</v>
      </c>
      <c r="J51" s="31">
        <f>COUNTIFS(DATA_CURRENT!$B:$B,"Unresolved (Aug)",DATA_CURRENT!$H:$H,$A51)</f>
        <v>0</v>
      </c>
      <c r="K51" s="32">
        <f>SUMIFS(DATA_CURRENT!$V:$V,DATA_CURRENT!$H:$H,$A51,DATA_CURRENT!$B:$B,"Unresolved (Aug)")</f>
        <v>0</v>
      </c>
      <c r="L51" s="31">
        <f>COUNTIFS(DATA_CURRENT!$B:$B,"Unresolved (Oct)",DATA_CURRENT!$H:$H,$A51)</f>
        <v>0</v>
      </c>
      <c r="M51" s="32">
        <f>SUMIFS(DATA_CURRENT!$V:$V,DATA_CURRENT!$H:$H,$A51,DATA_CURRENT!$B:$B,"Unresolved (Oct)")</f>
        <v>0</v>
      </c>
      <c r="N51" s="31">
        <f>COUNTIFS(DATA_CURRENT!$B:$B,"Unresolved (Nov)",DATA_CURRENT!$H:$H,$A51)</f>
        <v>0</v>
      </c>
      <c r="O51" s="32">
        <f>SUMIFS(DATA_CURRENT!$V:$V,DATA_CURRENT!$H:$H,$A51,DATA_CURRENT!$B:$B,"Unresolved (Nov)")</f>
        <v>0</v>
      </c>
      <c r="P51" s="31">
        <f>COUNTIFS(DATA_CURRENT!$B:$B,"Unresolved (Dec)",DATA_CURRENT!$H:$H,$A51)</f>
        <v>0</v>
      </c>
      <c r="Q51" s="32">
        <f>SUMIFS(DATA_CURRENT!$V:$V,DATA_CURRENT!$H:$H,$A51,DATA_CURRENT!$B:$B,"Unresolved (Dec)")</f>
        <v>0</v>
      </c>
      <c r="R51" s="31">
        <f>COUNTIFS(DATA_CURRENT!$B:$B,"Unresolved (Jan)",DATA_CURRENT!$H:$H,$A51)</f>
        <v>0</v>
      </c>
      <c r="S51" s="32">
        <f>SUMIFS(DATA_CURRENT!$V:$V,DATA_CURRENT!$H:$H,$A51,DATA_CURRENT!$B:$B,"Unresolved (Jan)")</f>
        <v>0</v>
      </c>
      <c r="T51" s="31">
        <f>COUNTIFS(DATA_CURRENT!$B:$B,"Unresolved (Feb)",DATA_CURRENT!$H:$H,$A51)</f>
        <v>0</v>
      </c>
      <c r="U51" s="32">
        <f>SUMIFS(DATA_CURRENT!$V:$V,DATA_CURRENT!$H:$H,$A51,DATA_CURRENT!$B:$B,"Unresolved (Feb)")</f>
        <v>0</v>
      </c>
      <c r="V51" s="31">
        <f>COUNTIFS(DATA_CURRENT!$B:$B,"Unresolved (Mar)",DATA_CURRENT!$H:$H,$A51)</f>
        <v>0</v>
      </c>
      <c r="W51" s="32">
        <f>SUMIFS(DATA_CURRENT!$V:$V,DATA_CURRENT!$H:$H,$A51,DATA_CURRENT!$B:$B,"Unresolved (Mar)")</f>
        <v>0</v>
      </c>
      <c r="X51" s="31">
        <f>COUNTIFS(DATA_CURRENT!$B:$B,"Unresolved (Apr)",DATA_CURRENT!$H:$H,$A51)</f>
        <v>0</v>
      </c>
      <c r="Y51" s="32">
        <f>SUMIFS(DATA_CURRENT!$V:$V,DATA_CURRENT!$H:$H,$A51,DATA_CURRENT!$B:$B,"Unresolved (Apr)")</f>
        <v>0</v>
      </c>
      <c r="Z51" s="31">
        <f>COUNTIFS(DATA_CURRENT!$B:$B,"Unresolved (May)",DATA_CURRENT!$H:$H,$A51)</f>
        <v>2</v>
      </c>
      <c r="AA51" s="32">
        <f>SUMIFS(DATA_CURRENT!$V:$V,DATA_CURRENT!$H:$H,$A51,DATA_CURRENT!$B:$B,"Unresolved (May)")</f>
        <v>-7.4499999999999993</v>
      </c>
      <c r="AB51" s="29">
        <f>COUNTIFS(DATA_CURRENT!$B:$B,"Added",DATA_CURRENT!$H:$H,$A51)</f>
        <v>0</v>
      </c>
      <c r="AC51" s="30">
        <f>SUMIFS(DATA_CURRENT!$V:$V,DATA_CURRENT!$H:$H,$A51,DATA_CURRENT!$B:$B,"Added")</f>
        <v>0</v>
      </c>
      <c r="AE51" s="29">
        <f t="shared" si="30"/>
        <v>2</v>
      </c>
      <c r="AF51" s="30">
        <f t="shared" si="31"/>
        <v>-7.4499999999999993</v>
      </c>
      <c r="AH51" s="28" t="s">
        <v>14</v>
      </c>
      <c r="AI51" s="77">
        <f>SUMIFS(DATA_CURRENT!$V:$V,DATA_CURRENT!$H:$H,$A51,DATA_CURRENT!$X:$X,AI$5)</f>
        <v>0</v>
      </c>
      <c r="AJ51" s="77">
        <f>SUMIFS(DATA_CURRENT!$V:$V,DATA_CURRENT!$H:$H,$A51,DATA_CURRENT!$X:$X,AJ$5)</f>
        <v>0</v>
      </c>
      <c r="AK51" s="77">
        <f>SUMIFS(DATA_CURRENT!$V:$V,DATA_CURRENT!$H:$H,$A51,DATA_CURRENT!$X:$X,AK$5)</f>
        <v>0</v>
      </c>
      <c r="AL51" s="77">
        <f>SUMIFS(DATA_CURRENT!$V:$V,DATA_CURRENT!$H:$H,$A51,DATA_CURRENT!$X:$X,AL$5)</f>
        <v>0</v>
      </c>
      <c r="AM51" s="77">
        <f>SUMIFS(DATA_CURRENT!$V:$V,DATA_CURRENT!$H:$H,$A51,DATA_CURRENT!$X:$X,AM$5)</f>
        <v>0</v>
      </c>
      <c r="AN51" s="26">
        <f t="shared" si="32"/>
        <v>0</v>
      </c>
      <c r="AO51" s="26">
        <f>SUMIFS(DATA_CURRENT!$V:$V,DATA_CURRENT!$H:$H,$A51,DATA_CURRENT!$X:$X,AO$5)</f>
        <v>-13.29</v>
      </c>
      <c r="AP51" s="26">
        <f>SUMIFS(DATA_CURRENT!$V:$V,DATA_CURRENT!$H:$H,$A51,DATA_CURRENT!$X:$X,AP$5)</f>
        <v>5.84</v>
      </c>
      <c r="AQ51" s="30">
        <f t="shared" si="33"/>
        <v>-7.4499999999999993</v>
      </c>
    </row>
    <row r="52" spans="1:43" x14ac:dyDescent="0.25">
      <c r="A52" s="18" t="s">
        <v>19</v>
      </c>
      <c r="C52" s="28" t="s">
        <v>19</v>
      </c>
      <c r="D52" s="29">
        <f>COUNTIF(DATA_PRIOR!$H:$H,A52)</f>
        <v>8</v>
      </c>
      <c r="E52" s="30">
        <f>SUMIF(DATA_PRIOR!$H:$H,A52,DATA_PRIOR!$V:$V)</f>
        <v>151.91000000000003</v>
      </c>
      <c r="G52" s="29">
        <f t="shared" si="28"/>
        <v>-2</v>
      </c>
      <c r="H52" s="30">
        <f t="shared" si="29"/>
        <v>-30.190000000000026</v>
      </c>
      <c r="J52" s="31">
        <f>COUNTIFS(DATA_CURRENT!$B:$B,"Unresolved (Aug)",DATA_CURRENT!$H:$H,$A52)</f>
        <v>0</v>
      </c>
      <c r="K52" s="32">
        <f>SUMIFS(DATA_CURRENT!$V:$V,DATA_CURRENT!$H:$H,$A52,DATA_CURRENT!$B:$B,"Unresolved (Aug)")</f>
        <v>0</v>
      </c>
      <c r="L52" s="31">
        <f>COUNTIFS(DATA_CURRENT!$B:$B,"Unresolved (Oct)",DATA_CURRENT!$H:$H,$A52)</f>
        <v>0</v>
      </c>
      <c r="M52" s="32">
        <f>SUMIFS(DATA_CURRENT!$V:$V,DATA_CURRENT!$H:$H,$A52,DATA_CURRENT!$B:$B,"Unresolved (Oct)")</f>
        <v>0</v>
      </c>
      <c r="N52" s="31">
        <f>COUNTIFS(DATA_CURRENT!$B:$B,"Unresolved (Nov)",DATA_CURRENT!$H:$H,$A52)</f>
        <v>0</v>
      </c>
      <c r="O52" s="32">
        <f>SUMIFS(DATA_CURRENT!$V:$V,DATA_CURRENT!$H:$H,$A52,DATA_CURRENT!$B:$B,"Unresolved (Nov)")</f>
        <v>0</v>
      </c>
      <c r="P52" s="31">
        <f>COUNTIFS(DATA_CURRENT!$B:$B,"Unresolved (Dec)",DATA_CURRENT!$H:$H,$A52)</f>
        <v>0</v>
      </c>
      <c r="Q52" s="32">
        <f>SUMIFS(DATA_CURRENT!$V:$V,DATA_CURRENT!$H:$H,$A52,DATA_CURRENT!$B:$B,"Unresolved (Dec)")</f>
        <v>0</v>
      </c>
      <c r="R52" s="31">
        <f>COUNTIFS(DATA_CURRENT!$B:$B,"Unresolved (Jan)",DATA_CURRENT!$H:$H,$A52)</f>
        <v>0</v>
      </c>
      <c r="S52" s="32">
        <f>SUMIFS(DATA_CURRENT!$V:$V,DATA_CURRENT!$H:$H,$A52,DATA_CURRENT!$B:$B,"Unresolved (Jan)")</f>
        <v>0</v>
      </c>
      <c r="T52" s="31">
        <f>COUNTIFS(DATA_CURRENT!$B:$B,"Unresolved (Feb)",DATA_CURRENT!$H:$H,$A52)</f>
        <v>0</v>
      </c>
      <c r="U52" s="32">
        <f>SUMIFS(DATA_CURRENT!$V:$V,DATA_CURRENT!$H:$H,$A52,DATA_CURRENT!$B:$B,"Unresolved (Feb)")</f>
        <v>0</v>
      </c>
      <c r="V52" s="31">
        <f>COUNTIFS(DATA_CURRENT!$B:$B,"Unresolved (Mar)",DATA_CURRENT!$H:$H,$A52)</f>
        <v>0</v>
      </c>
      <c r="W52" s="32">
        <f>SUMIFS(DATA_CURRENT!$V:$V,DATA_CURRENT!$H:$H,$A52,DATA_CURRENT!$B:$B,"Unresolved (Mar)")</f>
        <v>0</v>
      </c>
      <c r="X52" s="31">
        <f>COUNTIFS(DATA_CURRENT!$B:$B,"Unresolved (Apr)",DATA_CURRENT!$H:$H,$A52)</f>
        <v>0</v>
      </c>
      <c r="Y52" s="32">
        <f>SUMIFS(DATA_CURRENT!$V:$V,DATA_CURRENT!$H:$H,$A52,DATA_CURRENT!$B:$B,"Unresolved (Apr)")</f>
        <v>0</v>
      </c>
      <c r="Z52" s="31">
        <f>COUNTIFS(DATA_CURRENT!$B:$B,"Unresolved (May)",DATA_CURRENT!$H:$H,$A52)</f>
        <v>6</v>
      </c>
      <c r="AA52" s="32">
        <f>SUMIFS(DATA_CURRENT!$V:$V,DATA_CURRENT!$H:$H,$A52,DATA_CURRENT!$B:$B,"Unresolved (May)")</f>
        <v>121.72</v>
      </c>
      <c r="AB52" s="29">
        <f>COUNTIFS(DATA_CURRENT!$B:$B,"Added",DATA_CURRENT!$H:$H,$A52)</f>
        <v>1</v>
      </c>
      <c r="AC52" s="30">
        <f>SUMIFS(DATA_CURRENT!$V:$V,DATA_CURRENT!$H:$H,$A52,DATA_CURRENT!$B:$B,"Added")</f>
        <v>27.97</v>
      </c>
      <c r="AE52" s="29">
        <f t="shared" si="30"/>
        <v>7</v>
      </c>
      <c r="AF52" s="30">
        <f t="shared" si="31"/>
        <v>149.69</v>
      </c>
      <c r="AH52" s="28" t="s">
        <v>17</v>
      </c>
      <c r="AI52" s="77">
        <f>SUMIFS(DATA_CURRENT!$V:$V,DATA_CURRENT!$H:$H,$A52,DATA_CURRENT!$X:$X,AI$5)</f>
        <v>48.8</v>
      </c>
      <c r="AJ52" s="77">
        <f>SUMIFS(DATA_CURRENT!$V:$V,DATA_CURRENT!$H:$H,$A52,DATA_CURRENT!$X:$X,AJ$5)</f>
        <v>0</v>
      </c>
      <c r="AK52" s="77">
        <f>SUMIFS(DATA_CURRENT!$V:$V,DATA_CURRENT!$H:$H,$A52,DATA_CURRENT!$X:$X,AK$5)</f>
        <v>0</v>
      </c>
      <c r="AL52" s="77">
        <f>SUMIFS(DATA_CURRENT!$V:$V,DATA_CURRENT!$H:$H,$A52,DATA_CURRENT!$X:$X,AL$5)</f>
        <v>0</v>
      </c>
      <c r="AM52" s="77">
        <f>SUMIFS(DATA_CURRENT!$V:$V,DATA_CURRENT!$H:$H,$A52,DATA_CURRENT!$X:$X,AM$5)</f>
        <v>0</v>
      </c>
      <c r="AN52" s="26">
        <f t="shared" si="32"/>
        <v>48.8</v>
      </c>
      <c r="AO52" s="33">
        <f>SUMIFS(DATA_CURRENT!$V:$V,DATA_CURRENT!$H:$H,$A52,DATA_CURRENT!$X:$X,AO$5)</f>
        <v>0</v>
      </c>
      <c r="AP52" s="33">
        <f>SUMIFS(DATA_CURRENT!$V:$V,DATA_CURRENT!$H:$H,$A52,DATA_CURRENT!$X:$X,AP$5)</f>
        <v>100.89</v>
      </c>
      <c r="AQ52" s="30">
        <f t="shared" si="33"/>
        <v>149.69</v>
      </c>
    </row>
    <row r="53" spans="1:43" x14ac:dyDescent="0.25">
      <c r="A53" s="18" t="s">
        <v>17</v>
      </c>
      <c r="C53" s="28" t="s">
        <v>17</v>
      </c>
      <c r="D53" s="29">
        <f>COUNTIF(DATA_PRIOR!$H:$H,A53)</f>
        <v>9</v>
      </c>
      <c r="E53" s="30">
        <f>SUMIF(DATA_PRIOR!$H:$H,A53,DATA_PRIOR!$V:$V)</f>
        <v>114.28</v>
      </c>
      <c r="G53" s="29">
        <f t="shared" si="28"/>
        <v>-9</v>
      </c>
      <c r="H53" s="30">
        <f t="shared" si="29"/>
        <v>-114.28</v>
      </c>
      <c r="J53" s="31">
        <f>COUNTIFS(DATA_CURRENT!$B:$B,"Unresolved (Aug)",DATA_CURRENT!$H:$H,$A53)</f>
        <v>0</v>
      </c>
      <c r="K53" s="32">
        <f>SUMIFS(DATA_CURRENT!$V:$V,DATA_CURRENT!$H:$H,$A53,DATA_CURRENT!$B:$B,"Unresolved (Aug)")</f>
        <v>0</v>
      </c>
      <c r="L53" s="31">
        <f>COUNTIFS(DATA_CURRENT!$B:$B,"Unresolved (Oct)",DATA_CURRENT!$H:$H,$A53)</f>
        <v>0</v>
      </c>
      <c r="M53" s="32">
        <f>SUMIFS(DATA_CURRENT!$V:$V,DATA_CURRENT!$H:$H,$A53,DATA_CURRENT!$B:$B,"Unresolved (Oct)")</f>
        <v>0</v>
      </c>
      <c r="N53" s="31">
        <f>COUNTIFS(DATA_CURRENT!$B:$B,"Unresolved (Nov)",DATA_CURRENT!$H:$H,$A53)</f>
        <v>0</v>
      </c>
      <c r="O53" s="32">
        <f>SUMIFS(DATA_CURRENT!$V:$V,DATA_CURRENT!$H:$H,$A53,DATA_CURRENT!$B:$B,"Unresolved (Nov)")</f>
        <v>0</v>
      </c>
      <c r="P53" s="31">
        <f>COUNTIFS(DATA_CURRENT!$B:$B,"Unresolved (Dec)",DATA_CURRENT!$H:$H,$A53)</f>
        <v>0</v>
      </c>
      <c r="Q53" s="32">
        <f>SUMIFS(DATA_CURRENT!$V:$V,DATA_CURRENT!$H:$H,$A53,DATA_CURRENT!$B:$B,"Unresolved (Dec)")</f>
        <v>0</v>
      </c>
      <c r="R53" s="31">
        <f>COUNTIFS(DATA_CURRENT!$B:$B,"Unresolved (Jan)",DATA_CURRENT!$H:$H,$A53)</f>
        <v>0</v>
      </c>
      <c r="S53" s="32">
        <f>SUMIFS(DATA_CURRENT!$V:$V,DATA_CURRENT!$H:$H,$A53,DATA_CURRENT!$B:$B,"Unresolved (Jan)")</f>
        <v>0</v>
      </c>
      <c r="T53" s="31">
        <f>COUNTIFS(DATA_CURRENT!$B:$B,"Unresolved (Feb)",DATA_CURRENT!$H:$H,$A53)</f>
        <v>0</v>
      </c>
      <c r="U53" s="32">
        <f>SUMIFS(DATA_CURRENT!$V:$V,DATA_CURRENT!$H:$H,$A53,DATA_CURRENT!$B:$B,"Unresolved (Feb)")</f>
        <v>0</v>
      </c>
      <c r="V53" s="31">
        <f>COUNTIFS(DATA_CURRENT!$B:$B,"Unresolved (Mar)",DATA_CURRENT!$H:$H,$A53)</f>
        <v>0</v>
      </c>
      <c r="W53" s="32">
        <f>SUMIFS(DATA_CURRENT!$V:$V,DATA_CURRENT!$H:$H,$A53,DATA_CURRENT!$B:$B,"Unresolved (Mar)")</f>
        <v>0</v>
      </c>
      <c r="X53" s="31">
        <f>COUNTIFS(DATA_CURRENT!$B:$B,"Unresolved (Apr)",DATA_CURRENT!$H:$H,$A53)</f>
        <v>0</v>
      </c>
      <c r="Y53" s="32">
        <f>SUMIFS(DATA_CURRENT!$V:$V,DATA_CURRENT!$H:$H,$A53,DATA_CURRENT!$B:$B,"Unresolved (Apr)")</f>
        <v>0</v>
      </c>
      <c r="Z53" s="31">
        <f>COUNTIFS(DATA_CURRENT!$B:$B,"Unresolved (May)",DATA_CURRENT!$H:$H,$A53)</f>
        <v>0</v>
      </c>
      <c r="AA53" s="32">
        <f>SUMIFS(DATA_CURRENT!$V:$V,DATA_CURRENT!$H:$H,$A53,DATA_CURRENT!$B:$B,"Unresolved (May)")</f>
        <v>0</v>
      </c>
      <c r="AB53" s="29">
        <f>COUNTIFS(DATA_CURRENT!$B:$B,"Added",DATA_CURRENT!$H:$H,$A53)</f>
        <v>1</v>
      </c>
      <c r="AC53" s="30">
        <f>SUMIFS(DATA_CURRENT!$V:$V,DATA_CURRENT!$H:$H,$A53,DATA_CURRENT!$B:$B,"Added")</f>
        <v>2.4500000000000002</v>
      </c>
      <c r="AE53" s="29">
        <f t="shared" si="30"/>
        <v>1</v>
      </c>
      <c r="AF53" s="30">
        <f t="shared" si="31"/>
        <v>2.4500000000000002</v>
      </c>
      <c r="AH53" s="28" t="s">
        <v>21</v>
      </c>
      <c r="AI53" s="77">
        <f>SUMIFS(DATA_CURRENT!$V:$V,DATA_CURRENT!$H:$H,$A53,DATA_CURRENT!$X:$X,AI$5)</f>
        <v>0</v>
      </c>
      <c r="AJ53" s="77">
        <f>SUMIFS(DATA_CURRENT!$V:$V,DATA_CURRENT!$H:$H,$A53,DATA_CURRENT!$X:$X,AJ$5)</f>
        <v>0</v>
      </c>
      <c r="AK53" s="77">
        <f>SUMIFS(DATA_CURRENT!$V:$V,DATA_CURRENT!$H:$H,$A53,DATA_CURRENT!$X:$X,AK$5)</f>
        <v>0</v>
      </c>
      <c r="AL53" s="77">
        <f>SUMIFS(DATA_CURRENT!$V:$V,DATA_CURRENT!$H:$H,$A53,DATA_CURRENT!$X:$X,AL$5)</f>
        <v>0</v>
      </c>
      <c r="AM53" s="77">
        <f>SUMIFS(DATA_CURRENT!$V:$V,DATA_CURRENT!$H:$H,$A53,DATA_CURRENT!$X:$X,AM$5)</f>
        <v>0</v>
      </c>
      <c r="AN53" s="33">
        <f t="shared" si="32"/>
        <v>0</v>
      </c>
      <c r="AO53" s="33">
        <f>SUMIFS(DATA_CURRENT!$V:$V,DATA_CURRENT!$H:$H,$A53,DATA_CURRENT!$X:$X,AO$5)</f>
        <v>0</v>
      </c>
      <c r="AP53" s="33">
        <f>SUMIFS(DATA_CURRENT!$V:$V,DATA_CURRENT!$H:$H,$A53,DATA_CURRENT!$X:$X,AP$5)</f>
        <v>2.4500000000000002</v>
      </c>
      <c r="AQ53" s="30">
        <f t="shared" si="33"/>
        <v>2.4500000000000002</v>
      </c>
    </row>
    <row r="54" spans="1:43" x14ac:dyDescent="0.25">
      <c r="A54" s="18" t="s">
        <v>25</v>
      </c>
      <c r="C54" s="28" t="s">
        <v>26</v>
      </c>
      <c r="D54" s="29">
        <f>COUNTIF(DATA_PRIOR!$H:$H,A54)</f>
        <v>7</v>
      </c>
      <c r="E54" s="30">
        <f>SUMIF(DATA_PRIOR!$H:$H,A54,DATA_PRIOR!$V:$V)</f>
        <v>79</v>
      </c>
      <c r="G54" s="29">
        <f t="shared" si="28"/>
        <v>-2</v>
      </c>
      <c r="H54" s="30">
        <f t="shared" si="29"/>
        <v>-35.730000000000004</v>
      </c>
      <c r="J54" s="31">
        <f>COUNTIFS(DATA_CURRENT!$B:$B,"Unresolved (Aug)",DATA_CURRENT!$H:$H,$A54)</f>
        <v>0</v>
      </c>
      <c r="K54" s="32">
        <f>SUMIFS(DATA_CURRENT!$V:$V,DATA_CURRENT!$H:$H,$A54,DATA_CURRENT!$B:$B,"Unresolved (Aug)")</f>
        <v>0</v>
      </c>
      <c r="L54" s="31">
        <f>COUNTIFS(DATA_CURRENT!$B:$B,"Unresolved (Oct)",DATA_CURRENT!$H:$H,$A54)</f>
        <v>0</v>
      </c>
      <c r="M54" s="32">
        <f>SUMIFS(DATA_CURRENT!$V:$V,DATA_CURRENT!$H:$H,$A54,DATA_CURRENT!$B:$B,"Unresolved (Oct)")</f>
        <v>0</v>
      </c>
      <c r="N54" s="31">
        <f>COUNTIFS(DATA_CURRENT!$B:$B,"Unresolved (Nov)",DATA_CURRENT!$H:$H,$A54)</f>
        <v>0</v>
      </c>
      <c r="O54" s="32">
        <f>SUMIFS(DATA_CURRENT!$V:$V,DATA_CURRENT!$H:$H,$A54,DATA_CURRENT!$B:$B,"Unresolved (Nov)")</f>
        <v>0</v>
      </c>
      <c r="P54" s="31">
        <f>COUNTIFS(DATA_CURRENT!$B:$B,"Unresolved (Dec)",DATA_CURRENT!$H:$H,$A54)</f>
        <v>0</v>
      </c>
      <c r="Q54" s="32">
        <f>SUMIFS(DATA_CURRENT!$V:$V,DATA_CURRENT!$H:$H,$A54,DATA_CURRENT!$B:$B,"Unresolved (Dec)")</f>
        <v>0</v>
      </c>
      <c r="R54" s="31">
        <f>COUNTIFS(DATA_CURRENT!$B:$B,"Unresolved (Jan)",DATA_CURRENT!$H:$H,$A54)</f>
        <v>1</v>
      </c>
      <c r="S54" s="32">
        <f>SUMIFS(DATA_CURRENT!$V:$V,DATA_CURRENT!$H:$H,$A54,DATA_CURRENT!$B:$B,"Unresolved (Jan)")</f>
        <v>41.66</v>
      </c>
      <c r="T54" s="31">
        <f>COUNTIFS(DATA_CURRENT!$B:$B,"Unresolved (Feb)",DATA_CURRENT!$H:$H,$A54)</f>
        <v>0</v>
      </c>
      <c r="U54" s="32">
        <f>SUMIFS(DATA_CURRENT!$V:$V,DATA_CURRENT!$H:$H,$A54,DATA_CURRENT!$B:$B,"Unresolved (Feb)")</f>
        <v>0</v>
      </c>
      <c r="V54" s="31">
        <f>COUNTIFS(DATA_CURRENT!$B:$B,"Unresolved (Mar)",DATA_CURRENT!$H:$H,$A54)</f>
        <v>0</v>
      </c>
      <c r="W54" s="32">
        <f>SUMIFS(DATA_CURRENT!$V:$V,DATA_CURRENT!$H:$H,$A54,DATA_CURRENT!$B:$B,"Unresolved (Mar)")</f>
        <v>0</v>
      </c>
      <c r="X54" s="31">
        <f>COUNTIFS(DATA_CURRENT!$B:$B,"Unresolved (Apr)",DATA_CURRENT!$H:$H,$A54)</f>
        <v>0</v>
      </c>
      <c r="Y54" s="32">
        <f>SUMIFS(DATA_CURRENT!$V:$V,DATA_CURRENT!$H:$H,$A54,DATA_CURRENT!$B:$B,"Unresolved (Apr)")</f>
        <v>0</v>
      </c>
      <c r="Z54" s="31">
        <f>COUNTIFS(DATA_CURRENT!$B:$B,"Unresolved (May)",DATA_CURRENT!$H:$H,$A54)</f>
        <v>4</v>
      </c>
      <c r="AA54" s="32">
        <f>SUMIFS(DATA_CURRENT!$V:$V,DATA_CURRENT!$H:$H,$A54,DATA_CURRENT!$B:$B,"Unresolved (May)")</f>
        <v>1.61</v>
      </c>
      <c r="AB54" s="29">
        <f>COUNTIFS(DATA_CURRENT!$B:$B,"Added",DATA_CURRENT!$H:$H,$A54)</f>
        <v>2</v>
      </c>
      <c r="AC54" s="30">
        <f>SUMIFS(DATA_CURRENT!$V:$V,DATA_CURRENT!$H:$H,$A54,DATA_CURRENT!$B:$B,"Added")</f>
        <v>3.45</v>
      </c>
      <c r="AE54" s="29">
        <f t="shared" si="30"/>
        <v>7</v>
      </c>
      <c r="AF54" s="30">
        <f t="shared" si="31"/>
        <v>46.72</v>
      </c>
      <c r="AH54" s="28" t="s">
        <v>23</v>
      </c>
      <c r="AI54" s="77">
        <f>SUMIFS(DATA_CURRENT!$V:$V,DATA_CURRENT!$H:$H,$A54,DATA_CURRENT!$X:$X,AI$5)</f>
        <v>43.47</v>
      </c>
      <c r="AJ54" s="77">
        <f>SUMIFS(DATA_CURRENT!$V:$V,DATA_CURRENT!$H:$H,$A54,DATA_CURRENT!$X:$X,AJ$5)</f>
        <v>0</v>
      </c>
      <c r="AK54" s="77">
        <f>SUMIFS(DATA_CURRENT!$V:$V,DATA_CURRENT!$H:$H,$A54,DATA_CURRENT!$X:$X,AK$5)</f>
        <v>0</v>
      </c>
      <c r="AL54" s="77">
        <f>SUMIFS(DATA_CURRENT!$V:$V,DATA_CURRENT!$H:$H,$A54,DATA_CURRENT!$X:$X,AL$5)</f>
        <v>3.45</v>
      </c>
      <c r="AM54" s="77">
        <f>SUMIFS(DATA_CURRENT!$V:$V,DATA_CURRENT!$H:$H,$A54,DATA_CURRENT!$X:$X,AM$5)</f>
        <v>-0.2</v>
      </c>
      <c r="AN54" s="26">
        <f t="shared" si="32"/>
        <v>46.72</v>
      </c>
      <c r="AO54" s="26">
        <f>SUMIFS(DATA_CURRENT!$V:$V,DATA_CURRENT!$H:$H,$A54,DATA_CURRENT!$X:$X,AO$5)</f>
        <v>0</v>
      </c>
      <c r="AP54" s="26">
        <f>SUMIFS(DATA_CURRENT!$V:$V,DATA_CURRENT!$H:$H,$A54,DATA_CURRENT!$X:$X,AP$5)</f>
        <v>0</v>
      </c>
      <c r="AQ54" s="30">
        <f t="shared" si="33"/>
        <v>46.72</v>
      </c>
    </row>
    <row r="55" spans="1:43" x14ac:dyDescent="0.25">
      <c r="A55" s="18" t="s">
        <v>15</v>
      </c>
      <c r="C55" s="28" t="s">
        <v>16</v>
      </c>
      <c r="D55" s="29">
        <f>COUNTIF(DATA_PRIOR!$H:$H,A55)</f>
        <v>24</v>
      </c>
      <c r="E55" s="30">
        <f>SUMIF(DATA_PRIOR!$H:$H,A55,DATA_PRIOR!$V:$V)</f>
        <v>361.87000000000012</v>
      </c>
      <c r="G55" s="29">
        <f t="shared" si="28"/>
        <v>-13</v>
      </c>
      <c r="H55" s="30">
        <f t="shared" si="29"/>
        <v>-57.880000000000052</v>
      </c>
      <c r="J55" s="31">
        <f>COUNTIFS(DATA_CURRENT!$B:$B,"Unresolved (Aug)",DATA_CURRENT!$H:$H,$A55)</f>
        <v>0</v>
      </c>
      <c r="K55" s="32">
        <f>SUMIFS(DATA_CURRENT!$V:$V,DATA_CURRENT!$H:$H,$A55,DATA_CURRENT!$B:$B,"Unresolved (Aug)")</f>
        <v>0</v>
      </c>
      <c r="L55" s="31">
        <f>COUNTIFS(DATA_CURRENT!$B:$B,"Unresolved (Oct)",DATA_CURRENT!$H:$H,$A55)</f>
        <v>0</v>
      </c>
      <c r="M55" s="32">
        <f>SUMIFS(DATA_CURRENT!$V:$V,DATA_CURRENT!$H:$H,$A55,DATA_CURRENT!$B:$B,"Unresolved (Oct)")</f>
        <v>0</v>
      </c>
      <c r="N55" s="31">
        <f>COUNTIFS(DATA_CURRENT!$B:$B,"Unresolved (Nov)",DATA_CURRENT!$H:$H,$A55)</f>
        <v>0</v>
      </c>
      <c r="O55" s="32">
        <f>SUMIFS(DATA_CURRENT!$V:$V,DATA_CURRENT!$H:$H,$A55,DATA_CURRENT!$B:$B,"Unresolved (Nov)")</f>
        <v>0</v>
      </c>
      <c r="P55" s="31">
        <f>COUNTIFS(DATA_CURRENT!$B:$B,"Unresolved (Dec)",DATA_CURRENT!$H:$H,$A55)</f>
        <v>0</v>
      </c>
      <c r="Q55" s="32">
        <f>SUMIFS(DATA_CURRENT!$V:$V,DATA_CURRENT!$H:$H,$A55,DATA_CURRENT!$B:$B,"Unresolved (Dec)")</f>
        <v>0</v>
      </c>
      <c r="R55" s="31">
        <f>COUNTIFS(DATA_CURRENT!$B:$B,"Unresolved (Jan)",DATA_CURRENT!$H:$H,$A55)</f>
        <v>0</v>
      </c>
      <c r="S55" s="32">
        <f>SUMIFS(DATA_CURRENT!$V:$V,DATA_CURRENT!$H:$H,$A55,DATA_CURRENT!$B:$B,"Unresolved (Jan)")</f>
        <v>0</v>
      </c>
      <c r="T55" s="31">
        <f>COUNTIFS(DATA_CURRENT!$B:$B,"Unresolved (Feb)",DATA_CURRENT!$H:$H,$A55)</f>
        <v>0</v>
      </c>
      <c r="U55" s="32">
        <f>SUMIFS(DATA_CURRENT!$V:$V,DATA_CURRENT!$H:$H,$A55,DATA_CURRENT!$B:$B,"Unresolved (Feb)")</f>
        <v>0</v>
      </c>
      <c r="V55" s="31">
        <f>COUNTIFS(DATA_CURRENT!$B:$B,"Unresolved (Mar)",DATA_CURRENT!$H:$H,$A55)</f>
        <v>0</v>
      </c>
      <c r="W55" s="32">
        <f>SUMIFS(DATA_CURRENT!$V:$V,DATA_CURRENT!$H:$H,$A55,DATA_CURRENT!$B:$B,"Unresolved (Mar)")</f>
        <v>0</v>
      </c>
      <c r="X55" s="31">
        <f>COUNTIFS(DATA_CURRENT!$B:$B,"Unresolved (Apr)",DATA_CURRENT!$H:$H,$A55)</f>
        <v>0</v>
      </c>
      <c r="Y55" s="32">
        <f>SUMIFS(DATA_CURRENT!$V:$V,DATA_CURRENT!$H:$H,$A55,DATA_CURRENT!$B:$B,"Unresolved (Apr)")</f>
        <v>0</v>
      </c>
      <c r="Z55" s="31">
        <f>COUNTIFS(DATA_CURRENT!$B:$B,"Unresolved (May)",DATA_CURRENT!$H:$H,$A55)</f>
        <v>11</v>
      </c>
      <c r="AA55" s="32">
        <f>SUMIFS(DATA_CURRENT!$V:$V,DATA_CURRENT!$H:$H,$A55,DATA_CURRENT!$B:$B,"Unresolved (May)")</f>
        <v>303.99000000000007</v>
      </c>
      <c r="AB55" s="29">
        <f>COUNTIFS(DATA_CURRENT!$B:$B,"Added",DATA_CURRENT!$H:$H,$A55)</f>
        <v>0</v>
      </c>
      <c r="AC55" s="30">
        <f>SUMIFS(DATA_CURRENT!$V:$V,DATA_CURRENT!$H:$H,$A55,DATA_CURRENT!$B:$B,"Added")</f>
        <v>0</v>
      </c>
      <c r="AE55" s="29">
        <f t="shared" si="30"/>
        <v>11</v>
      </c>
      <c r="AF55" s="30">
        <f t="shared" si="31"/>
        <v>303.99000000000007</v>
      </c>
      <c r="AH55" s="28" t="s">
        <v>18</v>
      </c>
      <c r="AI55" s="77">
        <f>SUMIFS(DATA_CURRENT!$V:$V,DATA_CURRENT!$H:$H,$A55,DATA_CURRENT!$X:$X,AI$5)</f>
        <v>0</v>
      </c>
      <c r="AJ55" s="77">
        <f>SUMIFS(DATA_CURRENT!$V:$V,DATA_CURRENT!$H:$H,$A55,DATA_CURRENT!$X:$X,AJ$5)</f>
        <v>8.25</v>
      </c>
      <c r="AK55" s="77">
        <f>SUMIFS(DATA_CURRENT!$V:$V,DATA_CURRENT!$H:$H,$A55,DATA_CURRENT!$X:$X,AK$5)</f>
        <v>295.74000000000007</v>
      </c>
      <c r="AL55" s="77">
        <f>SUMIFS(DATA_CURRENT!$V:$V,DATA_CURRENT!$H:$H,$A55,DATA_CURRENT!$X:$X,AL$5)</f>
        <v>0</v>
      </c>
      <c r="AM55" s="77">
        <f>SUMIFS(DATA_CURRENT!$V:$V,DATA_CURRENT!$H:$H,$A55,DATA_CURRENT!$X:$X,AM$5)</f>
        <v>0</v>
      </c>
      <c r="AN55" s="26">
        <f t="shared" si="32"/>
        <v>303.99000000000007</v>
      </c>
      <c r="AO55" s="33">
        <f>SUMIFS(DATA_CURRENT!$V:$V,DATA_CURRENT!$H:$H,$A55,DATA_CURRENT!$X:$X,AO$5)</f>
        <v>0</v>
      </c>
      <c r="AP55" s="33">
        <f>SUMIFS(DATA_CURRENT!$V:$V,DATA_CURRENT!$H:$H,$A55,DATA_CURRENT!$X:$X,AP$5)</f>
        <v>0</v>
      </c>
      <c r="AQ55" s="30">
        <f t="shared" si="33"/>
        <v>303.99000000000007</v>
      </c>
    </row>
    <row r="56" spans="1:43" x14ac:dyDescent="0.25">
      <c r="A56" s="18" t="s">
        <v>22</v>
      </c>
      <c r="C56" s="28" t="s">
        <v>22</v>
      </c>
      <c r="D56" s="29">
        <f>COUNTIF(DATA_PRIOR!$H:$H,A56)</f>
        <v>0</v>
      </c>
      <c r="E56" s="30">
        <f>SUMIF(DATA_PRIOR!$H:$H,A56,DATA_PRIOR!$V:$V)</f>
        <v>0</v>
      </c>
      <c r="G56" s="29">
        <f t="shared" si="28"/>
        <v>0</v>
      </c>
      <c r="H56" s="30">
        <f t="shared" si="29"/>
        <v>0</v>
      </c>
      <c r="J56" s="31">
        <f>COUNTIFS(DATA_CURRENT!$B:$B,"Unresolved (Aug)",DATA_CURRENT!$H:$H,$A56)</f>
        <v>0</v>
      </c>
      <c r="K56" s="32">
        <f>SUMIFS(DATA_CURRENT!$V:$V,DATA_CURRENT!$H:$H,$A56,DATA_CURRENT!$B:$B,"Unresolved (Aug)")</f>
        <v>0</v>
      </c>
      <c r="L56" s="31">
        <f>COUNTIFS(DATA_CURRENT!$B:$B,"Unresolved (Oct)",DATA_CURRENT!$H:$H,$A56)</f>
        <v>0</v>
      </c>
      <c r="M56" s="32">
        <f>SUMIFS(DATA_CURRENT!$V:$V,DATA_CURRENT!$H:$H,$A56,DATA_CURRENT!$B:$B,"Unresolved (Oct)")</f>
        <v>0</v>
      </c>
      <c r="N56" s="31">
        <f>COUNTIFS(DATA_CURRENT!$B:$B,"Unresolved (Nov)",DATA_CURRENT!$H:$H,$A56)</f>
        <v>0</v>
      </c>
      <c r="O56" s="32">
        <f>SUMIFS(DATA_CURRENT!$V:$V,DATA_CURRENT!$H:$H,$A56,DATA_CURRENT!$B:$B,"Unresolved (Nov)")</f>
        <v>0</v>
      </c>
      <c r="P56" s="31">
        <f>COUNTIFS(DATA_CURRENT!$B:$B,"Unresolved (Dec)",DATA_CURRENT!$H:$H,$A56)</f>
        <v>0</v>
      </c>
      <c r="Q56" s="32">
        <f>SUMIFS(DATA_CURRENT!$V:$V,DATA_CURRENT!$H:$H,$A56,DATA_CURRENT!$B:$B,"Unresolved (Dec)")</f>
        <v>0</v>
      </c>
      <c r="R56" s="31">
        <f>COUNTIFS(DATA_CURRENT!$B:$B,"Unresolved (Jan)",DATA_CURRENT!$H:$H,$A56)</f>
        <v>0</v>
      </c>
      <c r="S56" s="32">
        <f>SUMIFS(DATA_CURRENT!$V:$V,DATA_CURRENT!$H:$H,$A56,DATA_CURRENT!$B:$B,"Unresolved (Jan)")</f>
        <v>0</v>
      </c>
      <c r="T56" s="31">
        <f>COUNTIFS(DATA_CURRENT!$B:$B,"Unresolved (Feb)",DATA_CURRENT!$H:$H,$A56)</f>
        <v>0</v>
      </c>
      <c r="U56" s="32">
        <f>SUMIFS(DATA_CURRENT!$V:$V,DATA_CURRENT!$H:$H,$A56,DATA_CURRENT!$B:$B,"Unresolved (Feb)")</f>
        <v>0</v>
      </c>
      <c r="V56" s="31">
        <f>COUNTIFS(DATA_CURRENT!$B:$B,"Unresolved (Mar)",DATA_CURRENT!$H:$H,$A56)</f>
        <v>0</v>
      </c>
      <c r="W56" s="32">
        <f>SUMIFS(DATA_CURRENT!$V:$V,DATA_CURRENT!$H:$H,$A56,DATA_CURRENT!$B:$B,"Unresolved (Mar)")</f>
        <v>0</v>
      </c>
      <c r="X56" s="31">
        <f>COUNTIFS(DATA_CURRENT!$B:$B,"Unresolved (Apr)",DATA_CURRENT!$H:$H,$A56)</f>
        <v>0</v>
      </c>
      <c r="Y56" s="32">
        <f>SUMIFS(DATA_CURRENT!$V:$V,DATA_CURRENT!$H:$H,$A56,DATA_CURRENT!$B:$B,"Unresolved (Apr)")</f>
        <v>0</v>
      </c>
      <c r="Z56" s="31">
        <f>COUNTIFS(DATA_CURRENT!$B:$B,"Unresolved (May)",DATA_CURRENT!$H:$H,$A56)</f>
        <v>0</v>
      </c>
      <c r="AA56" s="32">
        <f>SUMIFS(DATA_CURRENT!$V:$V,DATA_CURRENT!$H:$H,$A56,DATA_CURRENT!$B:$B,"Unresolved (May)")</f>
        <v>0</v>
      </c>
      <c r="AB56" s="29">
        <f>COUNTIFS(DATA_CURRENT!$B:$B,"Added",DATA_CURRENT!$H:$H,$A56)</f>
        <v>0</v>
      </c>
      <c r="AC56" s="30">
        <f>SUMIFS(DATA_CURRENT!$V:$V,DATA_CURRENT!$H:$H,$A56,DATA_CURRENT!$B:$B,"Added")</f>
        <v>0</v>
      </c>
      <c r="AE56" s="29">
        <f t="shared" si="30"/>
        <v>0</v>
      </c>
      <c r="AF56" s="30">
        <f t="shared" si="31"/>
        <v>0</v>
      </c>
      <c r="AH56" s="28" t="s">
        <v>22</v>
      </c>
      <c r="AI56" s="77">
        <f>SUMIFS(DATA_CURRENT!$V:$V,DATA_CURRENT!$H:$H,$A56,DATA_CURRENT!$X:$X,AI$5)</f>
        <v>0</v>
      </c>
      <c r="AJ56" s="77">
        <f>SUMIFS(DATA_CURRENT!$V:$V,DATA_CURRENT!$H:$H,$A56,DATA_CURRENT!$X:$X,AJ$5)</f>
        <v>0</v>
      </c>
      <c r="AK56" s="77">
        <f>SUMIFS(DATA_CURRENT!$V:$V,DATA_CURRENT!$H:$H,$A56,DATA_CURRENT!$X:$X,AK$5)</f>
        <v>0</v>
      </c>
      <c r="AL56" s="77">
        <f>SUMIFS(DATA_CURRENT!$V:$V,DATA_CURRENT!$H:$H,$A56,DATA_CURRENT!$X:$X,AL$5)</f>
        <v>0</v>
      </c>
      <c r="AM56" s="77">
        <f>SUMIFS(DATA_CURRENT!$V:$V,DATA_CURRENT!$H:$H,$A56,DATA_CURRENT!$X:$X,AM$5)</f>
        <v>0</v>
      </c>
      <c r="AN56" s="33">
        <f t="shared" si="32"/>
        <v>0</v>
      </c>
      <c r="AO56" s="33">
        <f>SUMIFS(DATA_CURRENT!$V:$V,DATA_CURRENT!$H:$H,$A56,DATA_CURRENT!$X:$X,AO$5)</f>
        <v>0</v>
      </c>
      <c r="AP56" s="26">
        <f>SUMIFS(DATA_CURRENT!$V:$V,DATA_CURRENT!$H:$H,$A56,DATA_CURRENT!$X:$X,AP$5)</f>
        <v>0</v>
      </c>
      <c r="AQ56" s="30">
        <f t="shared" si="33"/>
        <v>0</v>
      </c>
    </row>
    <row r="57" spans="1:43" x14ac:dyDescent="0.25">
      <c r="A57" s="18" t="s">
        <v>23</v>
      </c>
      <c r="C57" s="28" t="s">
        <v>23</v>
      </c>
      <c r="D57" s="29">
        <f>COUNTIF(DATA_PRIOR!$H:$H,A57)</f>
        <v>0</v>
      </c>
      <c r="E57" s="30">
        <f>SUMIF(DATA_PRIOR!$H:$H,A57,DATA_PRIOR!$V:$V)</f>
        <v>0</v>
      </c>
      <c r="G57" s="29">
        <f t="shared" si="28"/>
        <v>0</v>
      </c>
      <c r="H57" s="30">
        <f t="shared" si="29"/>
        <v>0</v>
      </c>
      <c r="J57" s="31">
        <f>COUNTIFS(DATA_CURRENT!$B:$B,"Unresolved (Aug)",DATA_CURRENT!$H:$H,$A57)</f>
        <v>0</v>
      </c>
      <c r="K57" s="32">
        <f>SUMIFS(DATA_CURRENT!$V:$V,DATA_CURRENT!$H:$H,$A57,DATA_CURRENT!$B:$B,"Unresolved (Aug)")</f>
        <v>0</v>
      </c>
      <c r="L57" s="31">
        <f>COUNTIFS(DATA_CURRENT!$B:$B,"Unresolved (Oct)",DATA_CURRENT!$H:$H,$A57)</f>
        <v>0</v>
      </c>
      <c r="M57" s="32">
        <f>SUMIFS(DATA_CURRENT!$V:$V,DATA_CURRENT!$H:$H,$A57,DATA_CURRENT!$B:$B,"Unresolved (Oct)")</f>
        <v>0</v>
      </c>
      <c r="N57" s="31">
        <f>COUNTIFS(DATA_CURRENT!$B:$B,"Unresolved (Nov)",DATA_CURRENT!$H:$H,$A57)</f>
        <v>0</v>
      </c>
      <c r="O57" s="32">
        <f>SUMIFS(DATA_CURRENT!$V:$V,DATA_CURRENT!$H:$H,$A57,DATA_CURRENT!$B:$B,"Unresolved (Nov)")</f>
        <v>0</v>
      </c>
      <c r="P57" s="31">
        <f>COUNTIFS(DATA_CURRENT!$B:$B,"Unresolved (Dec)",DATA_CURRENT!$H:$H,$A57)</f>
        <v>0</v>
      </c>
      <c r="Q57" s="32">
        <f>SUMIFS(DATA_CURRENT!$V:$V,DATA_CURRENT!$H:$H,$A57,DATA_CURRENT!$B:$B,"Unresolved (Dec)")</f>
        <v>0</v>
      </c>
      <c r="R57" s="31">
        <f>COUNTIFS(DATA_CURRENT!$B:$B,"Unresolved (Jan)",DATA_CURRENT!$H:$H,$A57)</f>
        <v>0</v>
      </c>
      <c r="S57" s="32">
        <f>SUMIFS(DATA_CURRENT!$V:$V,DATA_CURRENT!$H:$H,$A57,DATA_CURRENT!$B:$B,"Unresolved (Jan)")</f>
        <v>0</v>
      </c>
      <c r="T57" s="31">
        <f>COUNTIFS(DATA_CURRENT!$B:$B,"Unresolved (Feb)",DATA_CURRENT!$H:$H,$A57)</f>
        <v>0</v>
      </c>
      <c r="U57" s="32">
        <f>SUMIFS(DATA_CURRENT!$V:$V,DATA_CURRENT!$H:$H,$A57,DATA_CURRENT!$B:$B,"Unresolved (Feb)")</f>
        <v>0</v>
      </c>
      <c r="V57" s="31">
        <f>COUNTIFS(DATA_CURRENT!$B:$B,"Unresolved (Mar)",DATA_CURRENT!$H:$H,$A57)</f>
        <v>0</v>
      </c>
      <c r="W57" s="32">
        <f>SUMIFS(DATA_CURRENT!$V:$V,DATA_CURRENT!$H:$H,$A57,DATA_CURRENT!$B:$B,"Unresolved (Mar)")</f>
        <v>0</v>
      </c>
      <c r="X57" s="31">
        <f>COUNTIFS(DATA_CURRENT!$B:$B,"Unresolved (Apr)",DATA_CURRENT!$H:$H,$A57)</f>
        <v>0</v>
      </c>
      <c r="Y57" s="32">
        <f>SUMIFS(DATA_CURRENT!$V:$V,DATA_CURRENT!$H:$H,$A57,DATA_CURRENT!$B:$B,"Unresolved (Apr)")</f>
        <v>0</v>
      </c>
      <c r="Z57" s="31">
        <f>COUNTIFS(DATA_CURRENT!$B:$B,"Unresolved (May)",DATA_CURRENT!$H:$H,$A57)</f>
        <v>0</v>
      </c>
      <c r="AA57" s="32">
        <f>SUMIFS(DATA_CURRENT!$V:$V,DATA_CURRENT!$H:$H,$A57,DATA_CURRENT!$B:$B,"Unresolved (May)")</f>
        <v>0</v>
      </c>
      <c r="AB57" s="29">
        <f>COUNTIFS(DATA_CURRENT!$B:$B,"Added",DATA_CURRENT!$H:$H,$A57)</f>
        <v>0</v>
      </c>
      <c r="AC57" s="30">
        <f>SUMIFS(DATA_CURRENT!$V:$V,DATA_CURRENT!$H:$H,$A57,DATA_CURRENT!$B:$B,"Added")</f>
        <v>0</v>
      </c>
      <c r="AE57" s="29">
        <f t="shared" si="30"/>
        <v>0</v>
      </c>
      <c r="AF57" s="30">
        <f t="shared" si="31"/>
        <v>0</v>
      </c>
      <c r="AH57" s="28" t="s">
        <v>19</v>
      </c>
      <c r="AI57" s="77">
        <f>SUMIFS(DATA_CURRENT!$V:$V,DATA_CURRENT!$H:$H,$A57,DATA_CURRENT!$X:$X,AI$5)</f>
        <v>0</v>
      </c>
      <c r="AJ57" s="77">
        <f>SUMIFS(DATA_CURRENT!$V:$V,DATA_CURRENT!$H:$H,$A57,DATA_CURRENT!$X:$X,AJ$5)</f>
        <v>0</v>
      </c>
      <c r="AK57" s="77">
        <f>SUMIFS(DATA_CURRENT!$V:$V,DATA_CURRENT!$H:$H,$A57,DATA_CURRENT!$X:$X,AK$5)</f>
        <v>0</v>
      </c>
      <c r="AL57" s="77">
        <f>SUMIFS(DATA_CURRENT!$V:$V,DATA_CURRENT!$H:$H,$A57,DATA_CURRENT!$X:$X,AL$5)</f>
        <v>0</v>
      </c>
      <c r="AM57" s="77">
        <f>SUMIFS(DATA_CURRENT!$V:$V,DATA_CURRENT!$H:$H,$A57,DATA_CURRENT!$X:$X,AM$5)</f>
        <v>0</v>
      </c>
      <c r="AN57" s="26">
        <f t="shared" si="32"/>
        <v>0</v>
      </c>
      <c r="AO57" s="33">
        <f>SUMIFS(DATA_CURRENT!$V:$V,DATA_CURRENT!$H:$H,$A57,DATA_CURRENT!$X:$X,AO$5)</f>
        <v>0</v>
      </c>
      <c r="AP57" s="33">
        <f>SUMIFS(DATA_CURRENT!$V:$V,DATA_CURRENT!$H:$H,$A57,DATA_CURRENT!$X:$X,AP$5)</f>
        <v>0</v>
      </c>
      <c r="AQ57" s="30">
        <f t="shared" si="33"/>
        <v>0</v>
      </c>
    </row>
    <row r="58" spans="1:43" x14ac:dyDescent="0.25">
      <c r="A58" s="18" t="s">
        <v>24</v>
      </c>
      <c r="C58" s="28" t="s">
        <v>24</v>
      </c>
      <c r="D58" s="29">
        <f>COUNTIF(DATA_PRIOR!$H:$H,A58)</f>
        <v>0</v>
      </c>
      <c r="E58" s="30">
        <f>SUMIF(DATA_PRIOR!$H:$H,A58,DATA_PRIOR!$V:$V)</f>
        <v>0</v>
      </c>
      <c r="G58" s="29">
        <f t="shared" si="28"/>
        <v>0</v>
      </c>
      <c r="H58" s="30">
        <f t="shared" si="29"/>
        <v>0</v>
      </c>
      <c r="J58" s="31">
        <f>COUNTIFS(DATA_CURRENT!$B:$B,"Unresolved (Aug)",DATA_CURRENT!$H:$H,$A58)</f>
        <v>0</v>
      </c>
      <c r="K58" s="32">
        <f>SUMIFS(DATA_CURRENT!$V:$V,DATA_CURRENT!$H:$H,$A58,DATA_CURRENT!$B:$B,"Unresolved (Aug)")</f>
        <v>0</v>
      </c>
      <c r="L58" s="31">
        <f>COUNTIFS(DATA_CURRENT!$B:$B,"Unresolved (Oct)",DATA_CURRENT!$H:$H,$A58)</f>
        <v>0</v>
      </c>
      <c r="M58" s="32">
        <f>SUMIFS(DATA_CURRENT!$V:$V,DATA_CURRENT!$H:$H,$A58,DATA_CURRENT!$B:$B,"Unresolved (Oct)")</f>
        <v>0</v>
      </c>
      <c r="N58" s="31">
        <f>COUNTIFS(DATA_CURRENT!$B:$B,"Unresolved (Nov)",DATA_CURRENT!$H:$H,$A58)</f>
        <v>0</v>
      </c>
      <c r="O58" s="32">
        <f>SUMIFS(DATA_CURRENT!$V:$V,DATA_CURRENT!$H:$H,$A58,DATA_CURRENT!$B:$B,"Unresolved (Nov)")</f>
        <v>0</v>
      </c>
      <c r="P58" s="31">
        <f>COUNTIFS(DATA_CURRENT!$B:$B,"Unresolved (Dec)",DATA_CURRENT!$H:$H,$A58)</f>
        <v>0</v>
      </c>
      <c r="Q58" s="32">
        <f>SUMIFS(DATA_CURRENT!$V:$V,DATA_CURRENT!$H:$H,$A58,DATA_CURRENT!$B:$B,"Unresolved (Dec)")</f>
        <v>0</v>
      </c>
      <c r="R58" s="31">
        <f>COUNTIFS(DATA_CURRENT!$B:$B,"Unresolved (Jan)",DATA_CURRENT!$H:$H,$A58)</f>
        <v>0</v>
      </c>
      <c r="S58" s="32">
        <f>SUMIFS(DATA_CURRENT!$V:$V,DATA_CURRENT!$H:$H,$A58,DATA_CURRENT!$B:$B,"Unresolved (Jan)")</f>
        <v>0</v>
      </c>
      <c r="T58" s="31">
        <f>COUNTIFS(DATA_CURRENT!$B:$B,"Unresolved (Feb)",DATA_CURRENT!$H:$H,$A58)</f>
        <v>0</v>
      </c>
      <c r="U58" s="32">
        <f>SUMIFS(DATA_CURRENT!$V:$V,DATA_CURRENT!$H:$H,$A58,DATA_CURRENT!$B:$B,"Unresolved (Feb)")</f>
        <v>0</v>
      </c>
      <c r="V58" s="31">
        <f>COUNTIFS(DATA_CURRENT!$B:$B,"Unresolved (Mar)",DATA_CURRENT!$H:$H,$A58)</f>
        <v>0</v>
      </c>
      <c r="W58" s="32">
        <f>SUMIFS(DATA_CURRENT!$V:$V,DATA_CURRENT!$H:$H,$A58,DATA_CURRENT!$B:$B,"Unresolved (Mar)")</f>
        <v>0</v>
      </c>
      <c r="X58" s="31">
        <f>COUNTIFS(DATA_CURRENT!$B:$B,"Unresolved (Apr)",DATA_CURRENT!$H:$H,$A58)</f>
        <v>0</v>
      </c>
      <c r="Y58" s="32">
        <f>SUMIFS(DATA_CURRENT!$V:$V,DATA_CURRENT!$H:$H,$A58,DATA_CURRENT!$B:$B,"Unresolved (Apr)")</f>
        <v>0</v>
      </c>
      <c r="Z58" s="31">
        <f>COUNTIFS(DATA_CURRENT!$B:$B,"Unresolved (May)",DATA_CURRENT!$H:$H,$A58)</f>
        <v>0</v>
      </c>
      <c r="AA58" s="32">
        <f>SUMIFS(DATA_CURRENT!$V:$V,DATA_CURRENT!$H:$H,$A58,DATA_CURRENT!$B:$B,"Unresolved (May)")</f>
        <v>0</v>
      </c>
      <c r="AB58" s="29">
        <f>COUNTIFS(DATA_CURRENT!$B:$B,"Added",DATA_CURRENT!$H:$H,$A58)</f>
        <v>0</v>
      </c>
      <c r="AC58" s="30">
        <f>SUMIFS(DATA_CURRENT!$V:$V,DATA_CURRENT!$H:$H,$A58,DATA_CURRENT!$B:$B,"Added")</f>
        <v>0</v>
      </c>
      <c r="AE58" s="29">
        <f t="shared" si="30"/>
        <v>0</v>
      </c>
      <c r="AF58" s="30">
        <f t="shared" si="31"/>
        <v>0</v>
      </c>
      <c r="AH58" s="28" t="s">
        <v>24</v>
      </c>
      <c r="AI58" s="77">
        <f>SUMIFS(DATA_CURRENT!$V:$V,DATA_CURRENT!$H:$H,$A58,DATA_CURRENT!$X:$X,AI$5)</f>
        <v>0</v>
      </c>
      <c r="AJ58" s="77">
        <f>SUMIFS(DATA_CURRENT!$V:$V,DATA_CURRENT!$H:$H,$A58,DATA_CURRENT!$X:$X,AJ$5)</f>
        <v>0</v>
      </c>
      <c r="AK58" s="77">
        <f>SUMIFS(DATA_CURRENT!$V:$V,DATA_CURRENT!$H:$H,$A58,DATA_CURRENT!$X:$X,AK$5)</f>
        <v>0</v>
      </c>
      <c r="AL58" s="77">
        <f>SUMIFS(DATA_CURRENT!$V:$V,DATA_CURRENT!$H:$H,$A58,DATA_CURRENT!$X:$X,AL$5)</f>
        <v>0</v>
      </c>
      <c r="AM58" s="77">
        <f>SUMIFS(DATA_CURRENT!$V:$V,DATA_CURRENT!$H:$H,$A58,DATA_CURRENT!$X:$X,AM$5)</f>
        <v>0</v>
      </c>
      <c r="AN58" s="26">
        <f>SUM(AI58:AM58)</f>
        <v>0</v>
      </c>
      <c r="AO58" s="33">
        <f>SUMIFS(DATA_CURRENT!$V:$V,DATA_CURRENT!$H:$H,$A58,DATA_CURRENT!$X:$X,AO$5)</f>
        <v>0</v>
      </c>
      <c r="AP58" s="33">
        <f>SUMIFS(DATA_CURRENT!$V:$V,DATA_CURRENT!$H:$H,$A58,DATA_CURRENT!$X:$X,AP$5)</f>
        <v>0</v>
      </c>
      <c r="AQ58" s="30">
        <f>SUM(AN58:AP58)</f>
        <v>0</v>
      </c>
    </row>
    <row r="59" spans="1:43" x14ac:dyDescent="0.25">
      <c r="A59" s="18" t="s">
        <v>18</v>
      </c>
      <c r="C59" s="28" t="s">
        <v>18</v>
      </c>
      <c r="D59" s="29">
        <f>COUNTIF(DATA_PRIOR!$H:$H,A59)</f>
        <v>9</v>
      </c>
      <c r="E59" s="30">
        <f>SUMIF(DATA_PRIOR!$H:$H,A59,DATA_PRIOR!$V:$V)</f>
        <v>155.44999999999999</v>
      </c>
      <c r="G59" s="29">
        <f t="shared" si="28"/>
        <v>-7</v>
      </c>
      <c r="H59" s="30">
        <f t="shared" si="29"/>
        <v>-167.82</v>
      </c>
      <c r="J59" s="31">
        <f>COUNTIFS(DATA_CURRENT!$B:$B,"Unresolved (Aug)",DATA_CURRENT!$H:$H,$A59)</f>
        <v>1</v>
      </c>
      <c r="K59" s="32">
        <f>SUMIFS(DATA_CURRENT!$V:$V,DATA_CURRENT!$H:$H,$A59,DATA_CURRENT!$B:$B,"Unresolved (Aug)")</f>
        <v>-6.18</v>
      </c>
      <c r="L59" s="31">
        <f>COUNTIFS(DATA_CURRENT!$B:$B,"Unresolved (Oct)",DATA_CURRENT!$H:$H,$A59)</f>
        <v>0</v>
      </c>
      <c r="M59" s="32">
        <f>SUMIFS(DATA_CURRENT!$V:$V,DATA_CURRENT!$H:$H,$A59,DATA_CURRENT!$B:$B,"Unresolved (Oct)")</f>
        <v>0</v>
      </c>
      <c r="N59" s="31">
        <f>COUNTIFS(DATA_CURRENT!$B:$B,"Unresolved (Nov)",DATA_CURRENT!$H:$H,$A59)</f>
        <v>0</v>
      </c>
      <c r="O59" s="32">
        <f>SUMIFS(DATA_CURRENT!$V:$V,DATA_CURRENT!$H:$H,$A59,DATA_CURRENT!$B:$B,"Unresolved (Nov)")</f>
        <v>0</v>
      </c>
      <c r="P59" s="31">
        <f>COUNTIFS(DATA_CURRENT!$B:$B,"Unresolved (Dec)",DATA_CURRENT!$H:$H,$A59)</f>
        <v>0</v>
      </c>
      <c r="Q59" s="32">
        <f>SUMIFS(DATA_CURRENT!$V:$V,DATA_CURRENT!$H:$H,$A59,DATA_CURRENT!$B:$B,"Unresolved (Dec)")</f>
        <v>0</v>
      </c>
      <c r="R59" s="31">
        <f>COUNTIFS(DATA_CURRENT!$B:$B,"Unresolved (Jan)",DATA_CURRENT!$H:$H,$A59)</f>
        <v>0</v>
      </c>
      <c r="S59" s="32">
        <f>SUMIFS(DATA_CURRENT!$V:$V,DATA_CURRENT!$H:$H,$A59,DATA_CURRENT!$B:$B,"Unresolved (Jan)")</f>
        <v>0</v>
      </c>
      <c r="T59" s="31">
        <f>COUNTIFS(DATA_CURRENT!$B:$B,"Unresolved (Feb)",DATA_CURRENT!$H:$H,$A59)</f>
        <v>0</v>
      </c>
      <c r="U59" s="32">
        <f>SUMIFS(DATA_CURRENT!$V:$V,DATA_CURRENT!$H:$H,$A59,DATA_CURRENT!$B:$B,"Unresolved (Feb)")</f>
        <v>0</v>
      </c>
      <c r="V59" s="31">
        <f>COUNTIFS(DATA_CURRENT!$B:$B,"Unresolved (Mar)",DATA_CURRENT!$H:$H,$A59)</f>
        <v>0</v>
      </c>
      <c r="W59" s="32">
        <f>SUMIFS(DATA_CURRENT!$V:$V,DATA_CURRENT!$H:$H,$A59,DATA_CURRENT!$B:$B,"Unresolved (Mar)")</f>
        <v>0</v>
      </c>
      <c r="X59" s="31">
        <f>COUNTIFS(DATA_CURRENT!$B:$B,"Unresolved (Apr)",DATA_CURRENT!$H:$H,$A59)</f>
        <v>0</v>
      </c>
      <c r="Y59" s="32">
        <f>SUMIFS(DATA_CURRENT!$V:$V,DATA_CURRENT!$H:$H,$A59,DATA_CURRENT!$B:$B,"Unresolved (Apr)")</f>
        <v>0</v>
      </c>
      <c r="Z59" s="31">
        <f>COUNTIFS(DATA_CURRENT!$B:$B,"Unresolved (May)",DATA_CURRENT!$H:$H,$A59)</f>
        <v>1</v>
      </c>
      <c r="AA59" s="32">
        <f>SUMIFS(DATA_CURRENT!$V:$V,DATA_CURRENT!$H:$H,$A59,DATA_CURRENT!$B:$B,"Unresolved (May)")</f>
        <v>-6.19</v>
      </c>
      <c r="AB59" s="29">
        <f>COUNTIFS(DATA_CURRENT!$B:$B,"Added",DATA_CURRENT!$H:$H,$A59)</f>
        <v>6</v>
      </c>
      <c r="AC59" s="30">
        <f>SUMIFS(DATA_CURRENT!$V:$V,DATA_CURRENT!$H:$H,$A59,DATA_CURRENT!$B:$B,"Added")</f>
        <v>167.48</v>
      </c>
      <c r="AE59" s="29">
        <f t="shared" si="30"/>
        <v>8</v>
      </c>
      <c r="AF59" s="30">
        <f t="shared" si="31"/>
        <v>155.10999999999999</v>
      </c>
      <c r="AH59" s="28" t="s">
        <v>26</v>
      </c>
      <c r="AI59" s="77">
        <f>SUMIFS(DATA_CURRENT!$V:$V,DATA_CURRENT!$H:$H,$A59,DATA_CURRENT!$X:$X,AI$5)</f>
        <v>0</v>
      </c>
      <c r="AJ59" s="77">
        <f>SUMIFS(DATA_CURRENT!$V:$V,DATA_CURRENT!$H:$H,$A59,DATA_CURRENT!$X:$X,AJ$5)</f>
        <v>12.7</v>
      </c>
      <c r="AK59" s="77">
        <f>SUMIFS(DATA_CURRENT!$V:$V,DATA_CURRENT!$H:$H,$A59,DATA_CURRENT!$X:$X,AK$5)</f>
        <v>0</v>
      </c>
      <c r="AL59" s="77">
        <f>SUMIFS(DATA_CURRENT!$V:$V,DATA_CURRENT!$H:$H,$A59,DATA_CURRENT!$X:$X,AL$5)</f>
        <v>12.649999999999999</v>
      </c>
      <c r="AM59" s="77">
        <f>SUMIFS(DATA_CURRENT!$V:$V,DATA_CURRENT!$H:$H,$A59,DATA_CURRENT!$X:$X,AM$5)</f>
        <v>0</v>
      </c>
      <c r="AN59" s="33">
        <f t="shared" si="32"/>
        <v>25.349999999999998</v>
      </c>
      <c r="AO59" s="26">
        <f>SUMIFS(DATA_CURRENT!$V:$V,DATA_CURRENT!$H:$H,$A59,DATA_CURRENT!$X:$X,AO$5)</f>
        <v>129.76</v>
      </c>
      <c r="AP59" s="26">
        <f>SUMIFS(DATA_CURRENT!$V:$V,DATA_CURRENT!$H:$H,$A59,DATA_CURRENT!$X:$X,AP$5)</f>
        <v>0</v>
      </c>
      <c r="AQ59" s="30">
        <f t="shared" si="33"/>
        <v>155.10999999999999</v>
      </c>
    </row>
    <row r="60" spans="1:43" x14ac:dyDescent="0.25">
      <c r="C60" s="34" t="s">
        <v>12</v>
      </c>
      <c r="D60" s="35">
        <f>SUM(D49:D59)</f>
        <v>169</v>
      </c>
      <c r="E60" s="36">
        <f>SUM(E49:E59)</f>
        <v>1776.5800000000002</v>
      </c>
      <c r="G60" s="35">
        <f t="shared" si="28"/>
        <v>-85</v>
      </c>
      <c r="H60" s="36">
        <f t="shared" si="29"/>
        <v>-1146.2000000000003</v>
      </c>
      <c r="J60" s="37">
        <f t="shared" ref="J60:W60" si="34">SUM(J49:J59)</f>
        <v>1</v>
      </c>
      <c r="K60" s="38">
        <f t="shared" si="34"/>
        <v>-6.18</v>
      </c>
      <c r="L60" s="37">
        <f t="shared" si="34"/>
        <v>0</v>
      </c>
      <c r="M60" s="38">
        <f t="shared" si="34"/>
        <v>0</v>
      </c>
      <c r="N60" s="37">
        <f t="shared" si="34"/>
        <v>0</v>
      </c>
      <c r="O60" s="38">
        <f t="shared" si="34"/>
        <v>0</v>
      </c>
      <c r="P60" s="37">
        <f t="shared" si="34"/>
        <v>0</v>
      </c>
      <c r="Q60" s="38">
        <f t="shared" si="34"/>
        <v>0</v>
      </c>
      <c r="R60" s="37">
        <f t="shared" si="34"/>
        <v>6</v>
      </c>
      <c r="S60" s="38">
        <f t="shared" si="34"/>
        <v>58.28</v>
      </c>
      <c r="T60" s="37">
        <f t="shared" si="34"/>
        <v>0</v>
      </c>
      <c r="U60" s="38">
        <f t="shared" si="34"/>
        <v>0</v>
      </c>
      <c r="V60" s="37">
        <f t="shared" si="34"/>
        <v>2</v>
      </c>
      <c r="W60" s="38">
        <f t="shared" si="34"/>
        <v>39.880000000000003</v>
      </c>
      <c r="X60" s="37">
        <f t="shared" ref="X60:AA60" si="35">SUM(X49:X59)</f>
        <v>6</v>
      </c>
      <c r="Y60" s="38">
        <f t="shared" si="35"/>
        <v>7.52</v>
      </c>
      <c r="Z60" s="36">
        <f t="shared" si="35"/>
        <v>69</v>
      </c>
      <c r="AA60" s="38">
        <f t="shared" si="35"/>
        <v>530.88</v>
      </c>
      <c r="AB60" s="35">
        <f>SUM(AB49:AB59)</f>
        <v>35</v>
      </c>
      <c r="AC60" s="36">
        <f>SUM(AC49:AC59)</f>
        <v>705.7700000000001</v>
      </c>
      <c r="AE60" s="35">
        <f t="shared" si="30"/>
        <v>119</v>
      </c>
      <c r="AF60" s="36">
        <f t="shared" si="31"/>
        <v>1336.15</v>
      </c>
      <c r="AH60" s="34" t="s">
        <v>12</v>
      </c>
      <c r="AI60" s="36">
        <f>SUM(AI49:AI59)</f>
        <v>243.29</v>
      </c>
      <c r="AJ60" s="36">
        <f t="shared" ref="AJ60:AQ60" si="36">SUM(AJ49:AJ59)</f>
        <v>19.13</v>
      </c>
      <c r="AK60" s="36">
        <f t="shared" si="36"/>
        <v>312.76000000000005</v>
      </c>
      <c r="AL60" s="36">
        <f t="shared" si="36"/>
        <v>75.5</v>
      </c>
      <c r="AM60" s="36">
        <f t="shared" si="36"/>
        <v>-0.2</v>
      </c>
      <c r="AN60" s="36">
        <f t="shared" si="36"/>
        <v>650.48000000000013</v>
      </c>
      <c r="AO60" s="36">
        <f t="shared" si="36"/>
        <v>237.55</v>
      </c>
      <c r="AP60" s="36">
        <f t="shared" si="36"/>
        <v>448.11999999999989</v>
      </c>
      <c r="AQ60" s="36">
        <f t="shared" si="36"/>
        <v>1336.1499999999999</v>
      </c>
    </row>
    <row r="61" spans="1:43" ht="15.75" thickBot="1" x14ac:dyDescent="0.3">
      <c r="J61" s="41"/>
      <c r="K61" s="42"/>
      <c r="L61" s="41"/>
      <c r="M61" s="42"/>
      <c r="N61" s="41"/>
      <c r="O61" s="42"/>
      <c r="P61" s="41"/>
      <c r="Q61" s="42"/>
      <c r="R61" s="41"/>
      <c r="S61" s="42"/>
      <c r="T61" s="41"/>
      <c r="U61" s="42"/>
      <c r="V61" s="41"/>
      <c r="W61" s="42"/>
      <c r="X61" s="41"/>
      <c r="Y61" s="42"/>
      <c r="Z61" s="41"/>
      <c r="AA61" s="6"/>
    </row>
    <row r="62" spans="1:43" ht="15.75" thickTop="1" x14ac:dyDescent="0.25">
      <c r="AA62" s="96"/>
    </row>
    <row r="63" spans="1:43" x14ac:dyDescent="0.25">
      <c r="D63">
        <f>D39-D60</f>
        <v>0</v>
      </c>
      <c r="E63">
        <f>E39-E60</f>
        <v>0</v>
      </c>
      <c r="G63">
        <f>G39-G60</f>
        <v>0</v>
      </c>
      <c r="H63" s="87">
        <f>H39-H60</f>
        <v>0</v>
      </c>
      <c r="I63" s="86"/>
      <c r="J63">
        <f t="shared" ref="J63:S63" si="37">J39-J60</f>
        <v>0</v>
      </c>
      <c r="K63">
        <f t="shared" si="37"/>
        <v>0</v>
      </c>
      <c r="L63">
        <f t="shared" si="37"/>
        <v>0</v>
      </c>
      <c r="M63">
        <f t="shared" si="37"/>
        <v>0</v>
      </c>
      <c r="N63">
        <f t="shared" si="37"/>
        <v>0</v>
      </c>
      <c r="O63">
        <f t="shared" si="37"/>
        <v>0</v>
      </c>
      <c r="P63">
        <f t="shared" si="37"/>
        <v>0</v>
      </c>
      <c r="Q63">
        <f t="shared" si="37"/>
        <v>0</v>
      </c>
      <c r="R63">
        <f t="shared" si="37"/>
        <v>0</v>
      </c>
      <c r="S63">
        <f t="shared" si="37"/>
        <v>0</v>
      </c>
      <c r="AB63">
        <f>AB39-AB60</f>
        <v>0</v>
      </c>
      <c r="AC63">
        <f>AC39-AC60</f>
        <v>0</v>
      </c>
      <c r="AE63">
        <f>AE39-AE60</f>
        <v>0</v>
      </c>
      <c r="AF63">
        <f>AF39-AF60</f>
        <v>0</v>
      </c>
      <c r="AI63">
        <f t="shared" ref="AI63:AQ63" si="38">AI39-AI60</f>
        <v>0</v>
      </c>
      <c r="AJ63">
        <f t="shared" si="38"/>
        <v>0</v>
      </c>
      <c r="AK63">
        <f t="shared" si="38"/>
        <v>0</v>
      </c>
      <c r="AL63">
        <f t="shared" si="38"/>
        <v>0</v>
      </c>
      <c r="AM63">
        <f t="shared" si="38"/>
        <v>0</v>
      </c>
      <c r="AN63">
        <f t="shared" si="38"/>
        <v>0</v>
      </c>
      <c r="AO63">
        <f t="shared" si="38"/>
        <v>0</v>
      </c>
      <c r="AP63">
        <f t="shared" si="38"/>
        <v>0</v>
      </c>
      <c r="AQ63">
        <f t="shared" si="38"/>
        <v>0</v>
      </c>
    </row>
  </sheetData>
  <mergeCells count="39">
    <mergeCell ref="AE46:AF46"/>
    <mergeCell ref="D22:E22"/>
    <mergeCell ref="G22:H22"/>
    <mergeCell ref="J22:K22"/>
    <mergeCell ref="P46:Q46"/>
    <mergeCell ref="V46:W46"/>
    <mergeCell ref="R46:S46"/>
    <mergeCell ref="T46:U46"/>
    <mergeCell ref="AB46:AC46"/>
    <mergeCell ref="D46:E46"/>
    <mergeCell ref="G46:H46"/>
    <mergeCell ref="J46:K46"/>
    <mergeCell ref="L46:M46"/>
    <mergeCell ref="N46:O46"/>
    <mergeCell ref="L22:M22"/>
    <mergeCell ref="Z46:AA46"/>
    <mergeCell ref="AB3:AC3"/>
    <mergeCell ref="AE3:AF3"/>
    <mergeCell ref="P22:Q22"/>
    <mergeCell ref="P3:Q3"/>
    <mergeCell ref="V3:W3"/>
    <mergeCell ref="V22:W22"/>
    <mergeCell ref="R22:S22"/>
    <mergeCell ref="T22:U22"/>
    <mergeCell ref="AB22:AC22"/>
    <mergeCell ref="AE22:AF22"/>
    <mergeCell ref="X3:Y3"/>
    <mergeCell ref="X22:Y22"/>
    <mergeCell ref="Z3:AA3"/>
    <mergeCell ref="Z22:AA22"/>
    <mergeCell ref="R3:S3"/>
    <mergeCell ref="T3:U3"/>
    <mergeCell ref="X46:Y46"/>
    <mergeCell ref="L3:M3"/>
    <mergeCell ref="J3:K3"/>
    <mergeCell ref="D3:E3"/>
    <mergeCell ref="G3:H3"/>
    <mergeCell ref="N22:O22"/>
    <mergeCell ref="N3:O3"/>
  </mergeCells>
  <conditionalFormatting sqref="AW26:AX33 AX25 AY25:AZ33 AW24:AW25 AS34:AZ39 BB25:BB39 AB6:AF17 AB49:AF60 AI6:AQ17 AI25:AQ39 H18 AB25:AF39 AS25:AV33 AE19:AF19 J39:AA39 D25:U39 D6:U17 D49:U60 AE18">
    <cfRule type="cellIs" dxfId="46" priority="66" operator="equal">
      <formula>0</formula>
    </cfRule>
  </conditionalFormatting>
  <conditionalFormatting sqref="AI60:AQ60 AN49:AQ59">
    <cfRule type="cellIs" dxfId="45" priority="65" operator="equal">
      <formula>0</formula>
    </cfRule>
  </conditionalFormatting>
  <conditionalFormatting sqref="J49:K60">
    <cfRule type="cellIs" dxfId="44" priority="54" operator="equal">
      <formula>0</formula>
    </cfRule>
  </conditionalFormatting>
  <conditionalFormatting sqref="N49:O60">
    <cfRule type="cellIs" dxfId="43" priority="51" operator="equal">
      <formula>0</formula>
    </cfRule>
  </conditionalFormatting>
  <conditionalFormatting sqref="L49:U60">
    <cfRule type="cellIs" dxfId="42" priority="50" operator="equal">
      <formula>0</formula>
    </cfRule>
  </conditionalFormatting>
  <conditionalFormatting sqref="V49:W60 V25:W39 V6:W17">
    <cfRule type="cellIs" dxfId="41" priority="49" operator="equal">
      <formula>0</formula>
    </cfRule>
  </conditionalFormatting>
  <conditionalFormatting sqref="V49:W60">
    <cfRule type="cellIs" dxfId="40" priority="48" operator="equal">
      <formula>0</formula>
    </cfRule>
  </conditionalFormatting>
  <conditionalFormatting sqref="X6:Y17 X25:AA39 X49:AA60">
    <cfRule type="cellIs" dxfId="39" priority="46" operator="equal">
      <formula>0</formula>
    </cfRule>
  </conditionalFormatting>
  <conditionalFormatting sqref="X49:AA60">
    <cfRule type="cellIs" dxfId="38" priority="45" operator="equal">
      <formula>0</formula>
    </cfRule>
  </conditionalFormatting>
  <conditionalFormatting sqref="AI49:AM59">
    <cfRule type="cellIs" dxfId="37" priority="44" operator="equal">
      <formula>0</formula>
    </cfRule>
  </conditionalFormatting>
  <conditionalFormatting sqref="V17:W17">
    <cfRule type="cellIs" dxfId="36" priority="42" operator="equal">
      <formula>0</formula>
    </cfRule>
  </conditionalFormatting>
  <conditionalFormatting sqref="X17:Y17">
    <cfRule type="cellIs" dxfId="35" priority="41" operator="equal">
      <formula>0</formula>
    </cfRule>
  </conditionalFormatting>
  <conditionalFormatting sqref="T6:U17">
    <cfRule type="cellIs" dxfId="34" priority="39" operator="equal">
      <formula>0</formula>
    </cfRule>
  </conditionalFormatting>
  <conditionalFormatting sqref="V6:W17">
    <cfRule type="cellIs" dxfId="33" priority="38" operator="equal">
      <formula>0</formula>
    </cfRule>
  </conditionalFormatting>
  <conditionalFormatting sqref="T17:U17">
    <cfRule type="cellIs" dxfId="32" priority="37" operator="equal">
      <formula>0</formula>
    </cfRule>
  </conditionalFormatting>
  <conditionalFormatting sqref="V17:W17">
    <cfRule type="cellIs" dxfId="31" priority="36" operator="equal">
      <formula>0</formula>
    </cfRule>
  </conditionalFormatting>
  <conditionalFormatting sqref="T25:U39">
    <cfRule type="cellIs" dxfId="30" priority="35" operator="equal">
      <formula>0</formula>
    </cfRule>
  </conditionalFormatting>
  <conditionalFormatting sqref="V25:W39">
    <cfRule type="cellIs" dxfId="29" priority="34" operator="equal">
      <formula>0</formula>
    </cfRule>
  </conditionalFormatting>
  <conditionalFormatting sqref="L49:M60">
    <cfRule type="cellIs" dxfId="28" priority="33" operator="equal">
      <formula>0</formula>
    </cfRule>
  </conditionalFormatting>
  <conditionalFormatting sqref="T49:U60">
    <cfRule type="cellIs" dxfId="27" priority="32" operator="equal">
      <formula>0</formula>
    </cfRule>
  </conditionalFormatting>
  <conditionalFormatting sqref="T49:U60">
    <cfRule type="cellIs" dxfId="26" priority="31" operator="equal">
      <formula>0</formula>
    </cfRule>
  </conditionalFormatting>
  <conditionalFormatting sqref="V49:W60">
    <cfRule type="cellIs" dxfId="25" priority="30" operator="equal">
      <formula>0</formula>
    </cfRule>
  </conditionalFormatting>
  <conditionalFormatting sqref="V49:W60">
    <cfRule type="cellIs" dxfId="24" priority="29" operator="equal">
      <formula>0</formula>
    </cfRule>
  </conditionalFormatting>
  <conditionalFormatting sqref="T6:U17">
    <cfRule type="cellIs" dxfId="23" priority="26" operator="equal">
      <formula>0</formula>
    </cfRule>
  </conditionalFormatting>
  <conditionalFormatting sqref="T17:U17">
    <cfRule type="cellIs" dxfId="22" priority="25" operator="equal">
      <formula>0</formula>
    </cfRule>
  </conditionalFormatting>
  <conditionalFormatting sqref="R6:S17">
    <cfRule type="cellIs" dxfId="21" priority="24" operator="equal">
      <formula>0</formula>
    </cfRule>
  </conditionalFormatting>
  <conditionalFormatting sqref="T6:U17">
    <cfRule type="cellIs" dxfId="20" priority="23" operator="equal">
      <formula>0</formula>
    </cfRule>
  </conditionalFormatting>
  <conditionalFormatting sqref="R17:S17">
    <cfRule type="cellIs" dxfId="19" priority="22" operator="equal">
      <formula>0</formula>
    </cfRule>
  </conditionalFormatting>
  <conditionalFormatting sqref="T17:U17">
    <cfRule type="cellIs" dxfId="18" priority="21" operator="equal">
      <formula>0</formula>
    </cfRule>
  </conditionalFormatting>
  <conditionalFormatting sqref="V6:W17">
    <cfRule type="cellIs" dxfId="17" priority="20" operator="equal">
      <formula>0</formula>
    </cfRule>
  </conditionalFormatting>
  <conditionalFormatting sqref="V17:W17">
    <cfRule type="cellIs" dxfId="16" priority="19" operator="equal">
      <formula>0</formula>
    </cfRule>
  </conditionalFormatting>
  <conditionalFormatting sqref="T25:U39">
    <cfRule type="cellIs" dxfId="15" priority="18" operator="equal">
      <formula>0</formula>
    </cfRule>
  </conditionalFormatting>
  <conditionalFormatting sqref="V25:W39">
    <cfRule type="cellIs" dxfId="14" priority="17" operator="equal">
      <formula>0</formula>
    </cfRule>
  </conditionalFormatting>
  <conditionalFormatting sqref="R25:S39">
    <cfRule type="cellIs" dxfId="13" priority="16" operator="equal">
      <formula>0</formula>
    </cfRule>
  </conditionalFormatting>
  <conditionalFormatting sqref="T25:U39">
    <cfRule type="cellIs" dxfId="12" priority="15" operator="equal">
      <formula>0</formula>
    </cfRule>
  </conditionalFormatting>
  <conditionalFormatting sqref="L49:M60">
    <cfRule type="cellIs" dxfId="11" priority="14" operator="equal">
      <formula>0</formula>
    </cfRule>
  </conditionalFormatting>
  <conditionalFormatting sqref="T49:U60">
    <cfRule type="cellIs" dxfId="10" priority="13" operator="equal">
      <formula>0</formula>
    </cfRule>
  </conditionalFormatting>
  <conditionalFormatting sqref="T49:U60">
    <cfRule type="cellIs" dxfId="9" priority="12" operator="equal">
      <formula>0</formula>
    </cfRule>
  </conditionalFormatting>
  <conditionalFormatting sqref="V49:W60">
    <cfRule type="cellIs" dxfId="8" priority="11" operator="equal">
      <formula>0</formula>
    </cfRule>
  </conditionalFormatting>
  <conditionalFormatting sqref="V49:W60">
    <cfRule type="cellIs" dxfId="7" priority="10" operator="equal">
      <formula>0</formula>
    </cfRule>
  </conditionalFormatting>
  <conditionalFormatting sqref="J49:K60">
    <cfRule type="cellIs" dxfId="6" priority="9" operator="equal">
      <formula>0</formula>
    </cfRule>
  </conditionalFormatting>
  <conditionalFormatting sqref="R49:S60">
    <cfRule type="cellIs" dxfId="5" priority="8" operator="equal">
      <formula>0</formula>
    </cfRule>
  </conditionalFormatting>
  <conditionalFormatting sqref="R49:S60">
    <cfRule type="cellIs" dxfId="4" priority="7" operator="equal">
      <formula>0</formula>
    </cfRule>
  </conditionalFormatting>
  <conditionalFormatting sqref="T49:U60">
    <cfRule type="cellIs" dxfId="3" priority="6" operator="equal">
      <formula>0</formula>
    </cfRule>
  </conditionalFormatting>
  <conditionalFormatting sqref="T49:U60">
    <cfRule type="cellIs" dxfId="2" priority="5" operator="equal">
      <formula>0</formula>
    </cfRule>
  </conditionalFormatting>
  <conditionalFormatting sqref="Z6:AA17">
    <cfRule type="cellIs" dxfId="1" priority="2" operator="equal">
      <formula>0</formula>
    </cfRule>
  </conditionalFormatting>
  <conditionalFormatting sqref="Z17:AA17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9"/>
  <sheetViews>
    <sheetView showGridLines="0" topLeftCell="B1" zoomScale="90" zoomScaleNormal="90" workbookViewId="0">
      <selection activeCell="I17" sqref="I17"/>
    </sheetView>
  </sheetViews>
  <sheetFormatPr defaultRowHeight="15" x14ac:dyDescent="0.25"/>
  <cols>
    <col min="1" max="1" width="3.28515625" customWidth="1"/>
    <col min="2" max="2" width="21.42578125" bestFit="1" customWidth="1"/>
    <col min="9" max="9" width="19.85546875" bestFit="1" customWidth="1"/>
    <col min="10" max="10" width="102.28515625" bestFit="1" customWidth="1"/>
  </cols>
  <sheetData>
    <row r="1" spans="2:10" ht="15.75" thickBot="1" x14ac:dyDescent="0.3"/>
    <row r="2" spans="2:10" x14ac:dyDescent="0.25">
      <c r="B2" s="61"/>
      <c r="C2" s="99" t="s">
        <v>258</v>
      </c>
      <c r="D2" s="90"/>
      <c r="E2" s="150" t="s">
        <v>280</v>
      </c>
      <c r="F2" s="151"/>
      <c r="G2" s="150" t="s">
        <v>469</v>
      </c>
      <c r="H2" s="151"/>
      <c r="I2" s="62"/>
      <c r="J2" s="63"/>
    </row>
    <row r="3" spans="2:10" x14ac:dyDescent="0.25">
      <c r="B3" s="64"/>
      <c r="C3" s="58" t="s">
        <v>185</v>
      </c>
      <c r="D3" s="58" t="s">
        <v>151</v>
      </c>
      <c r="E3" s="58" t="s">
        <v>185</v>
      </c>
      <c r="F3" s="58" t="s">
        <v>151</v>
      </c>
      <c r="G3" s="58" t="s">
        <v>185</v>
      </c>
      <c r="H3" s="58" t="s">
        <v>151</v>
      </c>
      <c r="I3" s="58" t="s">
        <v>158</v>
      </c>
      <c r="J3" s="65" t="s">
        <v>154</v>
      </c>
    </row>
    <row r="4" spans="2:10" ht="30" x14ac:dyDescent="0.25">
      <c r="B4" s="67" t="s">
        <v>37</v>
      </c>
      <c r="C4" s="52">
        <v>484.49</v>
      </c>
      <c r="D4" s="52">
        <v>29</v>
      </c>
      <c r="E4" s="52">
        <v>484.49</v>
      </c>
      <c r="F4" s="52">
        <v>29</v>
      </c>
      <c r="G4" s="52">
        <f>(((VLOOKUP(B4,Summary!$A$23:$AF$39,32,FALSE)))/1000)*1000</f>
        <v>132.54000000000002</v>
      </c>
      <c r="H4" s="52">
        <f>(VLOOKUP(B4,Summary!$A$23:$AF$39,31,FALSE))</f>
        <v>7</v>
      </c>
      <c r="I4" s="52">
        <f t="shared" ref="I4:I16" si="0">-E4+G4</f>
        <v>-351.95</v>
      </c>
      <c r="J4" s="100" t="s">
        <v>470</v>
      </c>
    </row>
    <row r="5" spans="2:10" x14ac:dyDescent="0.25">
      <c r="B5" s="67" t="s">
        <v>43</v>
      </c>
      <c r="C5" s="52">
        <v>123.43</v>
      </c>
      <c r="D5" s="52">
        <v>7</v>
      </c>
      <c r="E5" s="52">
        <v>123.43</v>
      </c>
      <c r="F5" s="52">
        <v>7</v>
      </c>
      <c r="G5" s="52">
        <f>(((VLOOKUP(B5,Summary!$A$23:$AF$39,32,FALSE)))/1000)*1000</f>
        <v>236.66</v>
      </c>
      <c r="H5" s="52">
        <f>(VLOOKUP(B5,Summary!$A$23:$AF$39,31,FALSE))</f>
        <v>7</v>
      </c>
      <c r="I5" s="52">
        <f t="shared" si="0"/>
        <v>113.22999999999999</v>
      </c>
      <c r="J5" s="100" t="s">
        <v>471</v>
      </c>
    </row>
    <row r="6" spans="2:10" x14ac:dyDescent="0.25">
      <c r="B6" s="64" t="s">
        <v>45</v>
      </c>
      <c r="C6" s="52">
        <v>386.23</v>
      </c>
      <c r="D6" s="52">
        <v>11</v>
      </c>
      <c r="E6" s="52">
        <v>386.23</v>
      </c>
      <c r="F6" s="52">
        <v>11</v>
      </c>
      <c r="G6" s="52">
        <f>(((VLOOKUP(B6,Summary!$A$23:$AF$39,32,FALSE)))/1000)*1000</f>
        <v>261.22000000000003</v>
      </c>
      <c r="H6" s="52">
        <f>(VLOOKUP(B6,Summary!$A$23:$AF$39,31,FALSE))</f>
        <v>2</v>
      </c>
      <c r="I6" s="52">
        <f t="shared" si="0"/>
        <v>-125.00999999999999</v>
      </c>
      <c r="J6" s="66" t="s">
        <v>472</v>
      </c>
    </row>
    <row r="7" spans="2:10" ht="30" x14ac:dyDescent="0.25">
      <c r="B7" s="64" t="s">
        <v>41</v>
      </c>
      <c r="C7" s="52">
        <v>436.69999999999993</v>
      </c>
      <c r="D7" s="52">
        <v>33</v>
      </c>
      <c r="E7" s="52">
        <v>436.69999999999993</v>
      </c>
      <c r="F7" s="52">
        <v>33</v>
      </c>
      <c r="G7" s="52">
        <f>(((VLOOKUP(B7,Summary!$A$23:$AF$39,32,FALSE)))/1000)*1000</f>
        <v>200.93</v>
      </c>
      <c r="H7" s="52">
        <f>(VLOOKUP(B7,Summary!$A$23:$AF$39,31,FALSE))</f>
        <v>47</v>
      </c>
      <c r="I7" s="52">
        <f t="shared" si="0"/>
        <v>-235.76999999999992</v>
      </c>
      <c r="J7" s="100" t="s">
        <v>473</v>
      </c>
    </row>
    <row r="8" spans="2:10" x14ac:dyDescent="0.25">
      <c r="B8" s="64" t="s">
        <v>52</v>
      </c>
      <c r="C8" s="52">
        <v>281.33</v>
      </c>
      <c r="D8" s="52">
        <v>18</v>
      </c>
      <c r="E8" s="52">
        <v>281.33</v>
      </c>
      <c r="F8" s="52">
        <v>18</v>
      </c>
      <c r="G8" s="52">
        <f>(((VLOOKUP(B8,Summary!$A$23:$AF$39,32,FALSE)))/1000)*1000</f>
        <v>194.95</v>
      </c>
      <c r="H8" s="52">
        <f>(VLOOKUP(B8,Summary!$A$23:$AF$39,31,FALSE))</f>
        <v>16</v>
      </c>
      <c r="I8" s="52">
        <f t="shared" si="0"/>
        <v>-86.38</v>
      </c>
      <c r="J8" s="100" t="s">
        <v>474</v>
      </c>
    </row>
    <row r="9" spans="2:10" ht="30" x14ac:dyDescent="0.25">
      <c r="B9" s="64" t="s">
        <v>56</v>
      </c>
      <c r="C9" s="52">
        <v>76.63</v>
      </c>
      <c r="D9" s="52">
        <v>13</v>
      </c>
      <c r="E9" s="52">
        <v>76.63</v>
      </c>
      <c r="F9" s="52">
        <v>13</v>
      </c>
      <c r="G9" s="52">
        <f>(((VLOOKUP(B9,Summary!$A$23:$AF$39,32,FALSE)))/1000)*1000</f>
        <v>151.57999999999998</v>
      </c>
      <c r="H9" s="52">
        <f>(VLOOKUP(B9,Summary!$A$23:$AF$39,31,FALSE))</f>
        <v>15</v>
      </c>
      <c r="I9" s="52">
        <f t="shared" si="0"/>
        <v>74.949999999999989</v>
      </c>
      <c r="J9" s="100" t="s">
        <v>475</v>
      </c>
    </row>
    <row r="10" spans="2:10" x14ac:dyDescent="0.25">
      <c r="B10" s="64" t="s">
        <v>58</v>
      </c>
      <c r="C10" s="52">
        <v>110.89</v>
      </c>
      <c r="D10" s="52">
        <v>33</v>
      </c>
      <c r="E10" s="52">
        <v>110.89</v>
      </c>
      <c r="F10" s="52">
        <v>33</v>
      </c>
      <c r="G10" s="52">
        <f>(((VLOOKUP(B10,Summary!$A$23:$AF$39,32,FALSE)))/1000)*1000</f>
        <v>53.16</v>
      </c>
      <c r="H10" s="52">
        <f>(VLOOKUP(B10,Summary!$A$23:$AF$39,31,FALSE))</f>
        <v>4</v>
      </c>
      <c r="I10" s="52">
        <f t="shared" si="0"/>
        <v>-57.730000000000004</v>
      </c>
      <c r="J10" s="66" t="s">
        <v>476</v>
      </c>
    </row>
    <row r="11" spans="2:10" hidden="1" x14ac:dyDescent="0.25">
      <c r="B11" s="64" t="s">
        <v>49</v>
      </c>
      <c r="C11" s="52">
        <v>48.31</v>
      </c>
      <c r="D11" s="52">
        <v>6</v>
      </c>
      <c r="E11" s="52">
        <v>48.31</v>
      </c>
      <c r="F11" s="52">
        <v>6</v>
      </c>
      <c r="G11" s="52">
        <f>(((VLOOKUP(B11,Summary!$A$23:$AF$39,32,FALSE)))/1000)*1000</f>
        <v>0</v>
      </c>
      <c r="H11" s="52">
        <f>(VLOOKUP(B11,Summary!$A$23:$AF$39,31,FALSE))</f>
        <v>0</v>
      </c>
      <c r="I11" s="52">
        <f t="shared" si="0"/>
        <v>-48.31</v>
      </c>
      <c r="J11" s="66"/>
    </row>
    <row r="12" spans="2:10" x14ac:dyDescent="0.25">
      <c r="B12" s="64" t="s">
        <v>54</v>
      </c>
      <c r="C12" s="52">
        <v>67.34</v>
      </c>
      <c r="D12" s="52">
        <v>19</v>
      </c>
      <c r="E12" s="52">
        <v>67.34</v>
      </c>
      <c r="F12" s="52">
        <v>19</v>
      </c>
      <c r="G12" s="52">
        <f>(((VLOOKUP(B12,Summary!$A$23:$AF$39,32,FALSE)))/1000)*1000</f>
        <v>30.78</v>
      </c>
      <c r="H12" s="52">
        <f>(VLOOKUP(B12,Summary!$A$23:$AF$39,31,FALSE))</f>
        <v>10</v>
      </c>
      <c r="I12" s="52">
        <f t="shared" si="0"/>
        <v>-36.56</v>
      </c>
      <c r="J12" s="66" t="s">
        <v>476</v>
      </c>
    </row>
    <row r="13" spans="2:10" ht="30" x14ac:dyDescent="0.25">
      <c r="B13" s="64" t="s">
        <v>39</v>
      </c>
      <c r="C13" s="52">
        <v>185.23000000000005</v>
      </c>
      <c r="D13" s="52">
        <v>16</v>
      </c>
      <c r="E13" s="52">
        <v>185.23000000000005</v>
      </c>
      <c r="F13" s="52">
        <v>16</v>
      </c>
      <c r="G13" s="52">
        <f>(((VLOOKUP(B13,Summary!$A$23:$AF$39,32,FALSE)))/1000)*1000</f>
        <v>57.18</v>
      </c>
      <c r="H13" s="52">
        <f>(VLOOKUP(B13,Summary!$A$23:$AF$39,31,FALSE))</f>
        <v>5</v>
      </c>
      <c r="I13" s="52">
        <f t="shared" si="0"/>
        <v>-128.05000000000004</v>
      </c>
      <c r="J13" s="100" t="s">
        <v>477</v>
      </c>
    </row>
    <row r="14" spans="2:10" hidden="1" x14ac:dyDescent="0.25">
      <c r="B14" s="64" t="s">
        <v>61</v>
      </c>
      <c r="C14" s="52">
        <v>9.85</v>
      </c>
      <c r="D14" s="52">
        <v>1</v>
      </c>
      <c r="E14" s="52">
        <v>9.85</v>
      </c>
      <c r="F14" s="52">
        <v>1</v>
      </c>
      <c r="G14" s="52">
        <f>(((VLOOKUP(B14,Summary!$A$23:$AF$39,32,FALSE)))/1000)*1000</f>
        <v>0</v>
      </c>
      <c r="H14" s="52">
        <f>(VLOOKUP(B14,Summary!$A$23:$AF$39,31,FALSE))</f>
        <v>0</v>
      </c>
      <c r="I14" s="52">
        <f t="shared" si="0"/>
        <v>-9.85</v>
      </c>
      <c r="J14" s="88"/>
    </row>
    <row r="15" spans="2:10" hidden="1" x14ac:dyDescent="0.25">
      <c r="B15" s="67" t="s">
        <v>59</v>
      </c>
      <c r="C15" s="52">
        <v>0</v>
      </c>
      <c r="D15" s="52">
        <v>0</v>
      </c>
      <c r="E15" s="52">
        <v>0</v>
      </c>
      <c r="F15" s="52">
        <v>0</v>
      </c>
      <c r="G15" s="52">
        <f>(((VLOOKUP(B15,Summary!$A$23:$AF$39,32,FALSE)))/1000)*1000</f>
        <v>0</v>
      </c>
      <c r="H15" s="52">
        <f>(VLOOKUP(B15,Summary!$A$23:$AF$39,31,FALSE))</f>
        <v>0</v>
      </c>
      <c r="I15" s="52">
        <f t="shared" si="0"/>
        <v>0</v>
      </c>
      <c r="J15" s="66"/>
    </row>
    <row r="16" spans="2:10" x14ac:dyDescent="0.25">
      <c r="B16" s="64" t="s">
        <v>47</v>
      </c>
      <c r="C16" s="52">
        <v>59.879999999999995</v>
      </c>
      <c r="D16" s="52">
        <v>9</v>
      </c>
      <c r="E16" s="52">
        <v>59.879999999999995</v>
      </c>
      <c r="F16" s="52">
        <v>9</v>
      </c>
      <c r="G16" s="52">
        <f>(((VLOOKUP(B16,Summary!$A$23:$AF$39,32,FALSE)))/1000)*1000</f>
        <v>17.149999999999999</v>
      </c>
      <c r="H16" s="52">
        <f>(VLOOKUP(B16,Summary!$A$23:$AF$39,31,FALSE))</f>
        <v>6</v>
      </c>
      <c r="I16" s="52">
        <f t="shared" si="0"/>
        <v>-42.73</v>
      </c>
      <c r="J16" s="66" t="s">
        <v>478</v>
      </c>
    </row>
    <row r="17" spans="2:10" ht="36.75" customHeight="1" thickBot="1" x14ac:dyDescent="0.3">
      <c r="B17" s="68"/>
      <c r="C17" s="70">
        <v>2270.31</v>
      </c>
      <c r="D17" s="70">
        <v>195</v>
      </c>
      <c r="E17" s="70">
        <v>2270.31</v>
      </c>
      <c r="F17" s="70">
        <v>195</v>
      </c>
      <c r="G17" s="70">
        <f>(SUM(G4:G16))</f>
        <v>1336.1500000000003</v>
      </c>
      <c r="H17" s="70">
        <f>(SUM(H4:H16))</f>
        <v>119</v>
      </c>
      <c r="I17" s="70">
        <f t="shared" ref="I17" si="1">-E17+G17</f>
        <v>-934.15999999999963</v>
      </c>
      <c r="J17" s="79" t="s">
        <v>479</v>
      </c>
    </row>
    <row r="18" spans="2:10" x14ac:dyDescent="0.25">
      <c r="G18" s="82"/>
    </row>
    <row r="19" spans="2:10" x14ac:dyDescent="0.25">
      <c r="F19" s="82"/>
      <c r="G19" s="95"/>
      <c r="H19" s="95"/>
      <c r="I19" s="82"/>
      <c r="J19" s="85"/>
    </row>
  </sheetData>
  <sortState ref="B4:L16">
    <sortCondition descending="1" ref="G4:G16"/>
  </sortState>
  <mergeCells count="2">
    <mergeCell ref="E2:F2"/>
    <mergeCell ref="G2:H2"/>
  </mergeCells>
  <conditionalFormatting sqref="I4:I1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H17"/>
  <sheetViews>
    <sheetView showGridLines="0" workbookViewId="0"/>
  </sheetViews>
  <sheetFormatPr defaultRowHeight="15" x14ac:dyDescent="0.25"/>
  <cols>
    <col min="2" max="2" width="2.85546875" customWidth="1"/>
  </cols>
  <sheetData>
    <row r="2" spans="1:8" x14ac:dyDescent="0.25">
      <c r="A2" s="103"/>
      <c r="B2" s="104"/>
      <c r="C2" s="105"/>
      <c r="D2" s="106"/>
      <c r="E2" s="106"/>
      <c r="F2" s="106"/>
      <c r="G2" s="106"/>
      <c r="H2" s="106"/>
    </row>
    <row r="3" spans="1:8" x14ac:dyDescent="0.25">
      <c r="A3" s="103"/>
      <c r="B3" s="106" t="s">
        <v>281</v>
      </c>
      <c r="C3" s="107"/>
      <c r="D3" s="107"/>
      <c r="E3" s="107"/>
      <c r="F3" s="107"/>
      <c r="G3" s="107"/>
      <c r="H3" s="107"/>
    </row>
    <row r="4" spans="1:8" x14ac:dyDescent="0.25">
      <c r="A4" s="103"/>
      <c r="B4" s="106" t="s">
        <v>282</v>
      </c>
      <c r="C4" s="107"/>
      <c r="D4" s="107"/>
      <c r="E4" s="107"/>
      <c r="F4" s="107"/>
      <c r="G4" s="107"/>
      <c r="H4" s="107"/>
    </row>
    <row r="5" spans="1:8" x14ac:dyDescent="0.25">
      <c r="A5" s="103"/>
      <c r="B5" s="106" t="s">
        <v>283</v>
      </c>
      <c r="C5" s="107"/>
      <c r="D5" s="107"/>
      <c r="E5" s="107"/>
      <c r="F5" s="107"/>
      <c r="G5" s="107"/>
      <c r="H5" s="107"/>
    </row>
    <row r="6" spans="1:8" x14ac:dyDescent="0.25">
      <c r="A6" s="103"/>
      <c r="B6" s="106" t="s">
        <v>284</v>
      </c>
      <c r="C6" s="107"/>
      <c r="D6" s="107"/>
      <c r="E6" s="107"/>
      <c r="F6" s="107"/>
      <c r="G6" s="107"/>
      <c r="H6" s="107"/>
    </row>
    <row r="7" spans="1:8" x14ac:dyDescent="0.25">
      <c r="A7" s="103"/>
      <c r="B7" s="106" t="s">
        <v>285</v>
      </c>
      <c r="C7" s="107"/>
      <c r="D7" s="107"/>
      <c r="E7" s="107"/>
      <c r="F7" s="107"/>
      <c r="G7" s="107"/>
      <c r="H7" s="107"/>
    </row>
    <row r="8" spans="1:8" x14ac:dyDescent="0.25">
      <c r="A8" s="103"/>
      <c r="B8" s="106" t="s">
        <v>286</v>
      </c>
      <c r="C8" s="107"/>
      <c r="D8" s="107"/>
      <c r="E8" s="107"/>
      <c r="F8" s="107"/>
      <c r="G8" s="107"/>
      <c r="H8" s="107"/>
    </row>
    <row r="9" spans="1:8" x14ac:dyDescent="0.25">
      <c r="A9" s="103"/>
      <c r="B9" s="107"/>
      <c r="C9" s="107"/>
      <c r="D9" s="107"/>
      <c r="E9" s="107"/>
      <c r="F9" s="107"/>
      <c r="G9" s="107"/>
      <c r="H9" s="107"/>
    </row>
    <row r="10" spans="1:8" x14ac:dyDescent="0.25">
      <c r="A10" s="103"/>
      <c r="B10" s="108" t="s">
        <v>287</v>
      </c>
      <c r="C10" s="107"/>
      <c r="D10" s="107"/>
      <c r="E10" s="107"/>
      <c r="F10" s="107"/>
      <c r="G10" s="107"/>
      <c r="H10" s="107"/>
    </row>
    <row r="11" spans="1:8" x14ac:dyDescent="0.25">
      <c r="A11" s="103"/>
      <c r="B11" s="104" t="s">
        <v>288</v>
      </c>
      <c r="C11" s="105" t="s">
        <v>289</v>
      </c>
      <c r="D11" s="106"/>
      <c r="E11" s="106"/>
      <c r="F11" s="106"/>
      <c r="G11" s="106"/>
      <c r="H11" s="106"/>
    </row>
    <row r="12" spans="1:8" x14ac:dyDescent="0.25">
      <c r="A12" s="103"/>
      <c r="B12" s="104" t="s">
        <v>288</v>
      </c>
      <c r="C12" s="105" t="s">
        <v>290</v>
      </c>
      <c r="D12" s="106"/>
      <c r="E12" s="106"/>
      <c r="F12" s="106"/>
      <c r="G12" s="106"/>
      <c r="H12" s="106"/>
    </row>
    <row r="13" spans="1:8" x14ac:dyDescent="0.25">
      <c r="A13" s="103"/>
      <c r="B13" s="104" t="s">
        <v>288</v>
      </c>
      <c r="C13" s="105" t="s">
        <v>291</v>
      </c>
      <c r="D13" s="106"/>
      <c r="E13" s="106"/>
      <c r="F13" s="106"/>
      <c r="G13" s="106"/>
      <c r="H13" s="106"/>
    </row>
    <row r="14" spans="1:8" x14ac:dyDescent="0.25">
      <c r="A14" s="103"/>
      <c r="B14" s="104" t="s">
        <v>288</v>
      </c>
      <c r="C14" s="105" t="s">
        <v>292</v>
      </c>
      <c r="D14" s="106"/>
      <c r="E14" s="106"/>
      <c r="F14" s="106"/>
      <c r="G14" s="106"/>
      <c r="H14" s="106"/>
    </row>
    <row r="15" spans="1:8" x14ac:dyDescent="0.25">
      <c r="A15" s="103"/>
      <c r="B15" s="104" t="s">
        <v>288</v>
      </c>
      <c r="C15" s="105" t="s">
        <v>293</v>
      </c>
      <c r="D15" s="106"/>
      <c r="E15" s="106"/>
      <c r="F15" s="106"/>
      <c r="G15" s="106"/>
      <c r="H15" s="106"/>
    </row>
    <row r="16" spans="1:8" x14ac:dyDescent="0.25">
      <c r="A16" s="103"/>
      <c r="B16" s="104" t="s">
        <v>288</v>
      </c>
      <c r="C16" s="105" t="s">
        <v>294</v>
      </c>
      <c r="D16" s="106"/>
      <c r="E16" s="106"/>
      <c r="F16" s="106"/>
      <c r="G16" s="106"/>
      <c r="H16" s="106"/>
    </row>
    <row r="17" spans="1:8" x14ac:dyDescent="0.25">
      <c r="A17" s="103"/>
      <c r="B17" s="104"/>
      <c r="C17" s="105"/>
      <c r="D17" s="106"/>
      <c r="E17" s="106"/>
      <c r="F17" s="106"/>
      <c r="G17" s="106"/>
      <c r="H17" s="10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0.59999389629810485"/>
  </sheetPr>
  <dimension ref="A3:AA50"/>
  <sheetViews>
    <sheetView workbookViewId="0">
      <selection activeCell="D35" sqref="D35"/>
    </sheetView>
  </sheetViews>
  <sheetFormatPr defaultRowHeight="15" x14ac:dyDescent="0.25"/>
  <cols>
    <col min="1" max="1" width="11.140625" bestFit="1" customWidth="1"/>
    <col min="2" max="2" width="16.7109375" bestFit="1" customWidth="1"/>
    <col min="3" max="3" width="6.7109375" bestFit="1" customWidth="1"/>
    <col min="4" max="4" width="41.7109375" bestFit="1" customWidth="1"/>
    <col min="5" max="5" width="16" bestFit="1" customWidth="1"/>
    <col min="6" max="6" width="5" bestFit="1" customWidth="1"/>
    <col min="7" max="7" width="23.28515625" customWidth="1"/>
    <col min="8" max="8" width="16" bestFit="1" customWidth="1"/>
    <col min="9" max="9" width="20.42578125" style="133" customWidth="1"/>
    <col min="10" max="10" width="12.42578125" bestFit="1" customWidth="1"/>
    <col min="11" max="11" width="25" bestFit="1" customWidth="1"/>
    <col min="12" max="12" width="12.7109375" style="118" bestFit="1" customWidth="1"/>
    <col min="13" max="13" width="22" customWidth="1"/>
    <col min="14" max="14" width="19.5703125" customWidth="1"/>
    <col min="15" max="15" width="11.5703125" style="118" customWidth="1"/>
    <col min="16" max="16" width="11" customWidth="1"/>
    <col min="17" max="17" width="9.5703125" customWidth="1"/>
    <col min="18" max="18" width="11.7109375" bestFit="1" customWidth="1"/>
    <col min="19" max="19" width="10.85546875" style="123" customWidth="1"/>
    <col min="20" max="20" width="7.140625" bestFit="1" customWidth="1"/>
    <col min="21" max="21" width="8.28515625" bestFit="1" customWidth="1"/>
    <col min="22" max="22" width="8.7109375" style="126" bestFit="1" customWidth="1"/>
    <col min="23" max="23" width="6.7109375" bestFit="1" customWidth="1"/>
    <col min="24" max="24" width="7.28515625" style="101" bestFit="1" customWidth="1"/>
    <col min="25" max="25" width="25.28515625" customWidth="1"/>
    <col min="26" max="27" width="7.5703125" style="72" customWidth="1"/>
  </cols>
  <sheetData>
    <row r="3" spans="1:27" ht="36" x14ac:dyDescent="0.25">
      <c r="A3" s="47" t="s">
        <v>96</v>
      </c>
      <c r="B3" s="47" t="s">
        <v>69</v>
      </c>
      <c r="C3" s="48" t="s">
        <v>70</v>
      </c>
      <c r="D3" s="48" t="s">
        <v>71</v>
      </c>
      <c r="E3" s="48" t="s">
        <v>73</v>
      </c>
      <c r="F3" s="48" t="s">
        <v>74</v>
      </c>
      <c r="G3" s="48" t="s">
        <v>75</v>
      </c>
      <c r="H3" s="48" t="s">
        <v>77</v>
      </c>
      <c r="I3" s="131" t="s">
        <v>78</v>
      </c>
      <c r="J3" s="47" t="s">
        <v>29</v>
      </c>
      <c r="K3" s="47" t="s">
        <v>79</v>
      </c>
      <c r="L3" s="116" t="s">
        <v>81</v>
      </c>
      <c r="M3" s="48" t="s">
        <v>82</v>
      </c>
      <c r="N3" s="48" t="s">
        <v>83</v>
      </c>
      <c r="O3" s="116" t="s">
        <v>84</v>
      </c>
      <c r="P3" s="48" t="s">
        <v>85</v>
      </c>
      <c r="Q3" s="48" t="s">
        <v>86</v>
      </c>
      <c r="R3" s="48" t="s">
        <v>87</v>
      </c>
      <c r="S3" s="121" t="s">
        <v>88</v>
      </c>
      <c r="T3" s="48" t="s">
        <v>89</v>
      </c>
      <c r="U3" s="48" t="s">
        <v>90</v>
      </c>
      <c r="V3" s="124" t="s">
        <v>91</v>
      </c>
      <c r="W3" s="48" t="s">
        <v>92</v>
      </c>
      <c r="X3" s="47" t="s">
        <v>93</v>
      </c>
      <c r="Y3" s="47" t="s">
        <v>65</v>
      </c>
      <c r="Z3" s="119" t="s">
        <v>94</v>
      </c>
      <c r="AA3" s="119" t="s">
        <v>95</v>
      </c>
    </row>
    <row r="4" spans="1:27" x14ac:dyDescent="0.25">
      <c r="A4" s="51" t="s">
        <v>96</v>
      </c>
      <c r="B4" s="51" t="s">
        <v>96</v>
      </c>
      <c r="C4" s="91">
        <v>8520</v>
      </c>
      <c r="D4" s="91" t="s">
        <v>186</v>
      </c>
      <c r="E4" s="91" t="s">
        <v>15</v>
      </c>
      <c r="F4" s="91">
        <v>199</v>
      </c>
      <c r="G4" s="91" t="s">
        <v>124</v>
      </c>
      <c r="H4" s="91" t="s">
        <v>20</v>
      </c>
      <c r="I4" s="134">
        <v>85200410038967</v>
      </c>
      <c r="J4" s="92" t="s">
        <v>41</v>
      </c>
      <c r="K4" s="92" t="s">
        <v>249</v>
      </c>
      <c r="L4" s="117">
        <v>42614</v>
      </c>
      <c r="M4" s="91" t="s">
        <v>109</v>
      </c>
      <c r="N4" s="91" t="s">
        <v>10</v>
      </c>
      <c r="O4" s="117">
        <v>42681</v>
      </c>
      <c r="P4" s="93" t="s">
        <v>261</v>
      </c>
      <c r="Q4" s="94">
        <v>232</v>
      </c>
      <c r="R4" s="93" t="s">
        <v>99</v>
      </c>
      <c r="S4" s="122">
        <v>81738</v>
      </c>
      <c r="T4" s="91" t="s">
        <v>119</v>
      </c>
      <c r="U4" s="91" t="s">
        <v>101</v>
      </c>
      <c r="V4" s="125">
        <v>1.1399999999999999</v>
      </c>
      <c r="W4" s="51">
        <v>1</v>
      </c>
      <c r="X4" s="127" t="s">
        <v>133</v>
      </c>
      <c r="Y4" s="51" t="s">
        <v>32</v>
      </c>
      <c r="Z4" s="120">
        <v>0.28499999999999998</v>
      </c>
      <c r="AA4" s="120">
        <v>0.85499999999999998</v>
      </c>
    </row>
    <row r="5" spans="1:27" x14ac:dyDescent="0.25">
      <c r="A5" s="51" t="s">
        <v>102</v>
      </c>
      <c r="B5" s="51" t="s">
        <v>466</v>
      </c>
      <c r="C5" s="91">
        <v>8520</v>
      </c>
      <c r="D5" s="91" t="s">
        <v>186</v>
      </c>
      <c r="E5" s="91" t="s">
        <v>15</v>
      </c>
      <c r="F5" s="91">
        <v>199</v>
      </c>
      <c r="G5" s="91" t="s">
        <v>124</v>
      </c>
      <c r="H5" s="91" t="s">
        <v>20</v>
      </c>
      <c r="I5" s="134">
        <v>85200410038968</v>
      </c>
      <c r="J5" s="92" t="s">
        <v>41</v>
      </c>
      <c r="K5" s="92" t="s">
        <v>249</v>
      </c>
      <c r="L5" s="117">
        <v>42614</v>
      </c>
      <c r="M5" s="91" t="s">
        <v>109</v>
      </c>
      <c r="N5" s="91" t="s">
        <v>10</v>
      </c>
      <c r="O5" s="117">
        <v>42681</v>
      </c>
      <c r="P5" s="93" t="s">
        <v>261</v>
      </c>
      <c r="Q5" s="94">
        <v>232</v>
      </c>
      <c r="R5" s="93" t="s">
        <v>99</v>
      </c>
      <c r="S5" s="122">
        <v>90342</v>
      </c>
      <c r="T5" s="91" t="s">
        <v>119</v>
      </c>
      <c r="U5" s="91" t="s">
        <v>101</v>
      </c>
      <c r="V5" s="125">
        <v>1.26</v>
      </c>
      <c r="W5" s="51">
        <v>1</v>
      </c>
      <c r="X5" s="127" t="s">
        <v>133</v>
      </c>
      <c r="Y5" s="51" t="s">
        <v>32</v>
      </c>
      <c r="Z5" s="120">
        <v>0.315</v>
      </c>
      <c r="AA5" s="120">
        <v>0.94500000000000006</v>
      </c>
    </row>
    <row r="6" spans="1:27" x14ac:dyDescent="0.25">
      <c r="A6" s="51" t="s">
        <v>102</v>
      </c>
      <c r="B6" s="51" t="s">
        <v>466</v>
      </c>
      <c r="C6" s="91">
        <v>8520</v>
      </c>
      <c r="D6" s="91" t="s">
        <v>186</v>
      </c>
      <c r="E6" s="91" t="s">
        <v>15</v>
      </c>
      <c r="F6" s="91">
        <v>199</v>
      </c>
      <c r="G6" s="91" t="s">
        <v>124</v>
      </c>
      <c r="H6" s="91" t="s">
        <v>20</v>
      </c>
      <c r="I6" s="134">
        <v>85200410038969</v>
      </c>
      <c r="J6" s="92" t="s">
        <v>41</v>
      </c>
      <c r="K6" s="92" t="s">
        <v>249</v>
      </c>
      <c r="L6" s="117">
        <v>42614</v>
      </c>
      <c r="M6" s="91" t="s">
        <v>109</v>
      </c>
      <c r="N6" s="91" t="s">
        <v>10</v>
      </c>
      <c r="O6" s="117">
        <v>42681</v>
      </c>
      <c r="P6" s="93" t="s">
        <v>261</v>
      </c>
      <c r="Q6" s="94">
        <v>232</v>
      </c>
      <c r="R6" s="93" t="s">
        <v>99</v>
      </c>
      <c r="S6" s="122">
        <v>94644</v>
      </c>
      <c r="T6" s="91" t="s">
        <v>119</v>
      </c>
      <c r="U6" s="91" t="s">
        <v>101</v>
      </c>
      <c r="V6" s="125">
        <v>1.32</v>
      </c>
      <c r="W6" s="51">
        <v>1</v>
      </c>
      <c r="X6" s="127" t="s">
        <v>133</v>
      </c>
      <c r="Y6" s="51" t="s">
        <v>32</v>
      </c>
      <c r="Z6" s="120">
        <v>0.33</v>
      </c>
      <c r="AA6" s="120">
        <v>0.99</v>
      </c>
    </row>
    <row r="7" spans="1:27" x14ac:dyDescent="0.25">
      <c r="A7" s="51" t="s">
        <v>96</v>
      </c>
      <c r="B7" s="51" t="s">
        <v>96</v>
      </c>
      <c r="C7" s="91">
        <v>8520</v>
      </c>
      <c r="D7" s="91" t="s">
        <v>186</v>
      </c>
      <c r="E7" s="91" t="s">
        <v>15</v>
      </c>
      <c r="F7" s="91">
        <v>199</v>
      </c>
      <c r="G7" s="91" t="s">
        <v>124</v>
      </c>
      <c r="H7" s="91" t="s">
        <v>20</v>
      </c>
      <c r="I7" s="134">
        <v>85200410038970</v>
      </c>
      <c r="J7" s="92" t="s">
        <v>41</v>
      </c>
      <c r="K7" s="92" t="s">
        <v>249</v>
      </c>
      <c r="L7" s="117">
        <v>42614</v>
      </c>
      <c r="M7" s="91" t="s">
        <v>109</v>
      </c>
      <c r="N7" s="91" t="s">
        <v>10</v>
      </c>
      <c r="O7" s="117">
        <v>42681</v>
      </c>
      <c r="P7" s="93" t="s">
        <v>261</v>
      </c>
      <c r="Q7" s="94">
        <v>232</v>
      </c>
      <c r="R7" s="93" t="s">
        <v>99</v>
      </c>
      <c r="S7" s="122">
        <v>81738</v>
      </c>
      <c r="T7" s="91" t="s">
        <v>119</v>
      </c>
      <c r="U7" s="91" t="s">
        <v>101</v>
      </c>
      <c r="V7" s="125">
        <v>1.1399999999999999</v>
      </c>
      <c r="W7" s="51">
        <v>1</v>
      </c>
      <c r="X7" s="127" t="s">
        <v>133</v>
      </c>
      <c r="Y7" s="51" t="s">
        <v>32</v>
      </c>
      <c r="Z7" s="120">
        <v>0.28499999999999998</v>
      </c>
      <c r="AA7" s="120">
        <v>0.85499999999999998</v>
      </c>
    </row>
    <row r="8" spans="1:27" x14ac:dyDescent="0.25">
      <c r="A8" s="51" t="s">
        <v>96</v>
      </c>
      <c r="B8" s="51" t="s">
        <v>96</v>
      </c>
      <c r="C8" s="91">
        <v>8520</v>
      </c>
      <c r="D8" s="91" t="s">
        <v>186</v>
      </c>
      <c r="E8" s="91" t="s">
        <v>15</v>
      </c>
      <c r="F8" s="91">
        <v>199</v>
      </c>
      <c r="G8" s="91" t="s">
        <v>124</v>
      </c>
      <c r="H8" s="91" t="s">
        <v>20</v>
      </c>
      <c r="I8" s="134">
        <v>85200410038971</v>
      </c>
      <c r="J8" s="92" t="s">
        <v>41</v>
      </c>
      <c r="K8" s="92" t="s">
        <v>249</v>
      </c>
      <c r="L8" s="117">
        <v>42614</v>
      </c>
      <c r="M8" s="91" t="s">
        <v>109</v>
      </c>
      <c r="N8" s="91" t="s">
        <v>10</v>
      </c>
      <c r="O8" s="117">
        <v>42681</v>
      </c>
      <c r="P8" s="93" t="s">
        <v>261</v>
      </c>
      <c r="Q8" s="94">
        <v>232</v>
      </c>
      <c r="R8" s="93" t="s">
        <v>99</v>
      </c>
      <c r="S8" s="122">
        <v>94644</v>
      </c>
      <c r="T8" s="91" t="s">
        <v>119</v>
      </c>
      <c r="U8" s="91" t="s">
        <v>101</v>
      </c>
      <c r="V8" s="125">
        <v>1.32</v>
      </c>
      <c r="W8" s="51">
        <v>1</v>
      </c>
      <c r="X8" s="127" t="s">
        <v>133</v>
      </c>
      <c r="Y8" s="51" t="s">
        <v>32</v>
      </c>
      <c r="Z8" s="120">
        <v>0.33</v>
      </c>
      <c r="AA8" s="120">
        <v>0.99</v>
      </c>
    </row>
    <row r="9" spans="1:27" x14ac:dyDescent="0.25">
      <c r="A9" s="51" t="s">
        <v>96</v>
      </c>
      <c r="B9" s="51" t="s">
        <v>96</v>
      </c>
      <c r="C9" s="91">
        <v>8520</v>
      </c>
      <c r="D9" s="91" t="s">
        <v>186</v>
      </c>
      <c r="E9" s="91" t="s">
        <v>15</v>
      </c>
      <c r="F9" s="91">
        <v>199</v>
      </c>
      <c r="G9" s="91" t="s">
        <v>124</v>
      </c>
      <c r="H9" s="91" t="s">
        <v>20</v>
      </c>
      <c r="I9" s="134">
        <v>85200410038972</v>
      </c>
      <c r="J9" s="92" t="s">
        <v>41</v>
      </c>
      <c r="K9" s="92" t="s">
        <v>249</v>
      </c>
      <c r="L9" s="117">
        <v>42614</v>
      </c>
      <c r="M9" s="91" t="s">
        <v>109</v>
      </c>
      <c r="N9" s="91" t="s">
        <v>10</v>
      </c>
      <c r="O9" s="117">
        <v>42681</v>
      </c>
      <c r="P9" s="93" t="s">
        <v>261</v>
      </c>
      <c r="Q9" s="94">
        <v>232</v>
      </c>
      <c r="R9" s="93" t="s">
        <v>99</v>
      </c>
      <c r="S9" s="122">
        <v>90342</v>
      </c>
      <c r="T9" s="91" t="s">
        <v>119</v>
      </c>
      <c r="U9" s="91" t="s">
        <v>101</v>
      </c>
      <c r="V9" s="125">
        <v>1.26</v>
      </c>
      <c r="W9" s="51">
        <v>1</v>
      </c>
      <c r="X9" s="127" t="s">
        <v>133</v>
      </c>
      <c r="Y9" s="51" t="s">
        <v>32</v>
      </c>
      <c r="Z9" s="120">
        <v>0.315</v>
      </c>
      <c r="AA9" s="120">
        <v>0.94500000000000006</v>
      </c>
    </row>
    <row r="10" spans="1:27" x14ac:dyDescent="0.25">
      <c r="A10" s="51" t="s">
        <v>102</v>
      </c>
      <c r="B10" s="51" t="s">
        <v>466</v>
      </c>
      <c r="C10" s="91">
        <v>8520</v>
      </c>
      <c r="D10" s="91" t="s">
        <v>186</v>
      </c>
      <c r="E10" s="91" t="s">
        <v>15</v>
      </c>
      <c r="F10" s="91">
        <v>199</v>
      </c>
      <c r="G10" s="91" t="s">
        <v>124</v>
      </c>
      <c r="H10" s="91" t="s">
        <v>20</v>
      </c>
      <c r="I10" s="134">
        <v>85200410038973</v>
      </c>
      <c r="J10" s="92" t="s">
        <v>41</v>
      </c>
      <c r="K10" s="92" t="s">
        <v>249</v>
      </c>
      <c r="L10" s="117">
        <v>42614</v>
      </c>
      <c r="M10" s="91" t="s">
        <v>109</v>
      </c>
      <c r="N10" s="91" t="s">
        <v>10</v>
      </c>
      <c r="O10" s="117">
        <v>42681</v>
      </c>
      <c r="P10" s="93" t="s">
        <v>261</v>
      </c>
      <c r="Q10" s="94">
        <v>232</v>
      </c>
      <c r="R10" s="93" t="s">
        <v>99</v>
      </c>
      <c r="S10" s="122">
        <v>97990</v>
      </c>
      <c r="T10" s="91" t="s">
        <v>119</v>
      </c>
      <c r="U10" s="91" t="s">
        <v>101</v>
      </c>
      <c r="V10" s="125">
        <v>1.36</v>
      </c>
      <c r="W10" s="51">
        <v>1</v>
      </c>
      <c r="X10" s="127" t="s">
        <v>133</v>
      </c>
      <c r="Y10" s="51" t="s">
        <v>32</v>
      </c>
      <c r="Z10" s="120">
        <v>0.34</v>
      </c>
      <c r="AA10" s="120">
        <v>1.02</v>
      </c>
    </row>
    <row r="11" spans="1:27" x14ac:dyDescent="0.25">
      <c r="A11" s="51" t="s">
        <v>102</v>
      </c>
      <c r="B11" s="51" t="s">
        <v>466</v>
      </c>
      <c r="C11" s="91">
        <v>8520</v>
      </c>
      <c r="D11" s="91" t="s">
        <v>186</v>
      </c>
      <c r="E11" s="91" t="s">
        <v>15</v>
      </c>
      <c r="F11" s="91">
        <v>199</v>
      </c>
      <c r="G11" s="91" t="s">
        <v>124</v>
      </c>
      <c r="H11" s="91" t="s">
        <v>20</v>
      </c>
      <c r="I11" s="134">
        <v>85200410038974</v>
      </c>
      <c r="J11" s="92" t="s">
        <v>41</v>
      </c>
      <c r="K11" s="92" t="s">
        <v>249</v>
      </c>
      <c r="L11" s="117">
        <v>42614</v>
      </c>
      <c r="M11" s="91" t="s">
        <v>109</v>
      </c>
      <c r="N11" s="91" t="s">
        <v>10</v>
      </c>
      <c r="O11" s="117">
        <v>42681</v>
      </c>
      <c r="P11" s="93" t="s">
        <v>261</v>
      </c>
      <c r="Q11" s="94">
        <v>232</v>
      </c>
      <c r="R11" s="93" t="s">
        <v>99</v>
      </c>
      <c r="S11" s="122">
        <v>70389</v>
      </c>
      <c r="T11" s="91" t="s">
        <v>119</v>
      </c>
      <c r="U11" s="91" t="s">
        <v>101</v>
      </c>
      <c r="V11" s="125">
        <v>0.98</v>
      </c>
      <c r="W11" s="51">
        <v>1</v>
      </c>
      <c r="X11" s="127" t="s">
        <v>133</v>
      </c>
      <c r="Y11" s="51" t="s">
        <v>32</v>
      </c>
      <c r="Z11" s="120">
        <v>0.245</v>
      </c>
      <c r="AA11" s="120">
        <v>0.73499999999999999</v>
      </c>
    </row>
    <row r="12" spans="1:27" x14ac:dyDescent="0.25">
      <c r="A12" s="51" t="s">
        <v>102</v>
      </c>
      <c r="B12" s="51" t="s">
        <v>466</v>
      </c>
      <c r="C12" s="91">
        <v>8520</v>
      </c>
      <c r="D12" s="91" t="s">
        <v>186</v>
      </c>
      <c r="E12" s="91" t="s">
        <v>15</v>
      </c>
      <c r="F12" s="91">
        <v>199</v>
      </c>
      <c r="G12" s="91" t="s">
        <v>124</v>
      </c>
      <c r="H12" s="91" t="s">
        <v>20</v>
      </c>
      <c r="I12" s="134">
        <v>85200410038975</v>
      </c>
      <c r="J12" s="92" t="s">
        <v>41</v>
      </c>
      <c r="K12" s="92" t="s">
        <v>249</v>
      </c>
      <c r="L12" s="117">
        <v>42614</v>
      </c>
      <c r="M12" s="91" t="s">
        <v>109</v>
      </c>
      <c r="N12" s="91" t="s">
        <v>10</v>
      </c>
      <c r="O12" s="117">
        <v>42681</v>
      </c>
      <c r="P12" s="93" t="s">
        <v>261</v>
      </c>
      <c r="Q12" s="94">
        <v>232</v>
      </c>
      <c r="R12" s="93" t="s">
        <v>99</v>
      </c>
      <c r="S12" s="122">
        <v>140778</v>
      </c>
      <c r="T12" s="91" t="s">
        <v>119</v>
      </c>
      <c r="U12" s="91" t="s">
        <v>101</v>
      </c>
      <c r="V12" s="125">
        <v>1.96</v>
      </c>
      <c r="W12" s="51">
        <v>1</v>
      </c>
      <c r="X12" s="127" t="s">
        <v>133</v>
      </c>
      <c r="Y12" s="51" t="s">
        <v>32</v>
      </c>
      <c r="Z12" s="120">
        <v>0.49</v>
      </c>
      <c r="AA12" s="120">
        <v>1.47</v>
      </c>
    </row>
    <row r="13" spans="1:27" x14ac:dyDescent="0.25">
      <c r="A13" s="51" t="s">
        <v>102</v>
      </c>
      <c r="B13" s="51" t="s">
        <v>466</v>
      </c>
      <c r="C13" s="91">
        <v>8520</v>
      </c>
      <c r="D13" s="91" t="s">
        <v>186</v>
      </c>
      <c r="E13" s="91" t="s">
        <v>15</v>
      </c>
      <c r="F13" s="91">
        <v>199</v>
      </c>
      <c r="G13" s="91" t="s">
        <v>124</v>
      </c>
      <c r="H13" s="91" t="s">
        <v>20</v>
      </c>
      <c r="I13" s="134">
        <v>85200410038977</v>
      </c>
      <c r="J13" s="92" t="s">
        <v>41</v>
      </c>
      <c r="K13" s="92" t="s">
        <v>249</v>
      </c>
      <c r="L13" s="117">
        <v>42614</v>
      </c>
      <c r="M13" s="91" t="s">
        <v>109</v>
      </c>
      <c r="N13" s="91" t="s">
        <v>10</v>
      </c>
      <c r="O13" s="117">
        <v>42681</v>
      </c>
      <c r="P13" s="93" t="s">
        <v>261</v>
      </c>
      <c r="Q13" s="94">
        <v>232</v>
      </c>
      <c r="R13" s="93" t="s">
        <v>99</v>
      </c>
      <c r="S13" s="122">
        <v>127980</v>
      </c>
      <c r="T13" s="91" t="s">
        <v>119</v>
      </c>
      <c r="U13" s="91" t="s">
        <v>101</v>
      </c>
      <c r="V13" s="125">
        <v>1.78</v>
      </c>
      <c r="W13" s="51">
        <v>1</v>
      </c>
      <c r="X13" s="127" t="s">
        <v>133</v>
      </c>
      <c r="Y13" s="51" t="s">
        <v>32</v>
      </c>
      <c r="Z13" s="120">
        <v>0.44500000000000001</v>
      </c>
      <c r="AA13" s="120">
        <v>1.335</v>
      </c>
    </row>
    <row r="14" spans="1:27" x14ac:dyDescent="0.25">
      <c r="A14" s="51" t="s">
        <v>102</v>
      </c>
      <c r="B14" s="51" t="s">
        <v>466</v>
      </c>
      <c r="C14" s="91">
        <v>8520</v>
      </c>
      <c r="D14" s="91" t="s">
        <v>186</v>
      </c>
      <c r="E14" s="91" t="s">
        <v>15</v>
      </c>
      <c r="F14" s="91">
        <v>199</v>
      </c>
      <c r="G14" s="91" t="s">
        <v>124</v>
      </c>
      <c r="H14" s="91" t="s">
        <v>20</v>
      </c>
      <c r="I14" s="134">
        <v>85200410038978</v>
      </c>
      <c r="J14" s="92" t="s">
        <v>41</v>
      </c>
      <c r="K14" s="92" t="s">
        <v>249</v>
      </c>
      <c r="L14" s="117">
        <v>42614</v>
      </c>
      <c r="M14" s="91" t="s">
        <v>109</v>
      </c>
      <c r="N14" s="91" t="s">
        <v>10</v>
      </c>
      <c r="O14" s="117">
        <v>42681</v>
      </c>
      <c r="P14" s="93" t="s">
        <v>261</v>
      </c>
      <c r="Q14" s="94">
        <v>232</v>
      </c>
      <c r="R14" s="93" t="s">
        <v>99</v>
      </c>
      <c r="S14" s="122">
        <v>140778</v>
      </c>
      <c r="T14" s="91" t="s">
        <v>119</v>
      </c>
      <c r="U14" s="91" t="s">
        <v>101</v>
      </c>
      <c r="V14" s="125">
        <v>1.96</v>
      </c>
      <c r="W14" s="51">
        <v>1</v>
      </c>
      <c r="X14" s="127" t="s">
        <v>133</v>
      </c>
      <c r="Y14" s="51" t="s">
        <v>32</v>
      </c>
      <c r="Z14" s="120">
        <v>0.49</v>
      </c>
      <c r="AA14" s="120">
        <v>1.47</v>
      </c>
    </row>
    <row r="15" spans="1:27" x14ac:dyDescent="0.25">
      <c r="A15" s="51" t="s">
        <v>102</v>
      </c>
      <c r="B15" s="51" t="s">
        <v>466</v>
      </c>
      <c r="C15" s="91">
        <v>8520</v>
      </c>
      <c r="D15" s="91" t="s">
        <v>186</v>
      </c>
      <c r="E15" s="91" t="s">
        <v>15</v>
      </c>
      <c r="F15" s="91">
        <v>199</v>
      </c>
      <c r="G15" s="91" t="s">
        <v>124</v>
      </c>
      <c r="H15" s="91" t="s">
        <v>20</v>
      </c>
      <c r="I15" s="134">
        <v>85200410038979</v>
      </c>
      <c r="J15" s="92" t="s">
        <v>41</v>
      </c>
      <c r="K15" s="92" t="s">
        <v>249</v>
      </c>
      <c r="L15" s="117">
        <v>42614</v>
      </c>
      <c r="M15" s="91" t="s">
        <v>109</v>
      </c>
      <c r="N15" s="91" t="s">
        <v>10</v>
      </c>
      <c r="O15" s="117">
        <v>42681</v>
      </c>
      <c r="P15" s="93" t="s">
        <v>261</v>
      </c>
      <c r="Q15" s="94">
        <v>232</v>
      </c>
      <c r="R15" s="93" t="s">
        <v>99</v>
      </c>
      <c r="S15" s="122">
        <v>140778</v>
      </c>
      <c r="T15" s="91" t="s">
        <v>119</v>
      </c>
      <c r="U15" s="91" t="s">
        <v>101</v>
      </c>
      <c r="V15" s="125">
        <v>1.96</v>
      </c>
      <c r="W15" s="51">
        <v>1</v>
      </c>
      <c r="X15" s="127" t="s">
        <v>133</v>
      </c>
      <c r="Y15" s="51" t="s">
        <v>32</v>
      </c>
      <c r="Z15" s="120">
        <v>0.49</v>
      </c>
      <c r="AA15" s="120">
        <v>1.47</v>
      </c>
    </row>
    <row r="16" spans="1:27" x14ac:dyDescent="0.25">
      <c r="A16" s="51" t="s">
        <v>102</v>
      </c>
      <c r="B16" s="51" t="s">
        <v>466</v>
      </c>
      <c r="C16" s="91">
        <v>8520</v>
      </c>
      <c r="D16" s="91" t="s">
        <v>186</v>
      </c>
      <c r="E16" s="91" t="s">
        <v>15</v>
      </c>
      <c r="F16" s="91">
        <v>199</v>
      </c>
      <c r="G16" s="91" t="s">
        <v>124</v>
      </c>
      <c r="H16" s="91" t="s">
        <v>20</v>
      </c>
      <c r="I16" s="134">
        <v>85200410038980</v>
      </c>
      <c r="J16" s="92" t="s">
        <v>41</v>
      </c>
      <c r="K16" s="92" t="s">
        <v>249</v>
      </c>
      <c r="L16" s="117">
        <v>42614</v>
      </c>
      <c r="M16" s="91" t="s">
        <v>109</v>
      </c>
      <c r="N16" s="91" t="s">
        <v>10</v>
      </c>
      <c r="O16" s="117">
        <v>42681</v>
      </c>
      <c r="P16" s="93" t="s">
        <v>261</v>
      </c>
      <c r="Q16" s="94">
        <v>232</v>
      </c>
      <c r="R16" s="93" t="s">
        <v>99</v>
      </c>
      <c r="S16" s="122">
        <v>145755</v>
      </c>
      <c r="T16" s="91" t="s">
        <v>119</v>
      </c>
      <c r="U16" s="91" t="s">
        <v>101</v>
      </c>
      <c r="V16" s="125">
        <v>2.0299999999999998</v>
      </c>
      <c r="W16" s="51">
        <v>1</v>
      </c>
      <c r="X16" s="127" t="s">
        <v>133</v>
      </c>
      <c r="Y16" s="51" t="s">
        <v>32</v>
      </c>
      <c r="Z16" s="120">
        <v>0.50749999999999995</v>
      </c>
      <c r="AA16" s="120">
        <v>1.5225</v>
      </c>
    </row>
    <row r="17" spans="1:27" x14ac:dyDescent="0.25">
      <c r="A17" s="51" t="s">
        <v>102</v>
      </c>
      <c r="B17" s="51" t="s">
        <v>466</v>
      </c>
      <c r="C17" s="91">
        <v>8520</v>
      </c>
      <c r="D17" s="91" t="s">
        <v>186</v>
      </c>
      <c r="E17" s="91" t="s">
        <v>15</v>
      </c>
      <c r="F17" s="91">
        <v>3011</v>
      </c>
      <c r="G17" s="91" t="s">
        <v>106</v>
      </c>
      <c r="H17" s="91" t="s">
        <v>20</v>
      </c>
      <c r="I17" s="134">
        <v>85200810000428</v>
      </c>
      <c r="J17" s="92" t="s">
        <v>41</v>
      </c>
      <c r="K17" s="92" t="s">
        <v>139</v>
      </c>
      <c r="L17" s="117">
        <v>42676</v>
      </c>
      <c r="M17" s="91" t="s">
        <v>121</v>
      </c>
      <c r="N17" s="91" t="s">
        <v>9</v>
      </c>
      <c r="O17" s="117">
        <v>42709</v>
      </c>
      <c r="P17" s="93" t="s">
        <v>261</v>
      </c>
      <c r="Q17" s="94">
        <v>204</v>
      </c>
      <c r="R17" s="93" t="s">
        <v>99</v>
      </c>
      <c r="S17" s="122">
        <v>83475</v>
      </c>
      <c r="T17" s="91" t="s">
        <v>119</v>
      </c>
      <c r="U17" s="91" t="s">
        <v>101</v>
      </c>
      <c r="V17" s="125">
        <v>1.1599999999999999</v>
      </c>
      <c r="W17" s="51">
        <v>1</v>
      </c>
      <c r="X17" s="127" t="s">
        <v>138</v>
      </c>
      <c r="Y17" s="51" t="s">
        <v>31</v>
      </c>
      <c r="Z17" s="120">
        <v>0.57999999999999996</v>
      </c>
      <c r="AA17" s="120">
        <v>0.57999999999999996</v>
      </c>
    </row>
    <row r="18" spans="1:27" x14ac:dyDescent="0.25">
      <c r="A18" s="51" t="s">
        <v>102</v>
      </c>
      <c r="B18" s="51" t="s">
        <v>466</v>
      </c>
      <c r="C18" s="91">
        <v>8520</v>
      </c>
      <c r="D18" s="91" t="s">
        <v>186</v>
      </c>
      <c r="E18" s="91" t="s">
        <v>15</v>
      </c>
      <c r="F18" s="91">
        <v>3011</v>
      </c>
      <c r="G18" s="91" t="s">
        <v>106</v>
      </c>
      <c r="H18" s="91" t="s">
        <v>20</v>
      </c>
      <c r="I18" s="134">
        <v>85203010001172</v>
      </c>
      <c r="J18" s="92" t="s">
        <v>41</v>
      </c>
      <c r="K18" s="92" t="s">
        <v>139</v>
      </c>
      <c r="L18" s="117">
        <v>42676</v>
      </c>
      <c r="M18" s="91" t="s">
        <v>122</v>
      </c>
      <c r="N18" s="91" t="s">
        <v>9</v>
      </c>
      <c r="O18" s="117">
        <v>42709</v>
      </c>
      <c r="P18" s="93" t="s">
        <v>261</v>
      </c>
      <c r="Q18" s="94">
        <v>204</v>
      </c>
      <c r="R18" s="93" t="s">
        <v>99</v>
      </c>
      <c r="S18" s="122">
        <v>100500.25</v>
      </c>
      <c r="T18" s="91" t="s">
        <v>119</v>
      </c>
      <c r="U18" s="91" t="s">
        <v>101</v>
      </c>
      <c r="V18" s="125">
        <v>1.4</v>
      </c>
      <c r="W18" s="51">
        <v>1</v>
      </c>
      <c r="X18" s="127" t="s">
        <v>140</v>
      </c>
      <c r="Y18" s="51" t="s">
        <v>31</v>
      </c>
      <c r="Z18" s="120">
        <v>0.7</v>
      </c>
      <c r="AA18" s="120">
        <v>0.7</v>
      </c>
    </row>
    <row r="19" spans="1:27" x14ac:dyDescent="0.25">
      <c r="A19" s="51" t="s">
        <v>102</v>
      </c>
      <c r="B19" s="51" t="s">
        <v>466</v>
      </c>
      <c r="C19" s="91">
        <v>8520</v>
      </c>
      <c r="D19" s="91" t="s">
        <v>186</v>
      </c>
      <c r="E19" s="91" t="s">
        <v>15</v>
      </c>
      <c r="F19" s="91">
        <v>199</v>
      </c>
      <c r="G19" s="91" t="s">
        <v>124</v>
      </c>
      <c r="H19" s="91" t="s">
        <v>20</v>
      </c>
      <c r="I19" s="134">
        <v>85200410039726</v>
      </c>
      <c r="J19" s="92" t="s">
        <v>41</v>
      </c>
      <c r="K19" s="92" t="s">
        <v>249</v>
      </c>
      <c r="L19" s="117">
        <v>42643</v>
      </c>
      <c r="M19" s="91" t="s">
        <v>109</v>
      </c>
      <c r="N19" s="91" t="s">
        <v>10</v>
      </c>
      <c r="O19" s="117">
        <v>42709</v>
      </c>
      <c r="P19" s="93" t="s">
        <v>261</v>
      </c>
      <c r="Q19" s="94">
        <v>204</v>
      </c>
      <c r="R19" s="93" t="s">
        <v>99</v>
      </c>
      <c r="S19" s="122">
        <v>94644</v>
      </c>
      <c r="T19" s="91" t="s">
        <v>119</v>
      </c>
      <c r="U19" s="91" t="s">
        <v>101</v>
      </c>
      <c r="V19" s="125">
        <v>1.32</v>
      </c>
      <c r="W19" s="51">
        <v>1</v>
      </c>
      <c r="X19" s="127" t="s">
        <v>133</v>
      </c>
      <c r="Y19" s="51" t="s">
        <v>32</v>
      </c>
      <c r="Z19" s="120">
        <v>0.33</v>
      </c>
      <c r="AA19" s="120">
        <v>0.99</v>
      </c>
    </row>
    <row r="20" spans="1:27" x14ac:dyDescent="0.25">
      <c r="A20" s="51" t="s">
        <v>102</v>
      </c>
      <c r="B20" s="51" t="s">
        <v>466</v>
      </c>
      <c r="C20" s="91">
        <v>8520</v>
      </c>
      <c r="D20" s="91" t="s">
        <v>186</v>
      </c>
      <c r="E20" s="91" t="s">
        <v>15</v>
      </c>
      <c r="F20" s="91">
        <v>199</v>
      </c>
      <c r="G20" s="91" t="s">
        <v>124</v>
      </c>
      <c r="H20" s="91" t="s">
        <v>20</v>
      </c>
      <c r="I20" s="134">
        <v>85200410039727</v>
      </c>
      <c r="J20" s="92" t="s">
        <v>41</v>
      </c>
      <c r="K20" s="92" t="s">
        <v>249</v>
      </c>
      <c r="L20" s="117">
        <v>42643</v>
      </c>
      <c r="M20" s="91" t="s">
        <v>109</v>
      </c>
      <c r="N20" s="91" t="s">
        <v>10</v>
      </c>
      <c r="O20" s="117">
        <v>42709</v>
      </c>
      <c r="P20" s="93" t="s">
        <v>261</v>
      </c>
      <c r="Q20" s="94">
        <v>204</v>
      </c>
      <c r="R20" s="93" t="s">
        <v>99</v>
      </c>
      <c r="S20" s="122">
        <v>63990</v>
      </c>
      <c r="T20" s="91" t="s">
        <v>119</v>
      </c>
      <c r="U20" s="91" t="s">
        <v>101</v>
      </c>
      <c r="V20" s="125">
        <v>0.89</v>
      </c>
      <c r="W20" s="51">
        <v>1</v>
      </c>
      <c r="X20" s="127" t="s">
        <v>133</v>
      </c>
      <c r="Y20" s="51" t="s">
        <v>32</v>
      </c>
      <c r="Z20" s="120">
        <v>0.2225</v>
      </c>
      <c r="AA20" s="120">
        <v>0.66749999999999998</v>
      </c>
    </row>
    <row r="21" spans="1:27" x14ac:dyDescent="0.25">
      <c r="A21" s="51" t="s">
        <v>102</v>
      </c>
      <c r="B21" s="51" t="s">
        <v>466</v>
      </c>
      <c r="C21" s="91">
        <v>8520</v>
      </c>
      <c r="D21" s="91" t="s">
        <v>186</v>
      </c>
      <c r="E21" s="91" t="s">
        <v>15</v>
      </c>
      <c r="F21" s="91">
        <v>199</v>
      </c>
      <c r="G21" s="91" t="s">
        <v>124</v>
      </c>
      <c r="H21" s="91" t="s">
        <v>20</v>
      </c>
      <c r="I21" s="134">
        <v>85200410039872</v>
      </c>
      <c r="J21" s="92" t="s">
        <v>41</v>
      </c>
      <c r="K21" s="92" t="s">
        <v>249</v>
      </c>
      <c r="L21" s="117">
        <v>42643</v>
      </c>
      <c r="M21" s="91" t="s">
        <v>109</v>
      </c>
      <c r="N21" s="91" t="s">
        <v>10</v>
      </c>
      <c r="O21" s="117">
        <v>42709</v>
      </c>
      <c r="P21" s="93" t="s">
        <v>261</v>
      </c>
      <c r="Q21" s="94">
        <v>204</v>
      </c>
      <c r="R21" s="93" t="s">
        <v>99</v>
      </c>
      <c r="S21" s="122">
        <v>113400</v>
      </c>
      <c r="T21" s="91" t="s">
        <v>119</v>
      </c>
      <c r="U21" s="91" t="s">
        <v>101</v>
      </c>
      <c r="V21" s="125">
        <v>1.58</v>
      </c>
      <c r="W21" s="51">
        <v>1</v>
      </c>
      <c r="X21" s="127" t="s">
        <v>133</v>
      </c>
      <c r="Y21" s="51" t="s">
        <v>32</v>
      </c>
      <c r="Z21" s="120">
        <v>0.39500000000000002</v>
      </c>
      <c r="AA21" s="120">
        <v>1.1850000000000001</v>
      </c>
    </row>
    <row r="22" spans="1:27" x14ac:dyDescent="0.25">
      <c r="A22" s="51" t="s">
        <v>102</v>
      </c>
      <c r="B22" s="51" t="s">
        <v>466</v>
      </c>
      <c r="C22" s="91">
        <v>8520</v>
      </c>
      <c r="D22" s="91" t="s">
        <v>186</v>
      </c>
      <c r="E22" s="91" t="s">
        <v>15</v>
      </c>
      <c r="F22" s="91">
        <v>199</v>
      </c>
      <c r="G22" s="91" t="s">
        <v>124</v>
      </c>
      <c r="H22" s="91" t="s">
        <v>20</v>
      </c>
      <c r="I22" s="134">
        <v>85200410039873</v>
      </c>
      <c r="J22" s="92" t="s">
        <v>41</v>
      </c>
      <c r="K22" s="92" t="s">
        <v>249</v>
      </c>
      <c r="L22" s="117">
        <v>42643</v>
      </c>
      <c r="M22" s="91" t="s">
        <v>109</v>
      </c>
      <c r="N22" s="91" t="s">
        <v>10</v>
      </c>
      <c r="O22" s="117">
        <v>42709</v>
      </c>
      <c r="P22" s="93" t="s">
        <v>261</v>
      </c>
      <c r="Q22" s="94">
        <v>204</v>
      </c>
      <c r="R22" s="93" t="s">
        <v>99</v>
      </c>
      <c r="S22" s="122">
        <v>118800</v>
      </c>
      <c r="T22" s="91" t="s">
        <v>119</v>
      </c>
      <c r="U22" s="91" t="s">
        <v>101</v>
      </c>
      <c r="V22" s="125">
        <v>1.65</v>
      </c>
      <c r="W22" s="51">
        <v>1</v>
      </c>
      <c r="X22" s="127" t="s">
        <v>133</v>
      </c>
      <c r="Y22" s="51" t="s">
        <v>32</v>
      </c>
      <c r="Z22" s="120">
        <v>0.41249999999999998</v>
      </c>
      <c r="AA22" s="120">
        <v>1.2374999999999998</v>
      </c>
    </row>
    <row r="23" spans="1:27" x14ac:dyDescent="0.25">
      <c r="A23" s="51" t="s">
        <v>102</v>
      </c>
      <c r="B23" s="51" t="s">
        <v>466</v>
      </c>
      <c r="C23" s="91">
        <v>8520</v>
      </c>
      <c r="D23" s="91" t="s">
        <v>186</v>
      </c>
      <c r="E23" s="91" t="s">
        <v>15</v>
      </c>
      <c r="F23" s="91">
        <v>199</v>
      </c>
      <c r="G23" s="91" t="s">
        <v>124</v>
      </c>
      <c r="H23" s="91" t="s">
        <v>20</v>
      </c>
      <c r="I23" s="134">
        <v>85200410039874</v>
      </c>
      <c r="J23" s="92" t="s">
        <v>41</v>
      </c>
      <c r="K23" s="92" t="s">
        <v>249</v>
      </c>
      <c r="L23" s="117">
        <v>42643</v>
      </c>
      <c r="M23" s="91" t="s">
        <v>109</v>
      </c>
      <c r="N23" s="91" t="s">
        <v>10</v>
      </c>
      <c r="O23" s="117">
        <v>42709</v>
      </c>
      <c r="P23" s="93" t="s">
        <v>261</v>
      </c>
      <c r="Q23" s="94">
        <v>204</v>
      </c>
      <c r="R23" s="93" t="s">
        <v>99</v>
      </c>
      <c r="S23" s="122">
        <v>108000</v>
      </c>
      <c r="T23" s="91" t="s">
        <v>119</v>
      </c>
      <c r="U23" s="91" t="s">
        <v>101</v>
      </c>
      <c r="V23" s="125">
        <v>1.5</v>
      </c>
      <c r="W23" s="51">
        <v>1</v>
      </c>
      <c r="X23" s="127" t="s">
        <v>133</v>
      </c>
      <c r="Y23" s="51" t="s">
        <v>32</v>
      </c>
      <c r="Z23" s="120">
        <v>0.375</v>
      </c>
      <c r="AA23" s="120">
        <v>1.125</v>
      </c>
    </row>
    <row r="24" spans="1:27" x14ac:dyDescent="0.25">
      <c r="A24" s="51" t="s">
        <v>102</v>
      </c>
      <c r="B24" s="51" t="s">
        <v>466</v>
      </c>
      <c r="C24" s="91">
        <v>8520</v>
      </c>
      <c r="D24" s="91" t="s">
        <v>186</v>
      </c>
      <c r="E24" s="91" t="s">
        <v>15</v>
      </c>
      <c r="F24" s="91">
        <v>199</v>
      </c>
      <c r="G24" s="91" t="s">
        <v>124</v>
      </c>
      <c r="H24" s="91" t="s">
        <v>20</v>
      </c>
      <c r="I24" s="134">
        <v>85200410039875</v>
      </c>
      <c r="J24" s="92" t="s">
        <v>41</v>
      </c>
      <c r="K24" s="92" t="s">
        <v>249</v>
      </c>
      <c r="L24" s="117">
        <v>42643</v>
      </c>
      <c r="M24" s="91" t="s">
        <v>109</v>
      </c>
      <c r="N24" s="91" t="s">
        <v>10</v>
      </c>
      <c r="O24" s="117">
        <v>42709</v>
      </c>
      <c r="P24" s="93" t="s">
        <v>261</v>
      </c>
      <c r="Q24" s="94">
        <v>204</v>
      </c>
      <c r="R24" s="93" t="s">
        <v>99</v>
      </c>
      <c r="S24" s="122">
        <v>118800</v>
      </c>
      <c r="T24" s="91" t="s">
        <v>119</v>
      </c>
      <c r="U24" s="91" t="s">
        <v>101</v>
      </c>
      <c r="V24" s="125">
        <v>1.65</v>
      </c>
      <c r="W24" s="51">
        <v>1</v>
      </c>
      <c r="X24" s="127" t="s">
        <v>133</v>
      </c>
      <c r="Y24" s="51" t="s">
        <v>32</v>
      </c>
      <c r="Z24" s="120">
        <v>0.41249999999999998</v>
      </c>
      <c r="AA24" s="120">
        <v>1.2374999999999998</v>
      </c>
    </row>
    <row r="25" spans="1:27" x14ac:dyDescent="0.25">
      <c r="A25" s="51" t="s">
        <v>102</v>
      </c>
      <c r="B25" s="51" t="s">
        <v>466</v>
      </c>
      <c r="C25" s="91">
        <v>8520</v>
      </c>
      <c r="D25" s="91" t="s">
        <v>186</v>
      </c>
      <c r="E25" s="91" t="s">
        <v>15</v>
      </c>
      <c r="F25" s="91">
        <v>199</v>
      </c>
      <c r="G25" s="91" t="s">
        <v>124</v>
      </c>
      <c r="H25" s="91" t="s">
        <v>20</v>
      </c>
      <c r="I25" s="134">
        <v>85200410039876</v>
      </c>
      <c r="J25" s="92" t="s">
        <v>41</v>
      </c>
      <c r="K25" s="92" t="s">
        <v>249</v>
      </c>
      <c r="L25" s="117">
        <v>42643</v>
      </c>
      <c r="M25" s="91" t="s">
        <v>109</v>
      </c>
      <c r="N25" s="91" t="s">
        <v>10</v>
      </c>
      <c r="O25" s="117">
        <v>42709</v>
      </c>
      <c r="P25" s="93" t="s">
        <v>261</v>
      </c>
      <c r="Q25" s="94">
        <v>204</v>
      </c>
      <c r="R25" s="93" t="s">
        <v>99</v>
      </c>
      <c r="S25" s="122">
        <v>43200</v>
      </c>
      <c r="T25" s="91" t="s">
        <v>119</v>
      </c>
      <c r="U25" s="91" t="s">
        <v>101</v>
      </c>
      <c r="V25" s="125">
        <v>0.6</v>
      </c>
      <c r="W25" s="51">
        <v>1</v>
      </c>
      <c r="X25" s="127" t="s">
        <v>133</v>
      </c>
      <c r="Y25" s="51" t="s">
        <v>32</v>
      </c>
      <c r="Z25" s="120">
        <v>0.15</v>
      </c>
      <c r="AA25" s="120">
        <v>0.44999999999999996</v>
      </c>
    </row>
    <row r="26" spans="1:27" x14ac:dyDescent="0.25">
      <c r="A26" s="51" t="s">
        <v>102</v>
      </c>
      <c r="B26" s="51" t="s">
        <v>466</v>
      </c>
      <c r="C26" s="91">
        <v>8520</v>
      </c>
      <c r="D26" s="91" t="s">
        <v>186</v>
      </c>
      <c r="E26" s="91" t="s">
        <v>15</v>
      </c>
      <c r="F26" s="91">
        <v>199</v>
      </c>
      <c r="G26" s="91" t="s">
        <v>124</v>
      </c>
      <c r="H26" s="91" t="s">
        <v>20</v>
      </c>
      <c r="I26" s="134">
        <v>85200410039877</v>
      </c>
      <c r="J26" s="92" t="s">
        <v>41</v>
      </c>
      <c r="K26" s="92" t="s">
        <v>249</v>
      </c>
      <c r="L26" s="117">
        <v>42643</v>
      </c>
      <c r="M26" s="91" t="s">
        <v>109</v>
      </c>
      <c r="N26" s="91" t="s">
        <v>10</v>
      </c>
      <c r="O26" s="117">
        <v>42709</v>
      </c>
      <c r="P26" s="93" t="s">
        <v>261</v>
      </c>
      <c r="Q26" s="94">
        <v>204</v>
      </c>
      <c r="R26" s="93" t="s">
        <v>99</v>
      </c>
      <c r="S26" s="122">
        <v>59400</v>
      </c>
      <c r="T26" s="91" t="s">
        <v>119</v>
      </c>
      <c r="U26" s="91" t="s">
        <v>101</v>
      </c>
      <c r="V26" s="125">
        <v>0.83</v>
      </c>
      <c r="W26" s="51">
        <v>1</v>
      </c>
      <c r="X26" s="127" t="s">
        <v>133</v>
      </c>
      <c r="Y26" s="51" t="s">
        <v>32</v>
      </c>
      <c r="Z26" s="120">
        <v>0.20749999999999999</v>
      </c>
      <c r="AA26" s="120">
        <v>0.62249999999999994</v>
      </c>
    </row>
    <row r="27" spans="1:27" x14ac:dyDescent="0.25">
      <c r="A27" s="51" t="s">
        <v>102</v>
      </c>
      <c r="B27" s="51" t="s">
        <v>466</v>
      </c>
      <c r="C27" s="91">
        <v>8520</v>
      </c>
      <c r="D27" s="91" t="s">
        <v>186</v>
      </c>
      <c r="E27" s="91" t="s">
        <v>15</v>
      </c>
      <c r="F27" s="91">
        <v>199</v>
      </c>
      <c r="G27" s="91" t="s">
        <v>124</v>
      </c>
      <c r="H27" s="91" t="s">
        <v>20</v>
      </c>
      <c r="I27" s="134">
        <v>85200410039878</v>
      </c>
      <c r="J27" s="92" t="s">
        <v>41</v>
      </c>
      <c r="K27" s="92" t="s">
        <v>249</v>
      </c>
      <c r="L27" s="117">
        <v>42643</v>
      </c>
      <c r="M27" s="91" t="s">
        <v>109</v>
      </c>
      <c r="N27" s="91" t="s">
        <v>10</v>
      </c>
      <c r="O27" s="117">
        <v>42709</v>
      </c>
      <c r="P27" s="93" t="s">
        <v>261</v>
      </c>
      <c r="Q27" s="94">
        <v>204</v>
      </c>
      <c r="R27" s="93" t="s">
        <v>99</v>
      </c>
      <c r="S27" s="122">
        <v>108000</v>
      </c>
      <c r="T27" s="91" t="s">
        <v>119</v>
      </c>
      <c r="U27" s="91" t="s">
        <v>101</v>
      </c>
      <c r="V27" s="125">
        <v>1.5</v>
      </c>
      <c r="W27" s="51">
        <v>1</v>
      </c>
      <c r="X27" s="127" t="s">
        <v>133</v>
      </c>
      <c r="Y27" s="51" t="s">
        <v>32</v>
      </c>
      <c r="Z27" s="120">
        <v>0.375</v>
      </c>
      <c r="AA27" s="120">
        <v>1.125</v>
      </c>
    </row>
    <row r="28" spans="1:27" x14ac:dyDescent="0.25">
      <c r="A28" s="51" t="s">
        <v>102</v>
      </c>
      <c r="B28" s="51" t="s">
        <v>466</v>
      </c>
      <c r="C28" s="91">
        <v>8520</v>
      </c>
      <c r="D28" s="91" t="s">
        <v>186</v>
      </c>
      <c r="E28" s="91" t="s">
        <v>15</v>
      </c>
      <c r="F28" s="91">
        <v>199</v>
      </c>
      <c r="G28" s="91" t="s">
        <v>124</v>
      </c>
      <c r="H28" s="91" t="s">
        <v>20</v>
      </c>
      <c r="I28" s="134">
        <v>85200410039879</v>
      </c>
      <c r="J28" s="92" t="s">
        <v>41</v>
      </c>
      <c r="K28" s="92" t="s">
        <v>249</v>
      </c>
      <c r="L28" s="117">
        <v>42643</v>
      </c>
      <c r="M28" s="91" t="s">
        <v>109</v>
      </c>
      <c r="N28" s="91" t="s">
        <v>10</v>
      </c>
      <c r="O28" s="117">
        <v>42709</v>
      </c>
      <c r="P28" s="93" t="s">
        <v>261</v>
      </c>
      <c r="Q28" s="94">
        <v>204</v>
      </c>
      <c r="R28" s="93" t="s">
        <v>99</v>
      </c>
      <c r="S28" s="122">
        <v>108000</v>
      </c>
      <c r="T28" s="91" t="s">
        <v>119</v>
      </c>
      <c r="U28" s="91" t="s">
        <v>101</v>
      </c>
      <c r="V28" s="125">
        <v>1.5</v>
      </c>
      <c r="W28" s="51">
        <v>1</v>
      </c>
      <c r="X28" s="127" t="s">
        <v>133</v>
      </c>
      <c r="Y28" s="51" t="s">
        <v>32</v>
      </c>
      <c r="Z28" s="120">
        <v>0.375</v>
      </c>
      <c r="AA28" s="120">
        <v>1.125</v>
      </c>
    </row>
    <row r="29" spans="1:27" x14ac:dyDescent="0.25">
      <c r="A29" s="51" t="s">
        <v>102</v>
      </c>
      <c r="B29" s="51" t="s">
        <v>466</v>
      </c>
      <c r="C29" s="91">
        <v>8520</v>
      </c>
      <c r="D29" s="91" t="s">
        <v>186</v>
      </c>
      <c r="E29" s="91" t="s">
        <v>15</v>
      </c>
      <c r="F29" s="91">
        <v>199</v>
      </c>
      <c r="G29" s="91" t="s">
        <v>124</v>
      </c>
      <c r="H29" s="91" t="s">
        <v>20</v>
      </c>
      <c r="I29" s="134">
        <v>85200410039880</v>
      </c>
      <c r="J29" s="92" t="s">
        <v>41</v>
      </c>
      <c r="K29" s="92" t="s">
        <v>249</v>
      </c>
      <c r="L29" s="117">
        <v>42643</v>
      </c>
      <c r="M29" s="91" t="s">
        <v>109</v>
      </c>
      <c r="N29" s="91" t="s">
        <v>10</v>
      </c>
      <c r="O29" s="117">
        <v>42709</v>
      </c>
      <c r="P29" s="93" t="s">
        <v>261</v>
      </c>
      <c r="Q29" s="94">
        <v>204</v>
      </c>
      <c r="R29" s="93" t="s">
        <v>99</v>
      </c>
      <c r="S29" s="122">
        <v>118800</v>
      </c>
      <c r="T29" s="91" t="s">
        <v>119</v>
      </c>
      <c r="U29" s="91" t="s">
        <v>101</v>
      </c>
      <c r="V29" s="125">
        <v>1.65</v>
      </c>
      <c r="W29" s="51">
        <v>1</v>
      </c>
      <c r="X29" s="127" t="s">
        <v>133</v>
      </c>
      <c r="Y29" s="51" t="s">
        <v>32</v>
      </c>
      <c r="Z29" s="120">
        <v>0.41249999999999998</v>
      </c>
      <c r="AA29" s="120">
        <v>1.2374999999999998</v>
      </c>
    </row>
    <row r="30" spans="1:27" x14ac:dyDescent="0.25">
      <c r="A30" s="51" t="s">
        <v>102</v>
      </c>
      <c r="B30" s="51" t="s">
        <v>466</v>
      </c>
      <c r="C30" s="91">
        <v>8520</v>
      </c>
      <c r="D30" s="91" t="s">
        <v>186</v>
      </c>
      <c r="E30" s="91" t="s">
        <v>15</v>
      </c>
      <c r="F30" s="91">
        <v>199</v>
      </c>
      <c r="G30" s="91" t="s">
        <v>124</v>
      </c>
      <c r="H30" s="91" t="s">
        <v>20</v>
      </c>
      <c r="I30" s="134">
        <v>85200410039881</v>
      </c>
      <c r="J30" s="92" t="s">
        <v>41</v>
      </c>
      <c r="K30" s="92" t="s">
        <v>249</v>
      </c>
      <c r="L30" s="117">
        <v>42643</v>
      </c>
      <c r="M30" s="91" t="s">
        <v>109</v>
      </c>
      <c r="N30" s="91" t="s">
        <v>10</v>
      </c>
      <c r="O30" s="117">
        <v>42709</v>
      </c>
      <c r="P30" s="93" t="s">
        <v>261</v>
      </c>
      <c r="Q30" s="94">
        <v>204</v>
      </c>
      <c r="R30" s="93" t="s">
        <v>99</v>
      </c>
      <c r="S30" s="122">
        <v>97200</v>
      </c>
      <c r="T30" s="91" t="s">
        <v>119</v>
      </c>
      <c r="U30" s="91" t="s">
        <v>101</v>
      </c>
      <c r="V30" s="125">
        <v>1.35</v>
      </c>
      <c r="W30" s="51">
        <v>1</v>
      </c>
      <c r="X30" s="127" t="s">
        <v>133</v>
      </c>
      <c r="Y30" s="51" t="s">
        <v>32</v>
      </c>
      <c r="Z30" s="120">
        <v>0.33750000000000002</v>
      </c>
      <c r="AA30" s="120">
        <v>1.0125000000000002</v>
      </c>
    </row>
    <row r="31" spans="1:27" x14ac:dyDescent="0.25">
      <c r="A31" s="51" t="s">
        <v>102</v>
      </c>
      <c r="B31" s="51" t="s">
        <v>466</v>
      </c>
      <c r="C31" s="91">
        <v>8520</v>
      </c>
      <c r="D31" s="91" t="s">
        <v>186</v>
      </c>
      <c r="E31" s="91" t="s">
        <v>15</v>
      </c>
      <c r="F31" s="91">
        <v>199</v>
      </c>
      <c r="G31" s="91" t="s">
        <v>124</v>
      </c>
      <c r="H31" s="91" t="s">
        <v>20</v>
      </c>
      <c r="I31" s="134">
        <v>85200410039882</v>
      </c>
      <c r="J31" s="92" t="s">
        <v>41</v>
      </c>
      <c r="K31" s="92" t="s">
        <v>249</v>
      </c>
      <c r="L31" s="117">
        <v>42643</v>
      </c>
      <c r="M31" s="91" t="s">
        <v>109</v>
      </c>
      <c r="N31" s="91" t="s">
        <v>10</v>
      </c>
      <c r="O31" s="117">
        <v>42709</v>
      </c>
      <c r="P31" s="93" t="s">
        <v>261</v>
      </c>
      <c r="Q31" s="94">
        <v>204</v>
      </c>
      <c r="R31" s="93" t="s">
        <v>99</v>
      </c>
      <c r="S31" s="122">
        <v>108000</v>
      </c>
      <c r="T31" s="91" t="s">
        <v>119</v>
      </c>
      <c r="U31" s="91" t="s">
        <v>101</v>
      </c>
      <c r="V31" s="125">
        <v>1.5</v>
      </c>
      <c r="W31" s="51">
        <v>1</v>
      </c>
      <c r="X31" s="127" t="s">
        <v>133</v>
      </c>
      <c r="Y31" s="51" t="s">
        <v>32</v>
      </c>
      <c r="Z31" s="120">
        <v>0.375</v>
      </c>
      <c r="AA31" s="120">
        <v>1.125</v>
      </c>
    </row>
    <row r="32" spans="1:27" x14ac:dyDescent="0.25">
      <c r="A32" s="51" t="s">
        <v>102</v>
      </c>
      <c r="B32" s="51" t="s">
        <v>466</v>
      </c>
      <c r="C32" s="91">
        <v>8520</v>
      </c>
      <c r="D32" s="91" t="s">
        <v>186</v>
      </c>
      <c r="E32" s="91" t="s">
        <v>15</v>
      </c>
      <c r="F32" s="91">
        <v>199</v>
      </c>
      <c r="G32" s="91" t="s">
        <v>124</v>
      </c>
      <c r="H32" s="91" t="s">
        <v>20</v>
      </c>
      <c r="I32" s="134">
        <v>85200410039883</v>
      </c>
      <c r="J32" s="92" t="s">
        <v>41</v>
      </c>
      <c r="K32" s="92" t="s">
        <v>249</v>
      </c>
      <c r="L32" s="117">
        <v>42643</v>
      </c>
      <c r="M32" s="91" t="s">
        <v>109</v>
      </c>
      <c r="N32" s="91" t="s">
        <v>10</v>
      </c>
      <c r="O32" s="117">
        <v>42709</v>
      </c>
      <c r="P32" s="93" t="s">
        <v>261</v>
      </c>
      <c r="Q32" s="94">
        <v>204</v>
      </c>
      <c r="R32" s="93" t="s">
        <v>99</v>
      </c>
      <c r="S32" s="122">
        <v>59400</v>
      </c>
      <c r="T32" s="91" t="s">
        <v>119</v>
      </c>
      <c r="U32" s="91" t="s">
        <v>101</v>
      </c>
      <c r="V32" s="125">
        <v>0.83</v>
      </c>
      <c r="W32" s="51">
        <v>1</v>
      </c>
      <c r="X32" s="127" t="s">
        <v>133</v>
      </c>
      <c r="Y32" s="51" t="s">
        <v>32</v>
      </c>
      <c r="Z32" s="120">
        <v>0.20749999999999999</v>
      </c>
      <c r="AA32" s="120">
        <v>0.62249999999999994</v>
      </c>
    </row>
    <row r="33" spans="1:27" x14ac:dyDescent="0.25">
      <c r="A33" s="51" t="s">
        <v>102</v>
      </c>
      <c r="B33" s="51" t="s">
        <v>277</v>
      </c>
      <c r="C33" s="91">
        <v>8520</v>
      </c>
      <c r="D33" s="91" t="s">
        <v>186</v>
      </c>
      <c r="E33" s="91" t="s">
        <v>15</v>
      </c>
      <c r="F33" s="91">
        <v>199</v>
      </c>
      <c r="G33" s="91" t="s">
        <v>124</v>
      </c>
      <c r="H33" s="91" t="s">
        <v>20</v>
      </c>
      <c r="I33" s="134">
        <v>85200410040068</v>
      </c>
      <c r="J33" s="92" t="s">
        <v>41</v>
      </c>
      <c r="K33" s="92" t="s">
        <v>249</v>
      </c>
      <c r="L33" s="117">
        <v>42643</v>
      </c>
      <c r="M33" s="91" t="s">
        <v>109</v>
      </c>
      <c r="N33" s="91" t="s">
        <v>10</v>
      </c>
      <c r="O33" s="117">
        <v>42709</v>
      </c>
      <c r="P33" s="93" t="s">
        <v>261</v>
      </c>
      <c r="Q33" s="94">
        <v>204</v>
      </c>
      <c r="R33" s="93" t="s">
        <v>99</v>
      </c>
      <c r="S33" s="122">
        <v>48000</v>
      </c>
      <c r="T33" s="91" t="s">
        <v>119</v>
      </c>
      <c r="U33" s="91" t="s">
        <v>101</v>
      </c>
      <c r="V33" s="125">
        <v>0.67</v>
      </c>
      <c r="W33" s="51">
        <v>1</v>
      </c>
      <c r="X33" s="127" t="s">
        <v>133</v>
      </c>
      <c r="Y33" s="51" t="s">
        <v>32</v>
      </c>
      <c r="Z33" s="120">
        <v>0.16750000000000001</v>
      </c>
      <c r="AA33" s="120">
        <v>0.50250000000000006</v>
      </c>
    </row>
    <row r="34" spans="1:27" x14ac:dyDescent="0.25">
      <c r="A34" s="51" t="s">
        <v>102</v>
      </c>
      <c r="B34" s="51" t="s">
        <v>466</v>
      </c>
      <c r="C34" s="91">
        <v>8520</v>
      </c>
      <c r="D34" s="91" t="s">
        <v>186</v>
      </c>
      <c r="E34" s="91" t="s">
        <v>15</v>
      </c>
      <c r="F34" s="91">
        <v>199</v>
      </c>
      <c r="G34" s="91" t="s">
        <v>124</v>
      </c>
      <c r="H34" s="91" t="s">
        <v>20</v>
      </c>
      <c r="I34" s="134">
        <v>85200410040069</v>
      </c>
      <c r="J34" s="92" t="s">
        <v>41</v>
      </c>
      <c r="K34" s="92" t="s">
        <v>249</v>
      </c>
      <c r="L34" s="117">
        <v>42643</v>
      </c>
      <c r="M34" s="91" t="s">
        <v>109</v>
      </c>
      <c r="N34" s="91" t="s">
        <v>10</v>
      </c>
      <c r="O34" s="117">
        <v>42709</v>
      </c>
      <c r="P34" s="93" t="s">
        <v>261</v>
      </c>
      <c r="Q34" s="94">
        <v>204</v>
      </c>
      <c r="R34" s="93" t="s">
        <v>99</v>
      </c>
      <c r="S34" s="122">
        <v>91200</v>
      </c>
      <c r="T34" s="91" t="s">
        <v>119</v>
      </c>
      <c r="U34" s="91" t="s">
        <v>101</v>
      </c>
      <c r="V34" s="125">
        <v>1.27</v>
      </c>
      <c r="W34" s="51">
        <v>1</v>
      </c>
      <c r="X34" s="127" t="s">
        <v>133</v>
      </c>
      <c r="Y34" s="51" t="s">
        <v>32</v>
      </c>
      <c r="Z34" s="120">
        <v>0.3175</v>
      </c>
      <c r="AA34" s="120">
        <v>0.95250000000000001</v>
      </c>
    </row>
    <row r="35" spans="1:27" x14ac:dyDescent="0.25">
      <c r="A35" s="51" t="s">
        <v>102</v>
      </c>
      <c r="B35" s="51" t="s">
        <v>466</v>
      </c>
      <c r="C35" s="91">
        <v>8520</v>
      </c>
      <c r="D35" s="91" t="s">
        <v>186</v>
      </c>
      <c r="E35" s="91" t="s">
        <v>15</v>
      </c>
      <c r="F35" s="91">
        <v>199</v>
      </c>
      <c r="G35" s="91" t="s">
        <v>124</v>
      </c>
      <c r="H35" s="91" t="s">
        <v>20</v>
      </c>
      <c r="I35" s="134">
        <v>85200410040070</v>
      </c>
      <c r="J35" s="92" t="s">
        <v>41</v>
      </c>
      <c r="K35" s="92" t="s">
        <v>249</v>
      </c>
      <c r="L35" s="117">
        <v>42643</v>
      </c>
      <c r="M35" s="91" t="s">
        <v>109</v>
      </c>
      <c r="N35" s="91" t="s">
        <v>10</v>
      </c>
      <c r="O35" s="117">
        <v>42709</v>
      </c>
      <c r="P35" s="93" t="s">
        <v>261</v>
      </c>
      <c r="Q35" s="94">
        <v>204</v>
      </c>
      <c r="R35" s="93" t="s">
        <v>99</v>
      </c>
      <c r="S35" s="122">
        <v>100800</v>
      </c>
      <c r="T35" s="91" t="s">
        <v>119</v>
      </c>
      <c r="U35" s="91" t="s">
        <v>101</v>
      </c>
      <c r="V35" s="125">
        <v>1.4</v>
      </c>
      <c r="W35" s="51">
        <v>1</v>
      </c>
      <c r="X35" s="127" t="s">
        <v>133</v>
      </c>
      <c r="Y35" s="51" t="s">
        <v>32</v>
      </c>
      <c r="Z35" s="120">
        <v>0.35</v>
      </c>
      <c r="AA35" s="120">
        <v>1.0499999999999998</v>
      </c>
    </row>
    <row r="36" spans="1:27" x14ac:dyDescent="0.25">
      <c r="A36" s="51" t="s">
        <v>102</v>
      </c>
      <c r="B36" s="51" t="s">
        <v>277</v>
      </c>
      <c r="C36" s="91">
        <v>8520</v>
      </c>
      <c r="D36" s="91" t="s">
        <v>186</v>
      </c>
      <c r="E36" s="91" t="s">
        <v>15</v>
      </c>
      <c r="F36" s="91">
        <v>199</v>
      </c>
      <c r="G36" s="91" t="s">
        <v>124</v>
      </c>
      <c r="H36" s="91" t="s">
        <v>20</v>
      </c>
      <c r="I36" s="134">
        <v>85200410040071</v>
      </c>
      <c r="J36" s="92" t="s">
        <v>41</v>
      </c>
      <c r="K36" s="92" t="s">
        <v>249</v>
      </c>
      <c r="L36" s="117">
        <v>42643</v>
      </c>
      <c r="M36" s="91" t="s">
        <v>109</v>
      </c>
      <c r="N36" s="91" t="s">
        <v>10</v>
      </c>
      <c r="O36" s="117">
        <v>42709</v>
      </c>
      <c r="P36" s="93" t="s">
        <v>261</v>
      </c>
      <c r="Q36" s="94">
        <v>204</v>
      </c>
      <c r="R36" s="93" t="s">
        <v>99</v>
      </c>
      <c r="S36" s="122">
        <v>100800</v>
      </c>
      <c r="T36" s="91" t="s">
        <v>119</v>
      </c>
      <c r="U36" s="91" t="s">
        <v>101</v>
      </c>
      <c r="V36" s="125">
        <v>1.4</v>
      </c>
      <c r="W36" s="51">
        <v>1</v>
      </c>
      <c r="X36" s="127" t="s">
        <v>133</v>
      </c>
      <c r="Y36" s="51" t="s">
        <v>32</v>
      </c>
      <c r="Z36" s="120">
        <v>0.35</v>
      </c>
      <c r="AA36" s="120">
        <v>1.0499999999999998</v>
      </c>
    </row>
    <row r="37" spans="1:27" x14ac:dyDescent="0.25">
      <c r="A37" s="51" t="s">
        <v>102</v>
      </c>
      <c r="B37" s="51" t="s">
        <v>277</v>
      </c>
      <c r="C37" s="91">
        <v>8520</v>
      </c>
      <c r="D37" s="91" t="s">
        <v>186</v>
      </c>
      <c r="E37" s="91" t="s">
        <v>15</v>
      </c>
      <c r="F37" s="91">
        <v>199</v>
      </c>
      <c r="G37" s="91" t="s">
        <v>124</v>
      </c>
      <c r="H37" s="91" t="s">
        <v>20</v>
      </c>
      <c r="I37" s="134">
        <v>85200410040072</v>
      </c>
      <c r="J37" s="92" t="s">
        <v>41</v>
      </c>
      <c r="K37" s="92" t="s">
        <v>249</v>
      </c>
      <c r="L37" s="117">
        <v>42643</v>
      </c>
      <c r="M37" s="91" t="s">
        <v>109</v>
      </c>
      <c r="N37" s="91" t="s">
        <v>10</v>
      </c>
      <c r="O37" s="117">
        <v>42709</v>
      </c>
      <c r="P37" s="93" t="s">
        <v>261</v>
      </c>
      <c r="Q37" s="94">
        <v>204</v>
      </c>
      <c r="R37" s="93" t="s">
        <v>99</v>
      </c>
      <c r="S37" s="122">
        <v>86400</v>
      </c>
      <c r="T37" s="91" t="s">
        <v>119</v>
      </c>
      <c r="U37" s="91" t="s">
        <v>101</v>
      </c>
      <c r="V37" s="125">
        <v>1.2</v>
      </c>
      <c r="W37" s="51">
        <v>1</v>
      </c>
      <c r="X37" s="127" t="s">
        <v>133</v>
      </c>
      <c r="Y37" s="51" t="s">
        <v>32</v>
      </c>
      <c r="Z37" s="120">
        <v>0.3</v>
      </c>
      <c r="AA37" s="120">
        <v>0.89999999999999991</v>
      </c>
    </row>
    <row r="38" spans="1:27" x14ac:dyDescent="0.25">
      <c r="A38" s="51" t="s">
        <v>102</v>
      </c>
      <c r="B38" s="51" t="s">
        <v>466</v>
      </c>
      <c r="C38" s="91">
        <v>8520</v>
      </c>
      <c r="D38" s="91" t="s">
        <v>186</v>
      </c>
      <c r="E38" s="91" t="s">
        <v>15</v>
      </c>
      <c r="F38" s="91">
        <v>199</v>
      </c>
      <c r="G38" s="91" t="s">
        <v>124</v>
      </c>
      <c r="H38" s="91" t="s">
        <v>20</v>
      </c>
      <c r="I38" s="134">
        <v>85200410040073</v>
      </c>
      <c r="J38" s="92" t="s">
        <v>41</v>
      </c>
      <c r="K38" s="92" t="s">
        <v>249</v>
      </c>
      <c r="L38" s="117">
        <v>42643</v>
      </c>
      <c r="M38" s="91" t="s">
        <v>109</v>
      </c>
      <c r="N38" s="91" t="s">
        <v>10</v>
      </c>
      <c r="O38" s="117">
        <v>42709</v>
      </c>
      <c r="P38" s="93" t="s">
        <v>261</v>
      </c>
      <c r="Q38" s="94">
        <v>204</v>
      </c>
      <c r="R38" s="93" t="s">
        <v>99</v>
      </c>
      <c r="S38" s="122">
        <v>91200</v>
      </c>
      <c r="T38" s="91" t="s">
        <v>119</v>
      </c>
      <c r="U38" s="91" t="s">
        <v>101</v>
      </c>
      <c r="V38" s="125">
        <v>1.27</v>
      </c>
      <c r="W38" s="51">
        <v>1</v>
      </c>
      <c r="X38" s="127" t="s">
        <v>133</v>
      </c>
      <c r="Y38" s="51" t="s">
        <v>32</v>
      </c>
      <c r="Z38" s="120">
        <v>0.3175</v>
      </c>
      <c r="AA38" s="120">
        <v>0.95250000000000001</v>
      </c>
    </row>
    <row r="39" spans="1:27" x14ac:dyDescent="0.25">
      <c r="A39" s="51" t="s">
        <v>102</v>
      </c>
      <c r="B39" s="51" t="s">
        <v>277</v>
      </c>
      <c r="C39" s="91">
        <v>8520</v>
      </c>
      <c r="D39" s="91" t="s">
        <v>186</v>
      </c>
      <c r="E39" s="91" t="s">
        <v>15</v>
      </c>
      <c r="F39" s="91">
        <v>199</v>
      </c>
      <c r="G39" s="91" t="s">
        <v>124</v>
      </c>
      <c r="H39" s="91" t="s">
        <v>20</v>
      </c>
      <c r="I39" s="134">
        <v>85200410040074</v>
      </c>
      <c r="J39" s="92" t="s">
        <v>41</v>
      </c>
      <c r="K39" s="92" t="s">
        <v>249</v>
      </c>
      <c r="L39" s="117">
        <v>42643</v>
      </c>
      <c r="M39" s="91" t="s">
        <v>109</v>
      </c>
      <c r="N39" s="91" t="s">
        <v>10</v>
      </c>
      <c r="O39" s="117">
        <v>42709</v>
      </c>
      <c r="P39" s="93" t="s">
        <v>261</v>
      </c>
      <c r="Q39" s="94">
        <v>204</v>
      </c>
      <c r="R39" s="93" t="s">
        <v>99</v>
      </c>
      <c r="S39" s="122">
        <v>110400</v>
      </c>
      <c r="T39" s="91" t="s">
        <v>119</v>
      </c>
      <c r="U39" s="91" t="s">
        <v>101</v>
      </c>
      <c r="V39" s="125">
        <v>1.54</v>
      </c>
      <c r="W39" s="51">
        <v>1</v>
      </c>
      <c r="X39" s="127" t="s">
        <v>133</v>
      </c>
      <c r="Y39" s="51" t="s">
        <v>32</v>
      </c>
      <c r="Z39" s="120">
        <v>0.38500000000000001</v>
      </c>
      <c r="AA39" s="120">
        <v>1.155</v>
      </c>
    </row>
    <row r="40" spans="1:27" x14ac:dyDescent="0.25">
      <c r="A40" s="51" t="s">
        <v>102</v>
      </c>
      <c r="B40" s="51" t="s">
        <v>277</v>
      </c>
      <c r="C40" s="91">
        <v>8520</v>
      </c>
      <c r="D40" s="91" t="s">
        <v>186</v>
      </c>
      <c r="E40" s="91" t="s">
        <v>15</v>
      </c>
      <c r="F40" s="91">
        <v>199</v>
      </c>
      <c r="G40" s="91" t="s">
        <v>124</v>
      </c>
      <c r="H40" s="91" t="s">
        <v>20</v>
      </c>
      <c r="I40" s="134">
        <v>85200410040075</v>
      </c>
      <c r="J40" s="92" t="s">
        <v>41</v>
      </c>
      <c r="K40" s="92" t="s">
        <v>249</v>
      </c>
      <c r="L40" s="117">
        <v>42643</v>
      </c>
      <c r="M40" s="91" t="s">
        <v>109</v>
      </c>
      <c r="N40" s="91" t="s">
        <v>10</v>
      </c>
      <c r="O40" s="117">
        <v>42709</v>
      </c>
      <c r="P40" s="93" t="s">
        <v>261</v>
      </c>
      <c r="Q40" s="94">
        <v>204</v>
      </c>
      <c r="R40" s="93" t="s">
        <v>99</v>
      </c>
      <c r="S40" s="122">
        <v>91200</v>
      </c>
      <c r="T40" s="91" t="s">
        <v>119</v>
      </c>
      <c r="U40" s="91" t="s">
        <v>101</v>
      </c>
      <c r="V40" s="125">
        <v>1.27</v>
      </c>
      <c r="W40" s="51">
        <v>1</v>
      </c>
      <c r="X40" s="127" t="s">
        <v>133</v>
      </c>
      <c r="Y40" s="51" t="s">
        <v>32</v>
      </c>
      <c r="Z40" s="120">
        <v>0.3175</v>
      </c>
      <c r="AA40" s="120">
        <v>0.95250000000000001</v>
      </c>
    </row>
    <row r="41" spans="1:27" x14ac:dyDescent="0.25">
      <c r="A41" s="51" t="s">
        <v>102</v>
      </c>
      <c r="B41" s="51" t="s">
        <v>466</v>
      </c>
      <c r="C41" s="91">
        <v>8520</v>
      </c>
      <c r="D41" s="91" t="s">
        <v>186</v>
      </c>
      <c r="E41" s="91" t="s">
        <v>15</v>
      </c>
      <c r="F41" s="91">
        <v>199</v>
      </c>
      <c r="G41" s="91" t="s">
        <v>124</v>
      </c>
      <c r="H41" s="91" t="s">
        <v>20</v>
      </c>
      <c r="I41" s="134">
        <v>85200410040076</v>
      </c>
      <c r="J41" s="92" t="s">
        <v>41</v>
      </c>
      <c r="K41" s="92" t="s">
        <v>249</v>
      </c>
      <c r="L41" s="117">
        <v>42643</v>
      </c>
      <c r="M41" s="91" t="s">
        <v>109</v>
      </c>
      <c r="N41" s="91" t="s">
        <v>10</v>
      </c>
      <c r="O41" s="117">
        <v>42709</v>
      </c>
      <c r="P41" s="93" t="s">
        <v>261</v>
      </c>
      <c r="Q41" s="94">
        <v>204</v>
      </c>
      <c r="R41" s="93" t="s">
        <v>99</v>
      </c>
      <c r="S41" s="122">
        <v>67200</v>
      </c>
      <c r="T41" s="91" t="s">
        <v>119</v>
      </c>
      <c r="U41" s="91" t="s">
        <v>101</v>
      </c>
      <c r="V41" s="125">
        <v>0.93</v>
      </c>
      <c r="W41" s="51">
        <v>1</v>
      </c>
      <c r="X41" s="127" t="s">
        <v>133</v>
      </c>
      <c r="Y41" s="51" t="s">
        <v>32</v>
      </c>
      <c r="Z41" s="120">
        <v>0.23250000000000001</v>
      </c>
      <c r="AA41" s="120">
        <v>0.69750000000000001</v>
      </c>
    </row>
    <row r="42" spans="1:27" x14ac:dyDescent="0.25">
      <c r="A42" s="51" t="s">
        <v>96</v>
      </c>
      <c r="B42" s="51" t="s">
        <v>96</v>
      </c>
      <c r="C42" s="91">
        <v>8520</v>
      </c>
      <c r="D42" s="91" t="s">
        <v>186</v>
      </c>
      <c r="E42" s="91" t="s">
        <v>15</v>
      </c>
      <c r="F42" s="91">
        <v>3011</v>
      </c>
      <c r="G42" s="91" t="s">
        <v>106</v>
      </c>
      <c r="H42" s="91" t="s">
        <v>20</v>
      </c>
      <c r="I42" s="134">
        <v>85200810000413</v>
      </c>
      <c r="J42" s="92" t="s">
        <v>41</v>
      </c>
      <c r="K42" s="92" t="s">
        <v>139</v>
      </c>
      <c r="L42" s="117">
        <v>42643</v>
      </c>
      <c r="M42" s="91" t="s">
        <v>122</v>
      </c>
      <c r="N42" s="91" t="s">
        <v>9</v>
      </c>
      <c r="O42" s="117">
        <v>42681</v>
      </c>
      <c r="P42" s="93" t="s">
        <v>261</v>
      </c>
      <c r="Q42" s="94">
        <v>232</v>
      </c>
      <c r="R42" s="93" t="s">
        <v>99</v>
      </c>
      <c r="S42" s="122">
        <v>156092.51999999999</v>
      </c>
      <c r="T42" s="91" t="s">
        <v>119</v>
      </c>
      <c r="U42" s="91" t="s">
        <v>101</v>
      </c>
      <c r="V42" s="125">
        <v>2.17</v>
      </c>
      <c r="W42" s="51">
        <v>1</v>
      </c>
      <c r="X42" s="127" t="s">
        <v>140</v>
      </c>
      <c r="Y42" s="51" t="s">
        <v>31</v>
      </c>
      <c r="Z42" s="120">
        <v>1.085</v>
      </c>
      <c r="AA42" s="120">
        <v>1.085</v>
      </c>
    </row>
    <row r="43" spans="1:27" x14ac:dyDescent="0.25">
      <c r="A43" s="51" t="s">
        <v>96</v>
      </c>
      <c r="B43" s="51" t="s">
        <v>96</v>
      </c>
      <c r="C43" s="91">
        <v>8520</v>
      </c>
      <c r="D43" s="91" t="s">
        <v>186</v>
      </c>
      <c r="E43" s="91" t="s">
        <v>15</v>
      </c>
      <c r="F43" s="91">
        <v>3011</v>
      </c>
      <c r="G43" s="91" t="s">
        <v>106</v>
      </c>
      <c r="H43" s="91" t="s">
        <v>20</v>
      </c>
      <c r="I43" s="134">
        <v>85203010001104</v>
      </c>
      <c r="J43" s="92" t="s">
        <v>41</v>
      </c>
      <c r="K43" s="92" t="s">
        <v>139</v>
      </c>
      <c r="L43" s="117">
        <v>42643</v>
      </c>
      <c r="M43" s="91" t="s">
        <v>122</v>
      </c>
      <c r="N43" s="91" t="s">
        <v>9</v>
      </c>
      <c r="O43" s="117">
        <v>42681</v>
      </c>
      <c r="P43" s="93" t="s">
        <v>261</v>
      </c>
      <c r="Q43" s="94">
        <v>232</v>
      </c>
      <c r="R43" s="93" t="s">
        <v>99</v>
      </c>
      <c r="S43" s="122">
        <v>150160</v>
      </c>
      <c r="T43" s="91" t="s">
        <v>119</v>
      </c>
      <c r="U43" s="91" t="s">
        <v>101</v>
      </c>
      <c r="V43" s="125">
        <v>2.09</v>
      </c>
      <c r="W43" s="51">
        <v>1</v>
      </c>
      <c r="X43" s="127" t="s">
        <v>140</v>
      </c>
      <c r="Y43" s="51" t="s">
        <v>31</v>
      </c>
      <c r="Z43" s="120">
        <v>1.0449999999999999</v>
      </c>
      <c r="AA43" s="120">
        <v>1.0449999999999999</v>
      </c>
    </row>
    <row r="44" spans="1:27" x14ac:dyDescent="0.25">
      <c r="A44" s="51" t="s">
        <v>102</v>
      </c>
      <c r="B44" s="51" t="s">
        <v>466</v>
      </c>
      <c r="C44" s="91">
        <v>8520</v>
      </c>
      <c r="D44" s="91" t="s">
        <v>186</v>
      </c>
      <c r="E44" s="91" t="s">
        <v>15</v>
      </c>
      <c r="F44" s="91">
        <v>8420</v>
      </c>
      <c r="G44" s="91" t="s">
        <v>120</v>
      </c>
      <c r="H44" s="91" t="s">
        <v>15</v>
      </c>
      <c r="I44" s="134">
        <v>85200310077649</v>
      </c>
      <c r="J44" s="92" t="s">
        <v>41</v>
      </c>
      <c r="K44" s="92" t="s">
        <v>141</v>
      </c>
      <c r="L44" s="117">
        <v>42430</v>
      </c>
      <c r="M44" s="91" t="s">
        <v>121</v>
      </c>
      <c r="N44" s="91" t="s">
        <v>9</v>
      </c>
      <c r="O44" s="117">
        <v>42495</v>
      </c>
      <c r="P44" s="93" t="s">
        <v>207</v>
      </c>
      <c r="Q44" s="94">
        <v>418</v>
      </c>
      <c r="R44" s="93" t="s">
        <v>252</v>
      </c>
      <c r="S44" s="122">
        <v>1625000</v>
      </c>
      <c r="T44" s="91" t="s">
        <v>119</v>
      </c>
      <c r="U44" s="91" t="s">
        <v>105</v>
      </c>
      <c r="V44" s="125">
        <v>22.6</v>
      </c>
      <c r="W44" s="51">
        <v>1</v>
      </c>
      <c r="X44" s="127" t="s">
        <v>138</v>
      </c>
      <c r="Y44" s="51" t="s">
        <v>31</v>
      </c>
      <c r="Z44" s="120">
        <v>11.3</v>
      </c>
      <c r="AA44" s="120">
        <v>11.3</v>
      </c>
    </row>
    <row r="45" spans="1:27" x14ac:dyDescent="0.25">
      <c r="A45" s="51" t="s">
        <v>102</v>
      </c>
      <c r="B45" s="51" t="s">
        <v>277</v>
      </c>
      <c r="C45" s="91">
        <v>132</v>
      </c>
      <c r="D45" s="91" t="s">
        <v>189</v>
      </c>
      <c r="E45" s="91" t="s">
        <v>20</v>
      </c>
      <c r="F45" s="91">
        <v>199</v>
      </c>
      <c r="G45" s="91" t="s">
        <v>124</v>
      </c>
      <c r="H45" s="91" t="s">
        <v>20</v>
      </c>
      <c r="I45" s="134">
        <v>1320130002422</v>
      </c>
      <c r="J45" s="92" t="s">
        <v>41</v>
      </c>
      <c r="K45" s="92" t="s">
        <v>204</v>
      </c>
      <c r="L45" s="117">
        <v>42640</v>
      </c>
      <c r="M45" s="91" t="s">
        <v>98</v>
      </c>
      <c r="N45" s="91" t="s">
        <v>9</v>
      </c>
      <c r="O45" s="117">
        <v>42709</v>
      </c>
      <c r="P45" s="93" t="s">
        <v>261</v>
      </c>
      <c r="Q45" s="94">
        <v>204</v>
      </c>
      <c r="R45" s="93" t="s">
        <v>99</v>
      </c>
      <c r="S45" s="122">
        <v>1604.44</v>
      </c>
      <c r="T45" s="91" t="s">
        <v>128</v>
      </c>
      <c r="U45" s="91" t="s">
        <v>105</v>
      </c>
      <c r="V45" s="125">
        <v>1.44</v>
      </c>
      <c r="W45" s="51">
        <v>1</v>
      </c>
      <c r="X45" s="127" t="s">
        <v>135</v>
      </c>
      <c r="Y45" s="51" t="s">
        <v>30</v>
      </c>
      <c r="Z45" s="120">
        <v>1.44</v>
      </c>
      <c r="AA45" s="120">
        <v>0</v>
      </c>
    </row>
    <row r="46" spans="1:27" x14ac:dyDescent="0.25">
      <c r="A46" s="51" t="s">
        <v>96</v>
      </c>
      <c r="B46" s="51" t="s">
        <v>96</v>
      </c>
      <c r="C46" s="91">
        <v>132</v>
      </c>
      <c r="D46" s="91" t="s">
        <v>189</v>
      </c>
      <c r="E46" s="91" t="s">
        <v>20</v>
      </c>
      <c r="F46" s="91">
        <v>199</v>
      </c>
      <c r="G46" s="91" t="s">
        <v>124</v>
      </c>
      <c r="H46" s="91" t="s">
        <v>20</v>
      </c>
      <c r="I46" s="134">
        <v>1320130002423</v>
      </c>
      <c r="J46" s="92" t="s">
        <v>41</v>
      </c>
      <c r="K46" s="92" t="s">
        <v>204</v>
      </c>
      <c r="L46" s="117">
        <v>42640</v>
      </c>
      <c r="M46" s="91" t="s">
        <v>98</v>
      </c>
      <c r="N46" s="91" t="s">
        <v>9</v>
      </c>
      <c r="O46" s="117">
        <v>42709</v>
      </c>
      <c r="P46" s="93" t="s">
        <v>261</v>
      </c>
      <c r="Q46" s="94">
        <v>204</v>
      </c>
      <c r="R46" s="93" t="s">
        <v>99</v>
      </c>
      <c r="S46" s="122">
        <v>2452.42</v>
      </c>
      <c r="T46" s="91" t="s">
        <v>128</v>
      </c>
      <c r="U46" s="91" t="s">
        <v>105</v>
      </c>
      <c r="V46" s="125">
        <v>2.2000000000000002</v>
      </c>
      <c r="W46" s="51">
        <v>1</v>
      </c>
      <c r="X46" s="127" t="s">
        <v>135</v>
      </c>
      <c r="Y46" s="51" t="s">
        <v>30</v>
      </c>
      <c r="Z46" s="120">
        <v>2.2000000000000002</v>
      </c>
      <c r="AA46" s="120">
        <v>0</v>
      </c>
    </row>
    <row r="47" spans="1:27" x14ac:dyDescent="0.25">
      <c r="A47" s="51" t="s">
        <v>96</v>
      </c>
      <c r="B47" s="51" t="s">
        <v>96</v>
      </c>
      <c r="C47" s="91">
        <v>132</v>
      </c>
      <c r="D47" s="91" t="s">
        <v>189</v>
      </c>
      <c r="E47" s="91" t="s">
        <v>20</v>
      </c>
      <c r="F47" s="91">
        <v>199</v>
      </c>
      <c r="G47" s="91" t="s">
        <v>124</v>
      </c>
      <c r="H47" s="91" t="s">
        <v>20</v>
      </c>
      <c r="I47" s="134">
        <v>1320130002424</v>
      </c>
      <c r="J47" s="92" t="s">
        <v>41</v>
      </c>
      <c r="K47" s="92" t="s">
        <v>204</v>
      </c>
      <c r="L47" s="117">
        <v>42640</v>
      </c>
      <c r="M47" s="91" t="s">
        <v>98</v>
      </c>
      <c r="N47" s="91" t="s">
        <v>9</v>
      </c>
      <c r="O47" s="117">
        <v>42709</v>
      </c>
      <c r="P47" s="93" t="s">
        <v>261</v>
      </c>
      <c r="Q47" s="94">
        <v>204</v>
      </c>
      <c r="R47" s="93" t="s">
        <v>99</v>
      </c>
      <c r="S47" s="122">
        <v>26078.82</v>
      </c>
      <c r="T47" s="91" t="s">
        <v>128</v>
      </c>
      <c r="U47" s="91" t="s">
        <v>105</v>
      </c>
      <c r="V47" s="125">
        <v>23.4</v>
      </c>
      <c r="W47" s="51">
        <v>1</v>
      </c>
      <c r="X47" s="127" t="s">
        <v>135</v>
      </c>
      <c r="Y47" s="51" t="s">
        <v>30</v>
      </c>
      <c r="Z47" s="120">
        <v>23.4</v>
      </c>
      <c r="AA47" s="120">
        <v>0</v>
      </c>
    </row>
    <row r="48" spans="1:27" x14ac:dyDescent="0.25">
      <c r="A48" s="51" t="s">
        <v>102</v>
      </c>
      <c r="B48" s="51" t="s">
        <v>466</v>
      </c>
      <c r="C48" s="91">
        <v>132</v>
      </c>
      <c r="D48" s="91" t="s">
        <v>189</v>
      </c>
      <c r="E48" s="91" t="s">
        <v>20</v>
      </c>
      <c r="F48" s="91">
        <v>199</v>
      </c>
      <c r="G48" s="91" t="s">
        <v>124</v>
      </c>
      <c r="H48" s="91" t="s">
        <v>20</v>
      </c>
      <c r="I48" s="134">
        <v>1320130002425</v>
      </c>
      <c r="J48" s="92" t="s">
        <v>41</v>
      </c>
      <c r="K48" s="92" t="s">
        <v>204</v>
      </c>
      <c r="L48" s="117">
        <v>42640</v>
      </c>
      <c r="M48" s="91" t="s">
        <v>98</v>
      </c>
      <c r="N48" s="91" t="s">
        <v>9</v>
      </c>
      <c r="O48" s="117">
        <v>42709</v>
      </c>
      <c r="P48" s="93" t="s">
        <v>261</v>
      </c>
      <c r="Q48" s="94">
        <v>204</v>
      </c>
      <c r="R48" s="93" t="s">
        <v>99</v>
      </c>
      <c r="S48" s="122">
        <v>16839.669999999998</v>
      </c>
      <c r="T48" s="91" t="s">
        <v>128</v>
      </c>
      <c r="U48" s="91" t="s">
        <v>105</v>
      </c>
      <c r="V48" s="125">
        <v>15.11</v>
      </c>
      <c r="W48" s="51">
        <v>1</v>
      </c>
      <c r="X48" s="127" t="s">
        <v>135</v>
      </c>
      <c r="Y48" s="51" t="s">
        <v>30</v>
      </c>
      <c r="Z48" s="120">
        <v>15.11</v>
      </c>
      <c r="AA48" s="120">
        <v>0</v>
      </c>
    </row>
    <row r="49" spans="1:27" x14ac:dyDescent="0.25">
      <c r="A49" s="51" t="s">
        <v>96</v>
      </c>
      <c r="B49" s="51" t="s">
        <v>96</v>
      </c>
      <c r="C49" s="91">
        <v>132</v>
      </c>
      <c r="D49" s="91" t="s">
        <v>189</v>
      </c>
      <c r="E49" s="91" t="s">
        <v>20</v>
      </c>
      <c r="F49" s="91">
        <v>199</v>
      </c>
      <c r="G49" s="91" t="s">
        <v>124</v>
      </c>
      <c r="H49" s="91" t="s">
        <v>20</v>
      </c>
      <c r="I49" s="134">
        <v>1320130002426</v>
      </c>
      <c r="J49" s="92" t="s">
        <v>41</v>
      </c>
      <c r="K49" s="92" t="s">
        <v>204</v>
      </c>
      <c r="L49" s="117">
        <v>42640</v>
      </c>
      <c r="M49" s="91" t="s">
        <v>98</v>
      </c>
      <c r="N49" s="91" t="s">
        <v>9</v>
      </c>
      <c r="O49" s="117">
        <v>42709</v>
      </c>
      <c r="P49" s="93" t="s">
        <v>261</v>
      </c>
      <c r="Q49" s="94">
        <v>204</v>
      </c>
      <c r="R49" s="93" t="s">
        <v>99</v>
      </c>
      <c r="S49" s="122">
        <v>53160.65</v>
      </c>
      <c r="T49" s="91" t="s">
        <v>128</v>
      </c>
      <c r="U49" s="91" t="s">
        <v>105</v>
      </c>
      <c r="V49" s="125">
        <v>47.69</v>
      </c>
      <c r="W49" s="51">
        <v>1</v>
      </c>
      <c r="X49" s="127" t="s">
        <v>135</v>
      </c>
      <c r="Y49" s="51" t="s">
        <v>30</v>
      </c>
      <c r="Z49" s="120">
        <v>47.69</v>
      </c>
      <c r="AA49" s="120">
        <v>0</v>
      </c>
    </row>
    <row r="50" spans="1:27" x14ac:dyDescent="0.25">
      <c r="A50" s="51" t="s">
        <v>96</v>
      </c>
      <c r="B50" s="51" t="s">
        <v>96</v>
      </c>
      <c r="C50" s="91">
        <v>199</v>
      </c>
      <c r="D50" s="91" t="s">
        <v>124</v>
      </c>
      <c r="E50" s="91" t="s">
        <v>20</v>
      </c>
      <c r="F50" s="91">
        <v>132</v>
      </c>
      <c r="G50" s="91" t="s">
        <v>189</v>
      </c>
      <c r="H50" s="91" t="s">
        <v>20</v>
      </c>
      <c r="I50" s="134">
        <v>199030003131</v>
      </c>
      <c r="J50" s="92" t="s">
        <v>41</v>
      </c>
      <c r="K50" s="92" t="s">
        <v>276</v>
      </c>
      <c r="L50" s="117">
        <v>42642</v>
      </c>
      <c r="M50" s="91" t="s">
        <v>122</v>
      </c>
      <c r="N50" s="91" t="s">
        <v>9</v>
      </c>
      <c r="O50" s="117">
        <v>42706</v>
      </c>
      <c r="P50" s="93" t="s">
        <v>261</v>
      </c>
      <c r="Q50" s="94">
        <v>207</v>
      </c>
      <c r="R50" s="93" t="s">
        <v>99</v>
      </c>
      <c r="S50" s="122">
        <v>36673</v>
      </c>
      <c r="T50" s="91" t="s">
        <v>128</v>
      </c>
      <c r="U50" s="91" t="s">
        <v>105</v>
      </c>
      <c r="V50" s="125">
        <v>32.9</v>
      </c>
      <c r="W50" s="51">
        <v>1</v>
      </c>
      <c r="X50" s="127" t="s">
        <v>140</v>
      </c>
      <c r="Y50" s="51" t="s">
        <v>31</v>
      </c>
      <c r="Z50" s="120">
        <v>16.45</v>
      </c>
      <c r="AA50" s="120">
        <v>16.45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59999389629810485"/>
  </sheetPr>
  <dimension ref="A3:AA8"/>
  <sheetViews>
    <sheetView workbookViewId="0"/>
  </sheetViews>
  <sheetFormatPr defaultRowHeight="15" x14ac:dyDescent="0.25"/>
  <cols>
    <col min="1" max="1" width="11.140625" bestFit="1" customWidth="1"/>
    <col min="2" max="2" width="16.7109375" bestFit="1" customWidth="1"/>
    <col min="3" max="3" width="6.7109375" bestFit="1" customWidth="1"/>
    <col min="4" max="4" width="57.42578125" bestFit="1" customWidth="1"/>
    <col min="5" max="5" width="16" bestFit="1" customWidth="1"/>
    <col min="6" max="6" width="6.7109375" bestFit="1" customWidth="1"/>
    <col min="7" max="7" width="11.140625" bestFit="1" customWidth="1"/>
    <col min="8" max="8" width="16.85546875" bestFit="1" customWidth="1"/>
    <col min="9" max="9" width="17" style="133" customWidth="1"/>
    <col min="10" max="10" width="16.42578125" bestFit="1" customWidth="1"/>
    <col min="11" max="11" width="15.140625" bestFit="1" customWidth="1"/>
    <col min="12" max="12" width="12.85546875" style="118" bestFit="1" customWidth="1"/>
    <col min="13" max="13" width="22" customWidth="1"/>
    <col min="14" max="14" width="19.5703125" customWidth="1"/>
    <col min="15" max="15" width="12" style="118" bestFit="1" customWidth="1"/>
    <col min="16" max="16" width="11" customWidth="1"/>
    <col min="17" max="17" width="9.5703125" customWidth="1"/>
    <col min="18" max="18" width="14.85546875" bestFit="1" customWidth="1"/>
    <col min="19" max="19" width="10.85546875" style="123" customWidth="1"/>
    <col min="21" max="21" width="13.28515625" bestFit="1" customWidth="1"/>
    <col min="22" max="22" width="7.140625" style="126" bestFit="1" customWidth="1"/>
    <col min="23" max="23" width="7.140625" bestFit="1" customWidth="1"/>
    <col min="24" max="24" width="8.28515625" style="101" bestFit="1" customWidth="1"/>
    <col min="25" max="25" width="25.28515625" customWidth="1"/>
    <col min="26" max="27" width="7.5703125" style="72" customWidth="1"/>
  </cols>
  <sheetData>
    <row r="3" spans="1:27" ht="36" x14ac:dyDescent="0.25">
      <c r="A3" s="47" t="s">
        <v>96</v>
      </c>
      <c r="B3" s="47" t="s">
        <v>69</v>
      </c>
      <c r="C3" s="48" t="s">
        <v>70</v>
      </c>
      <c r="D3" s="48" t="s">
        <v>71</v>
      </c>
      <c r="E3" s="48" t="s">
        <v>73</v>
      </c>
      <c r="F3" s="48" t="s">
        <v>74</v>
      </c>
      <c r="G3" s="47" t="s">
        <v>75</v>
      </c>
      <c r="H3" s="47" t="s">
        <v>77</v>
      </c>
      <c r="I3" s="48" t="s">
        <v>78</v>
      </c>
      <c r="J3" s="48" t="s">
        <v>29</v>
      </c>
      <c r="K3" s="48" t="s">
        <v>79</v>
      </c>
      <c r="L3" s="48" t="s">
        <v>81</v>
      </c>
      <c r="M3" s="48" t="s">
        <v>82</v>
      </c>
      <c r="N3" s="48" t="s">
        <v>83</v>
      </c>
      <c r="O3" s="131" t="s">
        <v>84</v>
      </c>
      <c r="P3" s="47" t="s">
        <v>85</v>
      </c>
      <c r="Q3" s="47" t="s">
        <v>86</v>
      </c>
      <c r="R3" s="116" t="s">
        <v>87</v>
      </c>
      <c r="S3" s="48" t="s">
        <v>88</v>
      </c>
      <c r="T3" s="48" t="s">
        <v>89</v>
      </c>
      <c r="U3" s="48" t="s">
        <v>90</v>
      </c>
      <c r="V3" s="48" t="s">
        <v>91</v>
      </c>
      <c r="W3" s="50" t="s">
        <v>92</v>
      </c>
      <c r="X3" s="48" t="s">
        <v>93</v>
      </c>
      <c r="Y3" s="48" t="s">
        <v>65</v>
      </c>
      <c r="Z3" s="48" t="s">
        <v>94</v>
      </c>
      <c r="AA3" s="48" t="s">
        <v>95</v>
      </c>
    </row>
    <row r="4" spans="1:27" x14ac:dyDescent="0.25">
      <c r="A4" s="51" t="s">
        <v>96</v>
      </c>
      <c r="B4" s="51" t="s">
        <v>96</v>
      </c>
      <c r="C4" s="91">
        <v>413</v>
      </c>
      <c r="D4" s="91" t="s">
        <v>188</v>
      </c>
      <c r="E4" s="91" t="s">
        <v>22</v>
      </c>
      <c r="F4" s="91">
        <v>1350</v>
      </c>
      <c r="G4" s="51" t="s">
        <v>115</v>
      </c>
      <c r="H4" s="51" t="s">
        <v>19</v>
      </c>
      <c r="I4" s="91">
        <v>4130110158156</v>
      </c>
      <c r="J4" s="91" t="s">
        <v>39</v>
      </c>
      <c r="K4" s="91" t="s">
        <v>218</v>
      </c>
      <c r="L4" s="91">
        <v>42642</v>
      </c>
      <c r="M4" s="91" t="s">
        <v>117</v>
      </c>
      <c r="N4" s="91" t="s">
        <v>118</v>
      </c>
      <c r="O4" s="134">
        <v>42706</v>
      </c>
      <c r="P4" s="92" t="s">
        <v>261</v>
      </c>
      <c r="Q4" s="92">
        <v>207</v>
      </c>
      <c r="R4" s="117" t="s">
        <v>99</v>
      </c>
      <c r="S4" s="136">
        <v>27968</v>
      </c>
      <c r="T4" s="136" t="s">
        <v>100</v>
      </c>
      <c r="U4" s="137" t="s">
        <v>101</v>
      </c>
      <c r="V4" s="137">
        <v>27.97</v>
      </c>
      <c r="W4" s="138">
        <v>1</v>
      </c>
      <c r="X4" s="137" t="s">
        <v>13</v>
      </c>
      <c r="Y4" s="136" t="s">
        <v>31</v>
      </c>
      <c r="Z4" s="136">
        <v>13.984999999999999</v>
      </c>
      <c r="AA4" s="136">
        <v>13.984999999999999</v>
      </c>
    </row>
    <row r="5" spans="1:27" x14ac:dyDescent="0.25">
      <c r="A5" s="51" t="s">
        <v>102</v>
      </c>
      <c r="B5" s="51" t="s">
        <v>466</v>
      </c>
      <c r="C5" s="91">
        <v>413</v>
      </c>
      <c r="D5" s="91" t="s">
        <v>188</v>
      </c>
      <c r="E5" s="91" t="s">
        <v>22</v>
      </c>
      <c r="F5" s="91">
        <v>1350</v>
      </c>
      <c r="G5" s="51" t="s">
        <v>115</v>
      </c>
      <c r="H5" s="51" t="s">
        <v>19</v>
      </c>
      <c r="I5" s="91">
        <v>4130110158423</v>
      </c>
      <c r="J5" s="91" t="s">
        <v>39</v>
      </c>
      <c r="K5" s="91" t="s">
        <v>218</v>
      </c>
      <c r="L5" s="91">
        <v>42642</v>
      </c>
      <c r="M5" s="91" t="s">
        <v>117</v>
      </c>
      <c r="N5" s="91" t="s">
        <v>118</v>
      </c>
      <c r="O5" s="134">
        <v>42706</v>
      </c>
      <c r="P5" s="92" t="s">
        <v>261</v>
      </c>
      <c r="Q5" s="92">
        <v>207</v>
      </c>
      <c r="R5" s="117" t="s">
        <v>99</v>
      </c>
      <c r="S5" s="136">
        <v>11440</v>
      </c>
      <c r="T5" s="136" t="s">
        <v>100</v>
      </c>
      <c r="U5" s="137" t="s">
        <v>101</v>
      </c>
      <c r="V5" s="137">
        <v>11.44</v>
      </c>
      <c r="W5" s="138">
        <v>1</v>
      </c>
      <c r="X5" s="137" t="s">
        <v>13</v>
      </c>
      <c r="Y5" s="136" t="s">
        <v>31</v>
      </c>
      <c r="Z5" s="136">
        <v>5.72</v>
      </c>
      <c r="AA5" s="136">
        <v>5.72</v>
      </c>
    </row>
    <row r="6" spans="1:27" x14ac:dyDescent="0.25">
      <c r="A6" s="51" t="s">
        <v>102</v>
      </c>
      <c r="B6" s="51" t="s">
        <v>466</v>
      </c>
      <c r="C6" s="91">
        <v>635</v>
      </c>
      <c r="D6" s="91" t="s">
        <v>187</v>
      </c>
      <c r="E6" s="91" t="s">
        <v>21</v>
      </c>
      <c r="F6" s="91">
        <v>1350</v>
      </c>
      <c r="G6" s="51" t="s">
        <v>115</v>
      </c>
      <c r="H6" s="51" t="s">
        <v>19</v>
      </c>
      <c r="I6" s="91">
        <v>63503300004708</v>
      </c>
      <c r="J6" s="91" t="s">
        <v>39</v>
      </c>
      <c r="K6" s="91" t="s">
        <v>217</v>
      </c>
      <c r="L6" s="91">
        <v>42543</v>
      </c>
      <c r="M6" s="91" t="s">
        <v>117</v>
      </c>
      <c r="N6" s="91" t="s">
        <v>118</v>
      </c>
      <c r="O6" s="134">
        <v>42618</v>
      </c>
      <c r="P6" s="92" t="s">
        <v>206</v>
      </c>
      <c r="Q6" s="92">
        <v>295</v>
      </c>
      <c r="R6" s="117" t="s">
        <v>99</v>
      </c>
      <c r="S6" s="136">
        <v>12129.08</v>
      </c>
      <c r="T6" s="136" t="s">
        <v>100</v>
      </c>
      <c r="U6" s="137" t="s">
        <v>101</v>
      </c>
      <c r="V6" s="137">
        <v>12.13</v>
      </c>
      <c r="W6" s="138">
        <v>1</v>
      </c>
      <c r="X6" s="137" t="s">
        <v>13</v>
      </c>
      <c r="Y6" s="136" t="s">
        <v>31</v>
      </c>
      <c r="Z6" s="136">
        <v>6.0650000000000004</v>
      </c>
      <c r="AA6" s="136">
        <v>6.0650000000000004</v>
      </c>
    </row>
    <row r="7" spans="1:27" x14ac:dyDescent="0.25">
      <c r="A7" s="51" t="s">
        <v>102</v>
      </c>
      <c r="B7" s="51" t="s">
        <v>466</v>
      </c>
      <c r="C7" s="91">
        <v>8520</v>
      </c>
      <c r="D7" s="91" t="s">
        <v>186</v>
      </c>
      <c r="E7" s="91" t="s">
        <v>15</v>
      </c>
      <c r="F7" s="91">
        <v>787</v>
      </c>
      <c r="G7" s="51" t="s">
        <v>272</v>
      </c>
      <c r="H7" s="51" t="s">
        <v>21</v>
      </c>
      <c r="I7" s="91">
        <v>85200310085043</v>
      </c>
      <c r="J7" s="91" t="s">
        <v>39</v>
      </c>
      <c r="K7" s="91" t="s">
        <v>176</v>
      </c>
      <c r="L7" s="91">
        <v>42676</v>
      </c>
      <c r="M7" s="91" t="s">
        <v>117</v>
      </c>
      <c r="N7" s="91" t="s">
        <v>118</v>
      </c>
      <c r="O7" s="134">
        <v>42706</v>
      </c>
      <c r="P7" s="92" t="s">
        <v>261</v>
      </c>
      <c r="Q7" s="92">
        <v>207</v>
      </c>
      <c r="R7" s="117" t="s">
        <v>99</v>
      </c>
      <c r="S7" s="136">
        <v>419958</v>
      </c>
      <c r="T7" s="136" t="s">
        <v>119</v>
      </c>
      <c r="U7" s="137" t="s">
        <v>101</v>
      </c>
      <c r="V7" s="137">
        <v>5.84</v>
      </c>
      <c r="W7" s="138">
        <v>1</v>
      </c>
      <c r="X7" s="137" t="s">
        <v>13</v>
      </c>
      <c r="Y7" s="136" t="s">
        <v>31</v>
      </c>
      <c r="Z7" s="136">
        <v>2.92</v>
      </c>
      <c r="AA7" s="136">
        <v>2.92</v>
      </c>
    </row>
    <row r="8" spans="1:27" s="135" customFormat="1" x14ac:dyDescent="0.25">
      <c r="A8" s="51" t="s">
        <v>102</v>
      </c>
      <c r="B8" s="51" t="s">
        <v>466</v>
      </c>
      <c r="C8" s="91">
        <v>1320</v>
      </c>
      <c r="D8" s="91" t="s">
        <v>123</v>
      </c>
      <c r="E8" s="91" t="s">
        <v>19</v>
      </c>
      <c r="F8" s="91">
        <v>8110</v>
      </c>
      <c r="G8" s="51" t="s">
        <v>97</v>
      </c>
      <c r="H8" s="51" t="s">
        <v>25</v>
      </c>
      <c r="I8" s="91">
        <v>13200110056948</v>
      </c>
      <c r="J8" s="91" t="s">
        <v>39</v>
      </c>
      <c r="K8" s="91" t="s">
        <v>465</v>
      </c>
      <c r="L8" s="91">
        <v>42727</v>
      </c>
      <c r="M8" s="91" t="s">
        <v>208</v>
      </c>
      <c r="N8" s="91" t="s">
        <v>9</v>
      </c>
      <c r="O8" s="134">
        <v>42732</v>
      </c>
      <c r="P8" s="92" t="s">
        <v>261</v>
      </c>
      <c r="Q8" s="92">
        <v>181</v>
      </c>
      <c r="R8" s="117" t="s">
        <v>99</v>
      </c>
      <c r="S8" s="136">
        <v>-227.46</v>
      </c>
      <c r="T8" s="136" t="s">
        <v>128</v>
      </c>
      <c r="U8" s="137" t="s">
        <v>101</v>
      </c>
      <c r="V8" s="137">
        <v>-0.2</v>
      </c>
      <c r="W8" s="138">
        <v>1</v>
      </c>
      <c r="X8" s="137" t="s">
        <v>212</v>
      </c>
      <c r="Y8" s="136" t="s">
        <v>33</v>
      </c>
      <c r="Z8" s="136">
        <v>0</v>
      </c>
      <c r="AA8" s="136">
        <v>-0.2</v>
      </c>
    </row>
  </sheetData>
  <dataValidations count="1">
    <dataValidation type="list" allowBlank="1" showInputMessage="1" showErrorMessage="1" sqref="R4:R7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0.59999389629810485"/>
  </sheetPr>
  <dimension ref="A3:AA10"/>
  <sheetViews>
    <sheetView workbookViewId="0"/>
  </sheetViews>
  <sheetFormatPr defaultRowHeight="15" x14ac:dyDescent="0.25"/>
  <cols>
    <col min="1" max="1" width="6.85546875" bestFit="1" customWidth="1"/>
    <col min="2" max="2" width="16.42578125" bestFit="1" customWidth="1"/>
    <col min="3" max="3" width="6.7109375" bestFit="1" customWidth="1"/>
    <col min="4" max="4" width="22.7109375" bestFit="1" customWidth="1"/>
    <col min="5" max="5" width="16" bestFit="1" customWidth="1"/>
    <col min="6" max="6" width="6.7109375" bestFit="1" customWidth="1"/>
    <col min="7" max="7" width="23.28515625" customWidth="1"/>
    <col min="8" max="8" width="14" bestFit="1" customWidth="1"/>
    <col min="9" max="9" width="17" style="133" customWidth="1"/>
    <col min="10" max="10" width="16" bestFit="1" customWidth="1"/>
    <col min="11" max="11" width="12" bestFit="1" customWidth="1"/>
    <col min="12" max="12" width="11.85546875" style="118" bestFit="1" customWidth="1"/>
    <col min="13" max="13" width="22" customWidth="1"/>
    <col min="14" max="14" width="19.5703125" customWidth="1"/>
    <col min="15" max="15" width="11.7109375" style="118" bestFit="1" customWidth="1"/>
    <col min="16" max="16" width="11" customWidth="1"/>
    <col min="17" max="17" width="9.5703125" customWidth="1"/>
    <col min="18" max="18" width="12" bestFit="1" customWidth="1"/>
    <col min="19" max="19" width="10.85546875" style="123" customWidth="1"/>
    <col min="21" max="21" width="13.28515625" bestFit="1" customWidth="1"/>
    <col min="22" max="22" width="10" style="126" bestFit="1" customWidth="1"/>
    <col min="23" max="23" width="7.140625" bestFit="1" customWidth="1"/>
    <col min="24" max="24" width="8.28515625" style="101" bestFit="1" customWidth="1"/>
    <col min="25" max="25" width="25.28515625" customWidth="1"/>
    <col min="26" max="27" width="7.5703125" style="72" customWidth="1"/>
  </cols>
  <sheetData>
    <row r="3" spans="1:27" ht="36" x14ac:dyDescent="0.25">
      <c r="A3" s="47" t="s">
        <v>96</v>
      </c>
      <c r="B3" s="47" t="s">
        <v>69</v>
      </c>
      <c r="C3" s="48" t="s">
        <v>70</v>
      </c>
      <c r="D3" s="48" t="s">
        <v>71</v>
      </c>
      <c r="E3" s="48" t="s">
        <v>73</v>
      </c>
      <c r="F3" s="48" t="s">
        <v>74</v>
      </c>
      <c r="G3" s="48" t="s">
        <v>75</v>
      </c>
      <c r="H3" s="48" t="s">
        <v>77</v>
      </c>
      <c r="I3" s="131" t="s">
        <v>78</v>
      </c>
      <c r="J3" s="47" t="s">
        <v>29</v>
      </c>
      <c r="K3" s="47" t="s">
        <v>79</v>
      </c>
      <c r="L3" s="116" t="s">
        <v>81</v>
      </c>
      <c r="M3" s="48" t="s">
        <v>82</v>
      </c>
      <c r="N3" s="48" t="s">
        <v>83</v>
      </c>
      <c r="O3" s="116" t="s">
        <v>84</v>
      </c>
      <c r="P3" s="48" t="s">
        <v>85</v>
      </c>
      <c r="Q3" s="48" t="s">
        <v>86</v>
      </c>
      <c r="R3" s="48" t="s">
        <v>87</v>
      </c>
      <c r="S3" s="121" t="s">
        <v>88</v>
      </c>
      <c r="T3" s="48" t="s">
        <v>89</v>
      </c>
      <c r="U3" s="48" t="s">
        <v>90</v>
      </c>
      <c r="V3" s="124" t="s">
        <v>91</v>
      </c>
      <c r="W3" s="48" t="s">
        <v>92</v>
      </c>
      <c r="X3" s="47" t="s">
        <v>93</v>
      </c>
      <c r="Y3" s="47" t="s">
        <v>65</v>
      </c>
      <c r="Z3" s="119" t="s">
        <v>94</v>
      </c>
      <c r="AA3" s="119" t="s">
        <v>95</v>
      </c>
    </row>
    <row r="4" spans="1:27" x14ac:dyDescent="0.25">
      <c r="A4" s="51" t="s">
        <v>102</v>
      </c>
      <c r="B4" s="51" t="s">
        <v>466</v>
      </c>
      <c r="C4" s="91">
        <v>693</v>
      </c>
      <c r="D4" s="91" t="s">
        <v>190</v>
      </c>
      <c r="E4" s="91" t="s">
        <v>21</v>
      </c>
      <c r="F4" s="91">
        <v>95</v>
      </c>
      <c r="G4" s="91" t="s">
        <v>110</v>
      </c>
      <c r="H4" s="91" t="s">
        <v>18</v>
      </c>
      <c r="I4" s="134">
        <v>69308300001418</v>
      </c>
      <c r="J4" s="92" t="s">
        <v>43</v>
      </c>
      <c r="K4" s="92" t="s">
        <v>246</v>
      </c>
      <c r="L4" s="117">
        <v>42636</v>
      </c>
      <c r="M4" s="91" t="s">
        <v>122</v>
      </c>
      <c r="N4" s="91" t="s">
        <v>9</v>
      </c>
      <c r="O4" s="117">
        <v>42706</v>
      </c>
      <c r="P4" s="93" t="s">
        <v>261</v>
      </c>
      <c r="Q4" s="94">
        <v>207</v>
      </c>
      <c r="R4" s="93" t="s">
        <v>99</v>
      </c>
      <c r="S4" s="122">
        <v>-6191.64</v>
      </c>
      <c r="T4" s="91" t="s">
        <v>100</v>
      </c>
      <c r="U4" s="91" t="s">
        <v>101</v>
      </c>
      <c r="V4" s="125">
        <v>-6.19</v>
      </c>
      <c r="W4" s="51">
        <v>1</v>
      </c>
      <c r="X4" s="127" t="s">
        <v>140</v>
      </c>
      <c r="Y4" s="51" t="s">
        <v>31</v>
      </c>
      <c r="Z4" s="120">
        <v>-3.0950000000000002</v>
      </c>
      <c r="AA4" s="120">
        <v>-3.0950000000000002</v>
      </c>
    </row>
    <row r="5" spans="1:27" x14ac:dyDescent="0.25">
      <c r="A5" s="51" t="s">
        <v>96</v>
      </c>
      <c r="B5" s="51" t="s">
        <v>96</v>
      </c>
      <c r="C5" s="91">
        <v>199</v>
      </c>
      <c r="D5" s="91" t="s">
        <v>124</v>
      </c>
      <c r="E5" s="91" t="s">
        <v>20</v>
      </c>
      <c r="F5" s="91">
        <v>8243</v>
      </c>
      <c r="G5" s="91" t="s">
        <v>125</v>
      </c>
      <c r="H5" s="91" t="s">
        <v>14</v>
      </c>
      <c r="I5" s="134">
        <v>1990110057418</v>
      </c>
      <c r="J5" s="92" t="s">
        <v>43</v>
      </c>
      <c r="K5" s="92" t="s">
        <v>275</v>
      </c>
      <c r="L5" s="117">
        <v>42636</v>
      </c>
      <c r="M5" s="91" t="s">
        <v>117</v>
      </c>
      <c r="N5" s="91" t="s">
        <v>118</v>
      </c>
      <c r="O5" s="117">
        <v>42708</v>
      </c>
      <c r="P5" s="93" t="s">
        <v>261</v>
      </c>
      <c r="Q5" s="94">
        <v>205</v>
      </c>
      <c r="R5" s="93" t="s">
        <v>99</v>
      </c>
      <c r="S5" s="122">
        <v>46779</v>
      </c>
      <c r="T5" s="91" t="s">
        <v>128</v>
      </c>
      <c r="U5" s="91" t="s">
        <v>101</v>
      </c>
      <c r="V5" s="125">
        <v>41.97</v>
      </c>
      <c r="W5" s="51">
        <v>1</v>
      </c>
      <c r="X5" s="127" t="s">
        <v>13</v>
      </c>
      <c r="Y5" s="51" t="s">
        <v>31</v>
      </c>
      <c r="Z5" s="120">
        <v>20.984999999999999</v>
      </c>
      <c r="AA5" s="120">
        <v>20.984999999999999</v>
      </c>
    </row>
    <row r="6" spans="1:27" x14ac:dyDescent="0.25">
      <c r="A6" s="51" t="s">
        <v>96</v>
      </c>
      <c r="B6" s="51" t="s">
        <v>96</v>
      </c>
      <c r="C6" s="91">
        <v>199</v>
      </c>
      <c r="D6" s="91" t="s">
        <v>124</v>
      </c>
      <c r="E6" s="91" t="s">
        <v>20</v>
      </c>
      <c r="F6" s="91">
        <v>8243</v>
      </c>
      <c r="G6" s="91" t="s">
        <v>125</v>
      </c>
      <c r="H6" s="91" t="s">
        <v>14</v>
      </c>
      <c r="I6" s="134">
        <v>1990110057419</v>
      </c>
      <c r="J6" s="92" t="s">
        <v>43</v>
      </c>
      <c r="K6" s="92" t="s">
        <v>275</v>
      </c>
      <c r="L6" s="117">
        <v>42636</v>
      </c>
      <c r="M6" s="91" t="s">
        <v>117</v>
      </c>
      <c r="N6" s="91" t="s">
        <v>118</v>
      </c>
      <c r="O6" s="117">
        <v>42708</v>
      </c>
      <c r="P6" s="93" t="s">
        <v>261</v>
      </c>
      <c r="Q6" s="94">
        <v>205</v>
      </c>
      <c r="R6" s="93" t="s">
        <v>99</v>
      </c>
      <c r="S6" s="122">
        <v>65777</v>
      </c>
      <c r="T6" s="91" t="s">
        <v>128</v>
      </c>
      <c r="U6" s="91" t="s">
        <v>101</v>
      </c>
      <c r="V6" s="125">
        <v>59.01</v>
      </c>
      <c r="W6" s="51">
        <v>1</v>
      </c>
      <c r="X6" s="127" t="s">
        <v>13</v>
      </c>
      <c r="Y6" s="51" t="s">
        <v>31</v>
      </c>
      <c r="Z6" s="120">
        <v>29.504999999999999</v>
      </c>
      <c r="AA6" s="120">
        <v>29.504999999999999</v>
      </c>
    </row>
    <row r="7" spans="1:27" x14ac:dyDescent="0.25">
      <c r="A7" s="51" t="s">
        <v>96</v>
      </c>
      <c r="B7" s="51" t="s">
        <v>96</v>
      </c>
      <c r="C7" s="91">
        <v>199</v>
      </c>
      <c r="D7" s="91" t="s">
        <v>124</v>
      </c>
      <c r="E7" s="91" t="s">
        <v>20</v>
      </c>
      <c r="F7" s="91">
        <v>8243</v>
      </c>
      <c r="G7" s="91" t="s">
        <v>125</v>
      </c>
      <c r="H7" s="91" t="s">
        <v>14</v>
      </c>
      <c r="I7" s="134">
        <v>1990110057492</v>
      </c>
      <c r="J7" s="92" t="s">
        <v>43</v>
      </c>
      <c r="K7" s="92" t="s">
        <v>275</v>
      </c>
      <c r="L7" s="117">
        <v>42639</v>
      </c>
      <c r="M7" s="91" t="s">
        <v>117</v>
      </c>
      <c r="N7" s="91" t="s">
        <v>118</v>
      </c>
      <c r="O7" s="117">
        <v>42708</v>
      </c>
      <c r="P7" s="93" t="s">
        <v>261</v>
      </c>
      <c r="Q7" s="94">
        <v>205</v>
      </c>
      <c r="R7" s="93" t="s">
        <v>99</v>
      </c>
      <c r="S7" s="122">
        <v>60879</v>
      </c>
      <c r="T7" s="91" t="s">
        <v>128</v>
      </c>
      <c r="U7" s="91" t="s">
        <v>101</v>
      </c>
      <c r="V7" s="125">
        <v>54.61</v>
      </c>
      <c r="W7" s="51">
        <v>1</v>
      </c>
      <c r="X7" s="127" t="s">
        <v>13</v>
      </c>
      <c r="Y7" s="51" t="s">
        <v>31</v>
      </c>
      <c r="Z7" s="120">
        <v>27.305</v>
      </c>
      <c r="AA7" s="120">
        <v>27.305</v>
      </c>
    </row>
    <row r="8" spans="1:27" x14ac:dyDescent="0.25">
      <c r="A8" s="51" t="s">
        <v>96</v>
      </c>
      <c r="B8" s="51" t="s">
        <v>96</v>
      </c>
      <c r="C8" s="91">
        <v>199</v>
      </c>
      <c r="D8" s="91" t="s">
        <v>124</v>
      </c>
      <c r="E8" s="91" t="s">
        <v>20</v>
      </c>
      <c r="F8" s="91">
        <v>8243</v>
      </c>
      <c r="G8" s="91" t="s">
        <v>125</v>
      </c>
      <c r="H8" s="91" t="s">
        <v>14</v>
      </c>
      <c r="I8" s="134">
        <v>1990110055559</v>
      </c>
      <c r="J8" s="92" t="s">
        <v>43</v>
      </c>
      <c r="K8" s="92" t="s">
        <v>275</v>
      </c>
      <c r="L8" s="117">
        <v>42607</v>
      </c>
      <c r="M8" s="91" t="s">
        <v>117</v>
      </c>
      <c r="N8" s="91" t="s">
        <v>118</v>
      </c>
      <c r="O8" s="117">
        <v>42681</v>
      </c>
      <c r="P8" s="93" t="s">
        <v>261</v>
      </c>
      <c r="Q8" s="94">
        <v>232</v>
      </c>
      <c r="R8" s="93" t="s">
        <v>99</v>
      </c>
      <c r="S8" s="122">
        <v>36228</v>
      </c>
      <c r="T8" s="91" t="s">
        <v>128</v>
      </c>
      <c r="U8" s="91" t="s">
        <v>101</v>
      </c>
      <c r="V8" s="125">
        <v>32.5</v>
      </c>
      <c r="W8" s="51">
        <v>1</v>
      </c>
      <c r="X8" s="127" t="s">
        <v>13</v>
      </c>
      <c r="Y8" s="51" t="s">
        <v>31</v>
      </c>
      <c r="Z8" s="120">
        <v>16.25</v>
      </c>
      <c r="AA8" s="120">
        <v>16.25</v>
      </c>
    </row>
    <row r="9" spans="1:27" x14ac:dyDescent="0.25">
      <c r="A9" s="51" t="s">
        <v>96</v>
      </c>
      <c r="B9" s="51" t="s">
        <v>96</v>
      </c>
      <c r="C9" s="91">
        <v>199</v>
      </c>
      <c r="D9" s="91" t="s">
        <v>124</v>
      </c>
      <c r="E9" s="91" t="s">
        <v>20</v>
      </c>
      <c r="F9" s="91">
        <v>8243</v>
      </c>
      <c r="G9" s="91" t="s">
        <v>125</v>
      </c>
      <c r="H9" s="91" t="s">
        <v>14</v>
      </c>
      <c r="I9" s="134">
        <v>1990110055560</v>
      </c>
      <c r="J9" s="92" t="s">
        <v>43</v>
      </c>
      <c r="K9" s="92" t="s">
        <v>275</v>
      </c>
      <c r="L9" s="117">
        <v>42607</v>
      </c>
      <c r="M9" s="91" t="s">
        <v>117</v>
      </c>
      <c r="N9" s="91" t="s">
        <v>118</v>
      </c>
      <c r="O9" s="117">
        <v>42681</v>
      </c>
      <c r="P9" s="93" t="s">
        <v>261</v>
      </c>
      <c r="Q9" s="94">
        <v>232</v>
      </c>
      <c r="R9" s="93" t="s">
        <v>99</v>
      </c>
      <c r="S9" s="122">
        <v>50780</v>
      </c>
      <c r="T9" s="91" t="s">
        <v>128</v>
      </c>
      <c r="U9" s="91" t="s">
        <v>101</v>
      </c>
      <c r="V9" s="125">
        <v>45.55</v>
      </c>
      <c r="W9" s="51">
        <v>1</v>
      </c>
      <c r="X9" s="127" t="s">
        <v>13</v>
      </c>
      <c r="Y9" s="51" t="s">
        <v>31</v>
      </c>
      <c r="Z9" s="120">
        <v>22.774999999999999</v>
      </c>
      <c r="AA9" s="120">
        <v>22.774999999999999</v>
      </c>
    </row>
    <row r="10" spans="1:27" x14ac:dyDescent="0.25">
      <c r="A10" s="51" t="s">
        <v>96</v>
      </c>
      <c r="B10" s="51" t="s">
        <v>96</v>
      </c>
      <c r="C10" s="91">
        <v>199</v>
      </c>
      <c r="D10" s="91" t="s">
        <v>124</v>
      </c>
      <c r="E10" s="91" t="s">
        <v>20</v>
      </c>
      <c r="F10" s="91">
        <v>8243</v>
      </c>
      <c r="G10" s="91" t="s">
        <v>125</v>
      </c>
      <c r="H10" s="91" t="s">
        <v>14</v>
      </c>
      <c r="I10" s="134">
        <v>1990110055561</v>
      </c>
      <c r="J10" s="92" t="s">
        <v>43</v>
      </c>
      <c r="K10" s="92" t="s">
        <v>275</v>
      </c>
      <c r="L10" s="117">
        <v>42607</v>
      </c>
      <c r="M10" s="91" t="s">
        <v>117</v>
      </c>
      <c r="N10" s="91" t="s">
        <v>118</v>
      </c>
      <c r="O10" s="117">
        <v>42681</v>
      </c>
      <c r="P10" s="93" t="s">
        <v>261</v>
      </c>
      <c r="Q10" s="94">
        <v>232</v>
      </c>
      <c r="R10" s="93" t="s">
        <v>99</v>
      </c>
      <c r="S10" s="122">
        <v>10262.52</v>
      </c>
      <c r="T10" s="91" t="s">
        <v>128</v>
      </c>
      <c r="U10" s="91" t="s">
        <v>101</v>
      </c>
      <c r="V10" s="125">
        <v>9.2100000000000009</v>
      </c>
      <c r="W10" s="51">
        <v>1</v>
      </c>
      <c r="X10" s="127" t="s">
        <v>13</v>
      </c>
      <c r="Y10" s="51" t="s">
        <v>31</v>
      </c>
      <c r="Z10" s="120">
        <v>4.6050000000000004</v>
      </c>
      <c r="AA10" s="120">
        <v>4.6050000000000004</v>
      </c>
    </row>
  </sheetData>
  <dataValidations disablePrompts="1" count="1">
    <dataValidation type="list" allowBlank="1" showInputMessage="1" showErrorMessage="1" sqref="R4:R6">
      <formula1>#REF!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59999389629810485"/>
  </sheetPr>
  <dimension ref="A3:AA10"/>
  <sheetViews>
    <sheetView workbookViewId="0"/>
  </sheetViews>
  <sheetFormatPr defaultRowHeight="15" x14ac:dyDescent="0.25"/>
  <cols>
    <col min="1" max="1" width="11.140625" bestFit="1" customWidth="1"/>
    <col min="2" max="2" width="16.42578125" bestFit="1" customWidth="1"/>
    <col min="3" max="3" width="6.7109375" bestFit="1" customWidth="1"/>
    <col min="4" max="4" width="31.28515625" bestFit="1" customWidth="1"/>
    <col min="5" max="5" width="16" bestFit="1" customWidth="1"/>
    <col min="6" max="6" width="16.42578125" bestFit="1" customWidth="1"/>
    <col min="7" max="7" width="23.28515625" customWidth="1"/>
    <col min="8" max="8" width="35.5703125" bestFit="1" customWidth="1"/>
    <col min="9" max="9" width="17" style="133" customWidth="1"/>
    <col min="10" max="10" width="8" bestFit="1" customWidth="1"/>
    <col min="11" max="11" width="15.140625" bestFit="1" customWidth="1"/>
    <col min="12" max="12" width="9.42578125" style="118" bestFit="1" customWidth="1"/>
    <col min="13" max="13" width="22" customWidth="1"/>
    <col min="14" max="14" width="19.5703125" customWidth="1"/>
    <col min="15" max="15" width="12" style="118" bestFit="1" customWidth="1"/>
    <col min="16" max="16" width="11" customWidth="1"/>
    <col min="17" max="17" width="9.5703125" customWidth="1"/>
    <col min="18" max="18" width="14.85546875" bestFit="1" customWidth="1"/>
    <col min="19" max="19" width="10.85546875" style="123" customWidth="1"/>
    <col min="21" max="21" width="13.28515625" bestFit="1" customWidth="1"/>
    <col min="22" max="22" width="8" style="126" bestFit="1" customWidth="1"/>
    <col min="23" max="23" width="7.140625" bestFit="1" customWidth="1"/>
    <col min="24" max="24" width="8.28515625" style="101" bestFit="1" customWidth="1"/>
    <col min="25" max="25" width="25.28515625" customWidth="1"/>
    <col min="26" max="27" width="7.5703125" style="72" customWidth="1"/>
  </cols>
  <sheetData>
    <row r="3" spans="1:27" ht="36" x14ac:dyDescent="0.25">
      <c r="A3" s="47" t="s">
        <v>96</v>
      </c>
      <c r="B3" s="47" t="s">
        <v>69</v>
      </c>
      <c r="C3" s="48" t="s">
        <v>70</v>
      </c>
      <c r="D3" s="48" t="s">
        <v>71</v>
      </c>
      <c r="E3" s="48" t="s">
        <v>73</v>
      </c>
      <c r="F3" s="48" t="s">
        <v>74</v>
      </c>
      <c r="G3" s="48" t="s">
        <v>75</v>
      </c>
      <c r="H3" s="48" t="s">
        <v>77</v>
      </c>
      <c r="I3" s="131" t="s">
        <v>78</v>
      </c>
      <c r="J3" s="47" t="s">
        <v>29</v>
      </c>
      <c r="K3" s="47" t="s">
        <v>79</v>
      </c>
      <c r="L3" s="116" t="s">
        <v>81</v>
      </c>
      <c r="M3" s="48" t="s">
        <v>82</v>
      </c>
      <c r="N3" s="48" t="s">
        <v>83</v>
      </c>
      <c r="O3" s="116" t="s">
        <v>84</v>
      </c>
      <c r="P3" s="48" t="s">
        <v>85</v>
      </c>
      <c r="Q3" s="48" t="s">
        <v>86</v>
      </c>
      <c r="R3" s="48" t="s">
        <v>87</v>
      </c>
      <c r="S3" s="121" t="s">
        <v>88</v>
      </c>
      <c r="T3" s="48" t="s">
        <v>89</v>
      </c>
      <c r="U3" s="48" t="s">
        <v>90</v>
      </c>
      <c r="V3" s="124" t="s">
        <v>91</v>
      </c>
      <c r="W3" s="48" t="s">
        <v>92</v>
      </c>
      <c r="X3" s="47" t="s">
        <v>93</v>
      </c>
      <c r="Y3" s="47" t="s">
        <v>65</v>
      </c>
      <c r="Z3" s="119" t="s">
        <v>94</v>
      </c>
      <c r="AA3" s="119" t="s">
        <v>95</v>
      </c>
    </row>
    <row r="4" spans="1:27" x14ac:dyDescent="0.25">
      <c r="A4" s="51" t="s">
        <v>102</v>
      </c>
      <c r="B4" s="51" t="s">
        <v>466</v>
      </c>
      <c r="C4" s="91">
        <v>8520</v>
      </c>
      <c r="D4" s="91" t="s">
        <v>186</v>
      </c>
      <c r="E4" s="91" t="s">
        <v>15</v>
      </c>
      <c r="F4" s="91">
        <v>9701</v>
      </c>
      <c r="G4" s="91" t="s">
        <v>173</v>
      </c>
      <c r="H4" s="91" t="s">
        <v>14</v>
      </c>
      <c r="I4" s="134">
        <v>85200710012736</v>
      </c>
      <c r="J4" s="92" t="s">
        <v>37</v>
      </c>
      <c r="K4" s="92" t="s">
        <v>199</v>
      </c>
      <c r="L4" s="117">
        <v>42614</v>
      </c>
      <c r="M4" s="91" t="s">
        <v>104</v>
      </c>
      <c r="N4" s="91" t="s">
        <v>9</v>
      </c>
      <c r="O4" s="117">
        <v>42615</v>
      </c>
      <c r="P4" s="93" t="s">
        <v>206</v>
      </c>
      <c r="Q4" s="94">
        <v>298</v>
      </c>
      <c r="R4" s="93" t="s">
        <v>99</v>
      </c>
      <c r="S4" s="122">
        <v>78615</v>
      </c>
      <c r="T4" s="91" t="s">
        <v>119</v>
      </c>
      <c r="U4" s="91" t="s">
        <v>101</v>
      </c>
      <c r="V4" s="125">
        <v>1.0900000000000001</v>
      </c>
      <c r="W4" s="51">
        <v>1</v>
      </c>
      <c r="X4" s="127" t="s">
        <v>134</v>
      </c>
      <c r="Y4" s="51" t="s">
        <v>31</v>
      </c>
      <c r="Z4" s="120">
        <v>0.54500000000000004</v>
      </c>
      <c r="AA4" s="120">
        <v>0.54500000000000004</v>
      </c>
    </row>
    <row r="5" spans="1:27" x14ac:dyDescent="0.25">
      <c r="A5" s="51" t="s">
        <v>96</v>
      </c>
      <c r="B5" s="51" t="s">
        <v>96</v>
      </c>
      <c r="C5" s="91">
        <v>8520</v>
      </c>
      <c r="D5" s="91" t="s">
        <v>186</v>
      </c>
      <c r="E5" s="91" t="s">
        <v>15</v>
      </c>
      <c r="F5" s="91">
        <v>9701</v>
      </c>
      <c r="G5" s="91" t="s">
        <v>173</v>
      </c>
      <c r="H5" s="91" t="s">
        <v>14</v>
      </c>
      <c r="I5" s="134">
        <v>85200710012477</v>
      </c>
      <c r="J5" s="92" t="s">
        <v>37</v>
      </c>
      <c r="K5" s="92" t="s">
        <v>199</v>
      </c>
      <c r="L5" s="117">
        <v>42583</v>
      </c>
      <c r="M5" s="91" t="s">
        <v>104</v>
      </c>
      <c r="N5" s="91" t="s">
        <v>9</v>
      </c>
      <c r="O5" s="117">
        <v>42615</v>
      </c>
      <c r="P5" s="93" t="s">
        <v>206</v>
      </c>
      <c r="Q5" s="94">
        <v>298</v>
      </c>
      <c r="R5" s="93" t="s">
        <v>99</v>
      </c>
      <c r="S5" s="122">
        <v>-209034</v>
      </c>
      <c r="T5" s="91" t="s">
        <v>119</v>
      </c>
      <c r="U5" s="91" t="s">
        <v>101</v>
      </c>
      <c r="V5" s="125">
        <v>-2.91</v>
      </c>
      <c r="W5" s="51">
        <v>1</v>
      </c>
      <c r="X5" s="127" t="s">
        <v>134</v>
      </c>
      <c r="Y5" s="51" t="s">
        <v>31</v>
      </c>
      <c r="Z5" s="120">
        <v>-1.4550000000000001</v>
      </c>
      <c r="AA5" s="120">
        <v>-1.4550000000000001</v>
      </c>
    </row>
    <row r="6" spans="1:27" x14ac:dyDescent="0.25">
      <c r="A6" s="51" t="s">
        <v>102</v>
      </c>
      <c r="B6" s="51" t="s">
        <v>466</v>
      </c>
      <c r="C6" s="91">
        <v>8310</v>
      </c>
      <c r="D6" s="91" t="s">
        <v>112</v>
      </c>
      <c r="E6" s="91" t="s">
        <v>14</v>
      </c>
      <c r="F6" s="91">
        <v>199</v>
      </c>
      <c r="G6" s="91" t="s">
        <v>124</v>
      </c>
      <c r="H6" s="91" t="s">
        <v>20</v>
      </c>
      <c r="I6" s="134" t="s">
        <v>463</v>
      </c>
      <c r="J6" s="92" t="s">
        <v>37</v>
      </c>
      <c r="K6" s="92" t="s">
        <v>175</v>
      </c>
      <c r="L6" s="117">
        <v>42647</v>
      </c>
      <c r="M6" s="91" t="s">
        <v>109</v>
      </c>
      <c r="N6" s="91" t="s">
        <v>10</v>
      </c>
      <c r="O6" s="117">
        <v>42732</v>
      </c>
      <c r="P6" s="93" t="s">
        <v>261</v>
      </c>
      <c r="Q6" s="94">
        <v>181</v>
      </c>
      <c r="R6" s="93" t="s">
        <v>99</v>
      </c>
      <c r="S6" s="122">
        <v>33218.199999999997</v>
      </c>
      <c r="T6" s="91" t="s">
        <v>209</v>
      </c>
      <c r="U6" s="91" t="s">
        <v>101</v>
      </c>
      <c r="V6" s="125">
        <v>7.84</v>
      </c>
      <c r="W6" s="51">
        <v>1</v>
      </c>
      <c r="X6" s="127" t="s">
        <v>133</v>
      </c>
      <c r="Y6" s="51" t="s">
        <v>32</v>
      </c>
      <c r="Z6" s="120">
        <v>1.96</v>
      </c>
      <c r="AA6" s="120">
        <v>5.88</v>
      </c>
    </row>
    <row r="7" spans="1:27" x14ac:dyDescent="0.25">
      <c r="A7" s="51" t="s">
        <v>102</v>
      </c>
      <c r="B7" s="51" t="s">
        <v>466</v>
      </c>
      <c r="C7" s="91">
        <v>8310</v>
      </c>
      <c r="D7" s="91" t="s">
        <v>112</v>
      </c>
      <c r="E7" s="91" t="s">
        <v>14</v>
      </c>
      <c r="F7" s="91">
        <v>199</v>
      </c>
      <c r="G7" s="91" t="s">
        <v>124</v>
      </c>
      <c r="H7" s="91" t="s">
        <v>20</v>
      </c>
      <c r="I7" s="134" t="s">
        <v>464</v>
      </c>
      <c r="J7" s="92" t="s">
        <v>37</v>
      </c>
      <c r="K7" s="92" t="s">
        <v>175</v>
      </c>
      <c r="L7" s="117">
        <v>42647</v>
      </c>
      <c r="M7" s="91" t="s">
        <v>109</v>
      </c>
      <c r="N7" s="91" t="s">
        <v>10</v>
      </c>
      <c r="O7" s="117">
        <v>42732</v>
      </c>
      <c r="P7" s="93" t="s">
        <v>261</v>
      </c>
      <c r="Q7" s="94">
        <v>181</v>
      </c>
      <c r="R7" s="93" t="s">
        <v>99</v>
      </c>
      <c r="S7" s="122">
        <v>10264</v>
      </c>
      <c r="T7" s="91" t="s">
        <v>209</v>
      </c>
      <c r="U7" s="91" t="s">
        <v>101</v>
      </c>
      <c r="V7" s="125">
        <v>2.42</v>
      </c>
      <c r="W7" s="51">
        <v>1</v>
      </c>
      <c r="X7" s="127" t="s">
        <v>133</v>
      </c>
      <c r="Y7" s="51" t="s">
        <v>32</v>
      </c>
      <c r="Z7" s="120">
        <v>0.60499999999999998</v>
      </c>
      <c r="AA7" s="120">
        <v>1.8149999999999999</v>
      </c>
    </row>
    <row r="8" spans="1:27" x14ac:dyDescent="0.25">
      <c r="A8" s="51" t="s">
        <v>102</v>
      </c>
      <c r="B8" s="51" t="s">
        <v>466</v>
      </c>
      <c r="C8" s="91">
        <v>199</v>
      </c>
      <c r="D8" s="91" t="s">
        <v>124</v>
      </c>
      <c r="E8" s="91" t="s">
        <v>20</v>
      </c>
      <c r="F8" s="91">
        <v>1350</v>
      </c>
      <c r="G8" s="91" t="s">
        <v>115</v>
      </c>
      <c r="H8" s="91" t="s">
        <v>19</v>
      </c>
      <c r="I8" s="134">
        <v>199030003062</v>
      </c>
      <c r="J8" s="92" t="s">
        <v>37</v>
      </c>
      <c r="K8" s="92" t="s">
        <v>260</v>
      </c>
      <c r="L8" s="117">
        <v>42640</v>
      </c>
      <c r="M8" s="91" t="s">
        <v>117</v>
      </c>
      <c r="N8" s="91" t="s">
        <v>118</v>
      </c>
      <c r="O8" s="117">
        <v>42706</v>
      </c>
      <c r="P8" s="93" t="s">
        <v>261</v>
      </c>
      <c r="Q8" s="94">
        <v>207</v>
      </c>
      <c r="R8" s="93" t="s">
        <v>99</v>
      </c>
      <c r="S8" s="122">
        <v>55014.21</v>
      </c>
      <c r="T8" s="91" t="s">
        <v>128</v>
      </c>
      <c r="U8" s="91" t="s">
        <v>101</v>
      </c>
      <c r="V8" s="125">
        <v>49.35</v>
      </c>
      <c r="W8" s="51">
        <v>1</v>
      </c>
      <c r="X8" s="127" t="s">
        <v>13</v>
      </c>
      <c r="Y8" s="51" t="s">
        <v>31</v>
      </c>
      <c r="Z8" s="120">
        <v>24.675000000000001</v>
      </c>
      <c r="AA8" s="120">
        <v>24.675000000000001</v>
      </c>
    </row>
    <row r="9" spans="1:27" x14ac:dyDescent="0.25">
      <c r="A9" s="51" t="s">
        <v>96</v>
      </c>
      <c r="B9" s="51" t="s">
        <v>96</v>
      </c>
      <c r="C9" s="91">
        <v>199</v>
      </c>
      <c r="D9" s="91" t="s">
        <v>124</v>
      </c>
      <c r="E9" s="91" t="s">
        <v>20</v>
      </c>
      <c r="F9" s="91">
        <v>95</v>
      </c>
      <c r="G9" s="91" t="s">
        <v>110</v>
      </c>
      <c r="H9" s="91" t="s">
        <v>18</v>
      </c>
      <c r="I9" s="134">
        <v>1990110055177</v>
      </c>
      <c r="J9" s="92" t="s">
        <v>37</v>
      </c>
      <c r="K9" s="92" t="s">
        <v>260</v>
      </c>
      <c r="L9" s="117">
        <v>42605</v>
      </c>
      <c r="M9" s="91" t="s">
        <v>109</v>
      </c>
      <c r="N9" s="91" t="s">
        <v>10</v>
      </c>
      <c r="O9" s="117">
        <v>42678</v>
      </c>
      <c r="P9" s="93" t="s">
        <v>261</v>
      </c>
      <c r="Q9" s="94">
        <v>235</v>
      </c>
      <c r="R9" s="93" t="s">
        <v>99</v>
      </c>
      <c r="S9" s="122">
        <v>45063.040000000001</v>
      </c>
      <c r="T9" s="91" t="s">
        <v>128</v>
      </c>
      <c r="U9" s="91" t="s">
        <v>101</v>
      </c>
      <c r="V9" s="125">
        <v>40.43</v>
      </c>
      <c r="W9" s="51">
        <v>1</v>
      </c>
      <c r="X9" s="127" t="s">
        <v>133</v>
      </c>
      <c r="Y9" s="51" t="s">
        <v>32</v>
      </c>
      <c r="Z9" s="120">
        <v>10.1075</v>
      </c>
      <c r="AA9" s="120">
        <v>30.322499999999998</v>
      </c>
    </row>
    <row r="10" spans="1:27" x14ac:dyDescent="0.25">
      <c r="A10" s="51" t="s">
        <v>96</v>
      </c>
      <c r="B10" s="51" t="s">
        <v>96</v>
      </c>
      <c r="C10" s="91">
        <v>199</v>
      </c>
      <c r="D10" s="91" t="s">
        <v>124</v>
      </c>
      <c r="E10" s="91" t="s">
        <v>20</v>
      </c>
      <c r="F10" s="91">
        <v>95</v>
      </c>
      <c r="G10" s="91" t="s">
        <v>110</v>
      </c>
      <c r="H10" s="91" t="s">
        <v>18</v>
      </c>
      <c r="I10" s="134">
        <v>1990110055178</v>
      </c>
      <c r="J10" s="92" t="s">
        <v>37</v>
      </c>
      <c r="K10" s="92" t="s">
        <v>260</v>
      </c>
      <c r="L10" s="117">
        <v>42605</v>
      </c>
      <c r="M10" s="91" t="s">
        <v>109</v>
      </c>
      <c r="N10" s="91" t="s">
        <v>10</v>
      </c>
      <c r="O10" s="117">
        <v>42678</v>
      </c>
      <c r="P10" s="93" t="s">
        <v>261</v>
      </c>
      <c r="Q10" s="94">
        <v>235</v>
      </c>
      <c r="R10" s="93" t="s">
        <v>99</v>
      </c>
      <c r="S10" s="122">
        <v>38256.83</v>
      </c>
      <c r="T10" s="91" t="s">
        <v>128</v>
      </c>
      <c r="U10" s="91" t="s">
        <v>101</v>
      </c>
      <c r="V10" s="125">
        <v>34.32</v>
      </c>
      <c r="W10" s="51">
        <v>1</v>
      </c>
      <c r="X10" s="127" t="s">
        <v>133</v>
      </c>
      <c r="Y10" s="51" t="s">
        <v>32</v>
      </c>
      <c r="Z10" s="120">
        <v>8.58</v>
      </c>
      <c r="AA10" s="120">
        <v>25.740000000000002</v>
      </c>
    </row>
  </sheetData>
  <dataValidations count="1">
    <dataValidation type="list" allowBlank="1" showInputMessage="1" showErrorMessage="1" sqref="R4:R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</vt:i4>
      </vt:variant>
    </vt:vector>
  </HeadingPairs>
  <TitlesOfParts>
    <vt:vector size="29" baseType="lpstr">
      <vt:lpstr>Table of Contents</vt:lpstr>
      <vt:lpstr>Summary_Short</vt:lpstr>
      <vt:lpstr>Summary</vt:lpstr>
      <vt:lpstr>MoM Absolute trend</vt:lpstr>
      <vt:lpstr>Clearing Rules</vt:lpstr>
      <vt:lpstr>APPSONE</vt:lpstr>
      <vt:lpstr>APPSTWO</vt:lpstr>
      <vt:lpstr>CC</vt:lpstr>
      <vt:lpstr>Infra</vt:lpstr>
      <vt:lpstr>BSv</vt:lpstr>
      <vt:lpstr>Sogeti</vt:lpstr>
      <vt:lpstr>Group</vt:lpstr>
      <vt:lpstr>Shared Service</vt:lpstr>
      <vt:lpstr>Insights and Data</vt:lpstr>
      <vt:lpstr>FS</vt:lpstr>
      <vt:lpstr>Supp-Benelux</vt:lpstr>
      <vt:lpstr>Supp-CE</vt:lpstr>
      <vt:lpstr>Supp-France</vt:lpstr>
      <vt:lpstr>Supp-Holding</vt:lpstr>
      <vt:lpstr>Supp-India</vt:lpstr>
      <vt:lpstr>Supp-Nordic</vt:lpstr>
      <vt:lpstr>Supp-NA</vt:lpstr>
      <vt:lpstr>Supp-UK</vt:lpstr>
      <vt:lpstr>DATA_CURRENT</vt:lpstr>
      <vt:lpstr>DATA_PRIOR</vt:lpstr>
      <vt:lpstr>iGate</vt:lpstr>
      <vt:lpstr>Sheet18</vt:lpstr>
      <vt:lpstr>Sheet6.</vt:lpstr>
      <vt:lpstr>TOC_Marker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prtherga</dc:creator>
  <cp:lastModifiedBy>Weaver, Craig</cp:lastModifiedBy>
  <dcterms:created xsi:type="dcterms:W3CDTF">2016-12-07T09:30:11Z</dcterms:created>
  <dcterms:modified xsi:type="dcterms:W3CDTF">2017-07-03T10:41:15Z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